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slicers/slicer1.xml" ContentType="application/vnd.ms-excel.slicer+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pivotTables/pivotTable2.xml" ContentType="application/vnd.openxmlformats-officedocument.spreadsheetml.pivotTable+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harts/chart3.xml" ContentType="application/vnd.openxmlformats-officedocument.drawingml.chart+xml"/>
  <Override PartName="/xl/drawings/drawing9.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ivotCache/richPivotRecords1.xml" ContentType="application/vnd.openxmlformats-officedocument.spreadsheetml.richPivotRecords+xml"/>
  <Override PartName="/xl/persons/person.xml" ContentType="application/vnd.ms-excel.person+xml"/>
  <Override PartName="/xl/richData/rdRichValueWebImage.xml" ContentType="application/vnd.ms-excel.rdrichvaluewebimage+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updateLinks="never" codeName="ThisWorkbook" hidePivotFieldList="1"/>
  <mc:AlternateContent xmlns:mc="http://schemas.openxmlformats.org/markup-compatibility/2006">
    <mc:Choice Requires="x15">
      <x15ac:absPath xmlns:x15ac="http://schemas.microsoft.com/office/spreadsheetml/2010/11/ac" url="C:\Users\samue\Downloads\PCC\Panasonic - Inductor - Selection Tool - Feb2026 - Kopie\"/>
    </mc:Choice>
  </mc:AlternateContent>
  <xr:revisionPtr revIDLastSave="0" documentId="13_ncr:1_{95CE89AA-B658-4AEC-B09D-120CE0D45144}" xr6:coauthVersionLast="47" xr6:coauthVersionMax="47" xr10:uidLastSave="{00000000-0000-0000-0000-000000000000}"/>
  <bookViews>
    <workbookView xWindow="-120" yWindow="-120" windowWidth="29040" windowHeight="15720" activeTab="5" xr2:uid="{90C699E3-AE79-478B-89A2-03252F949D85}"/>
  </bookViews>
  <sheets>
    <sheet name="Automotive" sheetId="45" r:id="rId1"/>
    <sheet name="PN-&gt;Parameter" sheetId="47" r:id="rId2"/>
    <sheet name="DCDC Ref" sheetId="52" r:id="rId3"/>
    <sheet name="Non Auto" sheetId="50" r:id="rId4"/>
    <sheet name="Disclaimer" sheetId="51" r:id="rId5"/>
    <sheet name="All Data" sheetId="48" r:id="rId6"/>
    <sheet name="Utility" sheetId="46" state="veryHidden" r:id="rId7"/>
    <sheet name="計算sheet" sheetId="59" state="veryHidden" r:id="rId8"/>
    <sheet name="Wav" sheetId="56" state="veryHidden" r:id="rId9"/>
  </sheets>
  <externalReferences>
    <externalReference r:id="rId10"/>
  </externalReferences>
  <definedNames>
    <definedName name="_xlnm._FilterDatabase" localSheetId="0" hidden="1">Automotive!$AY$5:$AY$102</definedName>
    <definedName name="_xlnm._FilterDatabase" localSheetId="2" hidden="1">'DCDC Ref'!$H$50:$AC$60</definedName>
    <definedName name="_xlnm._FilterDatabase" localSheetId="3" hidden="1">'Non Auto'!$AL$6:$BA$21</definedName>
    <definedName name="_xlnm._FilterDatabase" localSheetId="1" hidden="1">'PN-&gt;Parameter'!$A$6:$U$6</definedName>
    <definedName name="appimg">INDEX(Utility!$P:$P,MATCH('DCDC Ref'!$W$21,Utility!$O:$O,0))</definedName>
    <definedName name="boardimg">INDEX(Utility!$X:$X,MATCH('DCDC Ref'!$W$21,Utility!$O:$O,0))</definedName>
    <definedName name="L1Round" localSheetId="5">TRUNC(ROUND('All Data'!XFD1,2),2)</definedName>
    <definedName name="L1Round" localSheetId="3">TRUNC(ROUND('Non Auto'!XFD1,2),2)</definedName>
    <definedName name="_xlnm.Print_Area" localSheetId="0">Automotive!$AN$1:$BF$764</definedName>
    <definedName name="_xlnm.Print_Area" localSheetId="2">'DCDC Ref'!$I$29:$AB$60</definedName>
    <definedName name="_xlnm.Print_Area" localSheetId="4">Disclaimer!$C$5:$X$48</definedName>
    <definedName name="_xlnm.Print_Area" localSheetId="1">'PN-&gt;Parameter'!$C$4:$S$103</definedName>
    <definedName name="_xlnm.Print_Area" localSheetId="8">Wav!$A:$J</definedName>
    <definedName name="スライサー_⊿L__20___typ__A">#N/A</definedName>
    <definedName name="スライサー_⊿L__30___typ__A">#N/A</definedName>
    <definedName name="スライサー_DCR_Max__mOhm">#N/A</definedName>
    <definedName name="スライサー_DCR_Typ__mOhm">#N/A</definedName>
    <definedName name="スライサー_Feature">#N/A</definedName>
    <definedName name="スライサー_Lo_Range__uH">#N/A</definedName>
    <definedName name="スライサー_Max_Height_Range__mm">#N/A</definedName>
    <definedName name="スライサー_Max_Temp__deg.C">#N/A</definedName>
    <definedName name="スライサー_Method_A__A_typ_at_40℃">#N/A</definedName>
    <definedName name="スライサー_Method_B__A_typ_at_40℃">#N/A</definedName>
    <definedName name="スライサー_Rough_Size__mm">#N/A</definedName>
    <definedName name="スライサー_Series">#N/A</definedName>
    <definedName name="スライサー_Size_Rough__mm">#N/A</definedName>
    <definedName name="スライサー_Status">#N/A</definedName>
  </definedNames>
  <calcPr calcId="191029"/>
  <pivotCaches>
    <pivotCache cacheId="0" r:id="rId11"/>
  </pivotCaches>
  <extLst>
    <ext xmlns:x14="http://schemas.microsoft.com/office/spreadsheetml/2009/9/main" uri="{BBE1A952-AA13-448e-AADC-164F8A28A991}">
      <x14:slicerCaches>
        <x14:slicerCache r:id="rId12"/>
        <x14:slicerCache r:id="rId13"/>
        <x14:slicerCache r:id="rId14"/>
        <x14:slicerCache r:id="rId15"/>
        <x14:slicerCache r:id="rId16"/>
        <x14:slicerCache r:id="rId17"/>
        <x14:slicerCache r:id="rId18"/>
        <x14:slicerCache r:id="rId19"/>
        <x14:slicerCache r:id="rId20"/>
        <x14:slicerCache r:id="rId21"/>
        <x14:slicerCache r:id="rId22"/>
        <x14:slicerCache r:id="rId23"/>
        <x14:slicerCache r:id="rId24"/>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5"/>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H158" i="48" l="1"/>
  <c r="BH159" i="48"/>
  <c r="BH160" i="48"/>
  <c r="AP158" i="48"/>
  <c r="AP159" i="48"/>
  <c r="AP160" i="48"/>
  <c r="AH158" i="48"/>
  <c r="AH159" i="48"/>
  <c r="AH160" i="48"/>
  <c r="AF158" i="48"/>
  <c r="AF159" i="48"/>
  <c r="AF160" i="48"/>
  <c r="AE158" i="48"/>
  <c r="AE159" i="48"/>
  <c r="AE160" i="48"/>
  <c r="P160" i="48"/>
  <c r="R160" i="48"/>
  <c r="S160" i="48"/>
  <c r="AK160" i="48"/>
  <c r="AU160" i="48"/>
  <c r="P158" i="48"/>
  <c r="P159" i="48"/>
  <c r="R158" i="48"/>
  <c r="R159" i="48"/>
  <c r="S158" i="48"/>
  <c r="S159" i="48"/>
  <c r="AK158" i="48"/>
  <c r="AK159" i="48"/>
  <c r="AU158" i="48"/>
  <c r="AU159" i="48"/>
  <c r="AP157" i="48"/>
  <c r="BH157" i="48"/>
  <c r="AH157" i="48"/>
  <c r="AF157" i="48"/>
  <c r="AE157" i="48"/>
  <c r="S157" i="48"/>
  <c r="R157" i="48"/>
  <c r="P157" i="48" l="1"/>
  <c r="AK157" i="48"/>
  <c r="AU157" i="48"/>
  <c r="BH12" i="48" l="1"/>
  <c r="BH13" i="48"/>
  <c r="BH14" i="48"/>
  <c r="BH15" i="48"/>
  <c r="BH16" i="48"/>
  <c r="BH17" i="48"/>
  <c r="BH18" i="48"/>
  <c r="BH19" i="48"/>
  <c r="BH20" i="48"/>
  <c r="BH21" i="48"/>
  <c r="BH22" i="48"/>
  <c r="BH23" i="48"/>
  <c r="BH24" i="48"/>
  <c r="BH25" i="48"/>
  <c r="BH26" i="48"/>
  <c r="BH27" i="48"/>
  <c r="BH28" i="48"/>
  <c r="BH29" i="48"/>
  <c r="BH30" i="48"/>
  <c r="BH31" i="48"/>
  <c r="BH32" i="48"/>
  <c r="BH33" i="48"/>
  <c r="BH34" i="48"/>
  <c r="BH35" i="48"/>
  <c r="BH36" i="48"/>
  <c r="BH37" i="48"/>
  <c r="BH38" i="48"/>
  <c r="BH39" i="48"/>
  <c r="BH40" i="48"/>
  <c r="BH41" i="48"/>
  <c r="BH42" i="48"/>
  <c r="BH43" i="48"/>
  <c r="BH44" i="48"/>
  <c r="BH45" i="48"/>
  <c r="BH46" i="48"/>
  <c r="BH47" i="48"/>
  <c r="BH48" i="48"/>
  <c r="BH49" i="48"/>
  <c r="BH50" i="48"/>
  <c r="BH51" i="48"/>
  <c r="BH52" i="48"/>
  <c r="BH53" i="48"/>
  <c r="BH54" i="48"/>
  <c r="BH55" i="48"/>
  <c r="BH56" i="48"/>
  <c r="BH57" i="48"/>
  <c r="BH58" i="48"/>
  <c r="BH59" i="48"/>
  <c r="BH60" i="48"/>
  <c r="BH61" i="48"/>
  <c r="BH62" i="48"/>
  <c r="BH63" i="48"/>
  <c r="BH64" i="48"/>
  <c r="BH65" i="48"/>
  <c r="BH66" i="48"/>
  <c r="BH67" i="48"/>
  <c r="BH68" i="48"/>
  <c r="BH69" i="48"/>
  <c r="BH70" i="48"/>
  <c r="BH71" i="48"/>
  <c r="BH72" i="48"/>
  <c r="BH73" i="48"/>
  <c r="BH74" i="48"/>
  <c r="BH75" i="48"/>
  <c r="BH76" i="48"/>
  <c r="BH77" i="48"/>
  <c r="BH78" i="48"/>
  <c r="BH79" i="48"/>
  <c r="BH80" i="48"/>
  <c r="BH81" i="48"/>
  <c r="BH82" i="48"/>
  <c r="BH83" i="48"/>
  <c r="BH84" i="48"/>
  <c r="BH85" i="48"/>
  <c r="BH86" i="48"/>
  <c r="BH87" i="48"/>
  <c r="BH88" i="48"/>
  <c r="BH89" i="48"/>
  <c r="BH90" i="48"/>
  <c r="BH91" i="48"/>
  <c r="BH92" i="48"/>
  <c r="BH93" i="48"/>
  <c r="BH94" i="48"/>
  <c r="BH95" i="48"/>
  <c r="BH96" i="48"/>
  <c r="BH97" i="48"/>
  <c r="BH98" i="48"/>
  <c r="BH99" i="48"/>
  <c r="BH100" i="48"/>
  <c r="BH101" i="48"/>
  <c r="BH102" i="48"/>
  <c r="BH103" i="48"/>
  <c r="BH104" i="48"/>
  <c r="BH105" i="48"/>
  <c r="BH106" i="48"/>
  <c r="BH107" i="48"/>
  <c r="BH108" i="48"/>
  <c r="BH109" i="48"/>
  <c r="BH110" i="48"/>
  <c r="BH111" i="48"/>
  <c r="BH112" i="48"/>
  <c r="BH113" i="48"/>
  <c r="BH114" i="48"/>
  <c r="BH115" i="48"/>
  <c r="BH116" i="48"/>
  <c r="BH117" i="48"/>
  <c r="BH118" i="48"/>
  <c r="BH119" i="48"/>
  <c r="BH120" i="48"/>
  <c r="BH121" i="48"/>
  <c r="BH122" i="48"/>
  <c r="BH123" i="48"/>
  <c r="BH124" i="48"/>
  <c r="BH125" i="48"/>
  <c r="BH126" i="48"/>
  <c r="BH127" i="48"/>
  <c r="BH128" i="48"/>
  <c r="BH129" i="48"/>
  <c r="BH130" i="48"/>
  <c r="BH131" i="48"/>
  <c r="BH132" i="48"/>
  <c r="BH133" i="48"/>
  <c r="BH134" i="48"/>
  <c r="BH135" i="48"/>
  <c r="BH136" i="48"/>
  <c r="BH137" i="48"/>
  <c r="BH138" i="48"/>
  <c r="BH139" i="48"/>
  <c r="BH140" i="48"/>
  <c r="BH141" i="48"/>
  <c r="BH142" i="48"/>
  <c r="BH143" i="48"/>
  <c r="BH144" i="48"/>
  <c r="BH145" i="48"/>
  <c r="BH146" i="48"/>
  <c r="BH147" i="48"/>
  <c r="BH148" i="48"/>
  <c r="BH149" i="48"/>
  <c r="BH150" i="48"/>
  <c r="BH151" i="48"/>
  <c r="BH152" i="48"/>
  <c r="BH153" i="48"/>
  <c r="BH154" i="48"/>
  <c r="BH155" i="48"/>
  <c r="BH156" i="48"/>
  <c r="AU156" i="48"/>
  <c r="AP156" i="48"/>
  <c r="AH156" i="48"/>
  <c r="AF156" i="48"/>
  <c r="AE156" i="48"/>
  <c r="P156" i="48"/>
  <c r="R156" i="48"/>
  <c r="S156" i="48"/>
  <c r="AK156" i="48"/>
  <c r="AU154" i="48"/>
  <c r="AU155" i="48"/>
  <c r="AU153" i="48"/>
  <c r="AH153" i="48"/>
  <c r="AH154" i="48"/>
  <c r="AH155" i="48"/>
  <c r="AF153" i="48"/>
  <c r="AE153" i="48"/>
  <c r="AE154" i="48"/>
  <c r="AF154" i="48"/>
  <c r="AE155" i="48"/>
  <c r="AF155" i="48"/>
  <c r="P155" i="48"/>
  <c r="R155" i="48"/>
  <c r="S155" i="48"/>
  <c r="AK155" i="48"/>
  <c r="P154" i="48"/>
  <c r="R154" i="48"/>
  <c r="S154" i="48"/>
  <c r="AK154" i="48"/>
  <c r="P153" i="48"/>
  <c r="R153" i="48"/>
  <c r="S153" i="48"/>
  <c r="AK153" i="48"/>
  <c r="AU146" i="48"/>
  <c r="AH152" i="48"/>
  <c r="AF152" i="48"/>
  <c r="AE152" i="48"/>
  <c r="P152" i="48"/>
  <c r="R152" i="48"/>
  <c r="S152" i="48"/>
  <c r="AK152" i="48"/>
  <c r="AU152" i="48"/>
  <c r="AH151" i="48"/>
  <c r="AF151" i="48"/>
  <c r="AE151" i="48"/>
  <c r="P151" i="48"/>
  <c r="R151" i="48"/>
  <c r="S151" i="48"/>
  <c r="AK151" i="48"/>
  <c r="AU151" i="48"/>
  <c r="AU150" i="48"/>
  <c r="AH150" i="48"/>
  <c r="AF150" i="48"/>
  <c r="AE150" i="48"/>
  <c r="AH149" i="48"/>
  <c r="AF149" i="48"/>
  <c r="AE149" i="48"/>
  <c r="AU147" i="48"/>
  <c r="AH148" i="48"/>
  <c r="AH147" i="48"/>
  <c r="AF148" i="48"/>
  <c r="AF147" i="48"/>
  <c r="AE148" i="48"/>
  <c r="AE147" i="48"/>
  <c r="AE137" i="48"/>
  <c r="P149" i="48"/>
  <c r="P150" i="48"/>
  <c r="R149" i="48"/>
  <c r="R150" i="48"/>
  <c r="S149" i="48"/>
  <c r="S150" i="48"/>
  <c r="AK149" i="48"/>
  <c r="AK150" i="48"/>
  <c r="AU149" i="48"/>
  <c r="P148" i="48"/>
  <c r="R148" i="48"/>
  <c r="S148" i="48"/>
  <c r="AK148" i="48"/>
  <c r="AU148" i="48"/>
  <c r="P147" i="48"/>
  <c r="R147" i="48"/>
  <c r="S147" i="48"/>
  <c r="AK147" i="48"/>
  <c r="CE1" i="45"/>
  <c r="BC46" i="45" l="1"/>
  <c r="BD46" i="45" s="1"/>
  <c r="BI46" i="45"/>
  <c r="BJ46" i="45"/>
  <c r="BC40" i="45"/>
  <c r="BD40" i="45" s="1"/>
  <c r="BI40" i="45"/>
  <c r="BJ40" i="45"/>
  <c r="BC41" i="45"/>
  <c r="BD41" i="45" s="1"/>
  <c r="BI41" i="45"/>
  <c r="BJ41" i="45"/>
  <c r="BC42" i="45"/>
  <c r="BD42" i="45" s="1"/>
  <c r="BI42" i="45"/>
  <c r="BJ42" i="45"/>
  <c r="BC43" i="45"/>
  <c r="BD43" i="45" s="1"/>
  <c r="BI43" i="45"/>
  <c r="BJ43" i="45"/>
  <c r="BC44" i="45"/>
  <c r="BD44" i="45" s="1"/>
  <c r="BI44" i="45"/>
  <c r="BJ44" i="45"/>
  <c r="BC45" i="45"/>
  <c r="BD45" i="45" s="1"/>
  <c r="BI45" i="45"/>
  <c r="BJ45" i="45"/>
  <c r="BD117" i="45"/>
  <c r="BD118" i="45"/>
  <c r="BD119" i="45"/>
  <c r="BD120" i="45"/>
  <c r="BD121" i="45"/>
  <c r="BD122" i="45"/>
  <c r="BD123" i="45"/>
  <c r="BD124" i="45"/>
  <c r="BD125" i="45"/>
  <c r="BD126" i="45"/>
  <c r="BD127" i="45"/>
  <c r="BD128" i="45"/>
  <c r="BD129" i="45"/>
  <c r="BD130" i="45"/>
  <c r="BD131" i="45"/>
  <c r="BD132" i="45"/>
  <c r="BD133" i="45"/>
  <c r="BD134" i="45"/>
  <c r="BD135" i="45"/>
  <c r="BD136" i="45"/>
  <c r="BD137" i="45"/>
  <c r="BD138" i="45"/>
  <c r="BD139" i="45"/>
  <c r="BD140" i="45"/>
  <c r="BD141" i="45"/>
  <c r="BD142" i="45"/>
  <c r="BC8" i="45"/>
  <c r="BD8" i="45" s="1"/>
  <c r="BC9" i="45"/>
  <c r="BD9" i="45" s="1"/>
  <c r="BC10" i="45"/>
  <c r="BD10" i="45" s="1"/>
  <c r="BC11" i="45"/>
  <c r="BD11" i="45" s="1"/>
  <c r="BC12" i="45"/>
  <c r="BD12" i="45" s="1"/>
  <c r="BC13" i="45"/>
  <c r="BD13" i="45" s="1"/>
  <c r="BC14" i="45"/>
  <c r="BD14" i="45" s="1"/>
  <c r="BC15" i="45"/>
  <c r="BD15" i="45" s="1"/>
  <c r="BC16" i="45"/>
  <c r="BD16" i="45" s="1"/>
  <c r="BC17" i="45"/>
  <c r="BD17" i="45" s="1"/>
  <c r="BC18" i="45"/>
  <c r="BD18" i="45" s="1"/>
  <c r="BC19" i="45"/>
  <c r="BD19" i="45" s="1"/>
  <c r="BC20" i="45"/>
  <c r="BD20" i="45" s="1"/>
  <c r="BC21" i="45"/>
  <c r="BD21" i="45" s="1"/>
  <c r="BC22" i="45"/>
  <c r="BD22" i="45" s="1"/>
  <c r="BC23" i="45"/>
  <c r="BD23" i="45" s="1"/>
  <c r="BC24" i="45"/>
  <c r="BD24" i="45" s="1"/>
  <c r="BC25" i="45"/>
  <c r="BD25" i="45" s="1"/>
  <c r="BC26" i="45"/>
  <c r="BD26" i="45" s="1"/>
  <c r="BC27" i="45"/>
  <c r="BD27" i="45" s="1"/>
  <c r="BC28" i="45"/>
  <c r="BD28" i="45" s="1"/>
  <c r="BC29" i="45"/>
  <c r="BD29" i="45" s="1"/>
  <c r="BC30" i="45"/>
  <c r="BD30" i="45" s="1"/>
  <c r="BC31" i="45"/>
  <c r="BD31" i="45" s="1"/>
  <c r="BC32" i="45"/>
  <c r="BD32" i="45" s="1"/>
  <c r="BC33" i="45"/>
  <c r="BD33" i="45" s="1"/>
  <c r="BC34" i="45"/>
  <c r="BD34" i="45" s="1"/>
  <c r="BC35" i="45"/>
  <c r="BD35" i="45" s="1"/>
  <c r="BC36" i="45"/>
  <c r="BD36" i="45" s="1"/>
  <c r="BC37" i="45"/>
  <c r="BD37" i="45" s="1"/>
  <c r="BC38" i="45"/>
  <c r="BD38" i="45" s="1"/>
  <c r="BC39" i="45"/>
  <c r="BD39" i="45" s="1"/>
  <c r="BC7" i="45"/>
  <c r="BD7" i="45" s="1"/>
  <c r="AH146" i="48"/>
  <c r="AF146" i="48"/>
  <c r="AE146" i="48"/>
  <c r="P146" i="48"/>
  <c r="R146" i="48"/>
  <c r="S146" i="48"/>
  <c r="AK146" i="48"/>
  <c r="G7" i="47"/>
  <c r="AH145" i="48"/>
  <c r="AF145" i="48"/>
  <c r="AE145" i="48"/>
  <c r="AH144" i="48"/>
  <c r="AF144" i="48"/>
  <c r="AE144" i="48"/>
  <c r="AH143" i="48"/>
  <c r="AF143" i="48"/>
  <c r="AE143" i="48"/>
  <c r="AH142" i="48"/>
  <c r="AF142" i="48"/>
  <c r="AE142" i="48"/>
  <c r="AH141" i="48"/>
  <c r="AF141" i="48"/>
  <c r="AE141" i="48"/>
  <c r="AH140" i="48"/>
  <c r="AF140" i="48"/>
  <c r="AE140" i="48"/>
  <c r="AH139" i="48"/>
  <c r="AF139" i="48"/>
  <c r="AE139" i="48"/>
  <c r="AH138" i="48"/>
  <c r="AF138" i="48"/>
  <c r="AE138" i="48"/>
  <c r="AH137" i="48"/>
  <c r="AF137" i="48"/>
  <c r="AH136" i="48"/>
  <c r="AF136" i="48"/>
  <c r="AE136" i="48"/>
  <c r="AH135" i="48"/>
  <c r="AF135" i="48"/>
  <c r="AE135" i="48"/>
  <c r="AH134" i="48"/>
  <c r="AF134" i="48"/>
  <c r="AE134" i="48"/>
  <c r="AH133" i="48"/>
  <c r="AF133" i="48"/>
  <c r="AE133" i="48"/>
  <c r="AH132" i="48"/>
  <c r="AF132" i="48"/>
  <c r="AE132" i="48"/>
  <c r="AH131" i="48"/>
  <c r="AF131" i="48"/>
  <c r="AE131" i="48"/>
  <c r="AH130" i="48"/>
  <c r="AF130" i="48"/>
  <c r="AE130" i="48"/>
  <c r="AH129" i="48"/>
  <c r="AF129" i="48"/>
  <c r="AE129" i="48"/>
  <c r="AH128" i="48"/>
  <c r="AF128" i="48"/>
  <c r="AE128" i="48"/>
  <c r="V128" i="48"/>
  <c r="AH127" i="48"/>
  <c r="AF127" i="48"/>
  <c r="AE127" i="48"/>
  <c r="AH126" i="48"/>
  <c r="AF126" i="48"/>
  <c r="AE126" i="48"/>
  <c r="AH125" i="48"/>
  <c r="AF125" i="48"/>
  <c r="AE125" i="48"/>
  <c r="AH124" i="48"/>
  <c r="AF124" i="48"/>
  <c r="AE124" i="48"/>
  <c r="AH123" i="48"/>
  <c r="AF123" i="48"/>
  <c r="AE123" i="48"/>
  <c r="AH122" i="48"/>
  <c r="AF122" i="48"/>
  <c r="AE122" i="48"/>
  <c r="AH121" i="48"/>
  <c r="AF121" i="48"/>
  <c r="AE121" i="48"/>
  <c r="AH120" i="48"/>
  <c r="AF120" i="48"/>
  <c r="AE120" i="48"/>
  <c r="AH119" i="48"/>
  <c r="AF119" i="48"/>
  <c r="AE119" i="48"/>
  <c r="AH118" i="48"/>
  <c r="AF118" i="48"/>
  <c r="AE118" i="48"/>
  <c r="AH117" i="48"/>
  <c r="AF117" i="48"/>
  <c r="AE117" i="48"/>
  <c r="AH116" i="48"/>
  <c r="AF116" i="48"/>
  <c r="AE116" i="48"/>
  <c r="AH115" i="48"/>
  <c r="AF115" i="48"/>
  <c r="AE115" i="48"/>
  <c r="AH114" i="48"/>
  <c r="AF114" i="48"/>
  <c r="AE114" i="48"/>
  <c r="AH113" i="48"/>
  <c r="AF113" i="48"/>
  <c r="AE113" i="48"/>
  <c r="AH112" i="48"/>
  <c r="AF112" i="48"/>
  <c r="AE112" i="48"/>
  <c r="AH111" i="48"/>
  <c r="AF111" i="48"/>
  <c r="AE111" i="48"/>
  <c r="AH110" i="48"/>
  <c r="AF110" i="48"/>
  <c r="AE110" i="48"/>
  <c r="AH109" i="48"/>
  <c r="AF109" i="48"/>
  <c r="AE109" i="48"/>
  <c r="AH108" i="48"/>
  <c r="AF108" i="48"/>
  <c r="AE108" i="48"/>
  <c r="AH107" i="48"/>
  <c r="AF107" i="48"/>
  <c r="AE107" i="48"/>
  <c r="AH106" i="48"/>
  <c r="AF106" i="48"/>
  <c r="AE106" i="48"/>
  <c r="AH105" i="48"/>
  <c r="AF105" i="48"/>
  <c r="AE105" i="48"/>
  <c r="AH104" i="48"/>
  <c r="AF104" i="48"/>
  <c r="AE104" i="48"/>
  <c r="AH103" i="48"/>
  <c r="AF103" i="48"/>
  <c r="AE103" i="48"/>
  <c r="AH102" i="48"/>
  <c r="AF102" i="48"/>
  <c r="AE102" i="48"/>
  <c r="AH101" i="48"/>
  <c r="AF101" i="48"/>
  <c r="AE101" i="48"/>
  <c r="AH100" i="48"/>
  <c r="AF100" i="48"/>
  <c r="AE100" i="48"/>
  <c r="AH99" i="48"/>
  <c r="AF99" i="48"/>
  <c r="AE99" i="48"/>
  <c r="AH98" i="48"/>
  <c r="AF98" i="48"/>
  <c r="AE98" i="48"/>
  <c r="AH97" i="48"/>
  <c r="AF97" i="48"/>
  <c r="AE97" i="48"/>
  <c r="AH96" i="48"/>
  <c r="AF96" i="48"/>
  <c r="AE96" i="48"/>
  <c r="AH95" i="48"/>
  <c r="AF95" i="48"/>
  <c r="AE95" i="48"/>
  <c r="AH94" i="48"/>
  <c r="AF94" i="48"/>
  <c r="AE94" i="48"/>
  <c r="AH93" i="48"/>
  <c r="AF93" i="48"/>
  <c r="AE93" i="48"/>
  <c r="AH92" i="48"/>
  <c r="AF92" i="48"/>
  <c r="AE92" i="48"/>
  <c r="AH91" i="48"/>
  <c r="AF91" i="48"/>
  <c r="AE91" i="48"/>
  <c r="AH90" i="48"/>
  <c r="AF90" i="48"/>
  <c r="AE90" i="48"/>
  <c r="AH89" i="48"/>
  <c r="AF89" i="48"/>
  <c r="AE89" i="48"/>
  <c r="AH88" i="48"/>
  <c r="AF88" i="48"/>
  <c r="AE88" i="48"/>
  <c r="AH87" i="48"/>
  <c r="AF87" i="48"/>
  <c r="AE87" i="48"/>
  <c r="AH86" i="48"/>
  <c r="AF86" i="48"/>
  <c r="AE86" i="48"/>
  <c r="AH85" i="48"/>
  <c r="AF85" i="48"/>
  <c r="AE85" i="48"/>
  <c r="AH84" i="48"/>
  <c r="AF84" i="48"/>
  <c r="AE84" i="48"/>
  <c r="AH83" i="48"/>
  <c r="AF83" i="48"/>
  <c r="AE83" i="48"/>
  <c r="AH82" i="48"/>
  <c r="AF82" i="48"/>
  <c r="AE82" i="48"/>
  <c r="AH81" i="48"/>
  <c r="AF81" i="48"/>
  <c r="AE81" i="48"/>
  <c r="AH80" i="48"/>
  <c r="AF80" i="48"/>
  <c r="AE80" i="48"/>
  <c r="AH79" i="48"/>
  <c r="AF79" i="48"/>
  <c r="AE79" i="48"/>
  <c r="AH78" i="48"/>
  <c r="AF78" i="48"/>
  <c r="AE78" i="48"/>
  <c r="AH77" i="48"/>
  <c r="AF77" i="48"/>
  <c r="AE77" i="48"/>
  <c r="AH76" i="48"/>
  <c r="AF76" i="48"/>
  <c r="AE76" i="48"/>
  <c r="AH75" i="48"/>
  <c r="AF75" i="48"/>
  <c r="AE75" i="48"/>
  <c r="AH74" i="48"/>
  <c r="AF74" i="48"/>
  <c r="AE74" i="48"/>
  <c r="AH73" i="48"/>
  <c r="AF73" i="48"/>
  <c r="AE73" i="48"/>
  <c r="AH72" i="48"/>
  <c r="AF72" i="48"/>
  <c r="AE72" i="48"/>
  <c r="AH71" i="48"/>
  <c r="AF71" i="48"/>
  <c r="AE71" i="48"/>
  <c r="AH70" i="48"/>
  <c r="AF70" i="48"/>
  <c r="AE70" i="48"/>
  <c r="AH69" i="48"/>
  <c r="AF69" i="48"/>
  <c r="AE69" i="48"/>
  <c r="AH68" i="48"/>
  <c r="AF68" i="48"/>
  <c r="AE68" i="48"/>
  <c r="AH67" i="48"/>
  <c r="AF67" i="48"/>
  <c r="AE67" i="48"/>
  <c r="AH66" i="48"/>
  <c r="AF66" i="48"/>
  <c r="AE66" i="48"/>
  <c r="AH65" i="48"/>
  <c r="AF65" i="48"/>
  <c r="AE65" i="48"/>
  <c r="AH64" i="48"/>
  <c r="AF64" i="48"/>
  <c r="AE64" i="48"/>
  <c r="AH63" i="48"/>
  <c r="AF63" i="48"/>
  <c r="AE63" i="48"/>
  <c r="AH62" i="48"/>
  <c r="AF62" i="48"/>
  <c r="AE62" i="48"/>
  <c r="V62" i="48"/>
  <c r="AH61" i="48"/>
  <c r="AF61" i="48"/>
  <c r="AE61" i="48"/>
  <c r="V61" i="48"/>
  <c r="AH60" i="48"/>
  <c r="AF60" i="48"/>
  <c r="AE60" i="48"/>
  <c r="AH59" i="48"/>
  <c r="AF59" i="48"/>
  <c r="AE59" i="48"/>
  <c r="AH58" i="48"/>
  <c r="AF58" i="48"/>
  <c r="AE58" i="48"/>
  <c r="AH57" i="48"/>
  <c r="AF57" i="48"/>
  <c r="AE57" i="48"/>
  <c r="AH56" i="48"/>
  <c r="AF56" i="48"/>
  <c r="AE56" i="48"/>
  <c r="AH55" i="48"/>
  <c r="AF55" i="48"/>
  <c r="AE55" i="48"/>
  <c r="AH54" i="48"/>
  <c r="AF54" i="48"/>
  <c r="AE54" i="48"/>
  <c r="AH53" i="48"/>
  <c r="AF53" i="48"/>
  <c r="AE53" i="48"/>
  <c r="AH52" i="48"/>
  <c r="AF52" i="48"/>
  <c r="AE52" i="48"/>
  <c r="AH51" i="48"/>
  <c r="AF51" i="48"/>
  <c r="AE51" i="48"/>
  <c r="AH50" i="48"/>
  <c r="AF50" i="48"/>
  <c r="AE50" i="48"/>
  <c r="AH49" i="48"/>
  <c r="AF49" i="48"/>
  <c r="AE49" i="48"/>
  <c r="AH48" i="48"/>
  <c r="AF48" i="48"/>
  <c r="AE48" i="48"/>
  <c r="AH47" i="48"/>
  <c r="AF47" i="48"/>
  <c r="AE47" i="48"/>
  <c r="AH46" i="48"/>
  <c r="AF46" i="48"/>
  <c r="AE46" i="48"/>
  <c r="AH45" i="48"/>
  <c r="AF45" i="48"/>
  <c r="AE45" i="48"/>
  <c r="V45" i="48"/>
  <c r="AH44" i="48"/>
  <c r="AF44" i="48"/>
  <c r="AE44" i="48"/>
  <c r="AH43" i="48"/>
  <c r="AF43" i="48"/>
  <c r="AE43" i="48"/>
  <c r="AH42" i="48"/>
  <c r="AF42" i="48"/>
  <c r="AE42" i="48"/>
  <c r="AH41" i="48"/>
  <c r="AF41" i="48"/>
  <c r="AE41" i="48"/>
  <c r="AH40" i="48"/>
  <c r="AF40" i="48"/>
  <c r="AE40" i="48"/>
  <c r="AH39" i="48"/>
  <c r="AF39" i="48"/>
  <c r="AE39" i="48"/>
  <c r="AH38" i="48"/>
  <c r="AF38" i="48"/>
  <c r="AE38" i="48"/>
  <c r="AH37" i="48"/>
  <c r="AF37" i="48"/>
  <c r="AE37" i="48"/>
  <c r="AH36" i="48"/>
  <c r="AF36" i="48"/>
  <c r="AE36" i="48"/>
  <c r="AH35" i="48"/>
  <c r="AF35" i="48"/>
  <c r="AE35" i="48"/>
  <c r="AH34" i="48"/>
  <c r="AF34" i="48"/>
  <c r="AE34" i="48"/>
  <c r="AH33" i="48"/>
  <c r="AF33" i="48"/>
  <c r="AE33" i="48"/>
  <c r="AH32" i="48"/>
  <c r="AF32" i="48"/>
  <c r="AE32" i="48"/>
  <c r="AH31" i="48"/>
  <c r="AF31" i="48"/>
  <c r="AE31" i="48"/>
  <c r="AH30" i="48"/>
  <c r="AF30" i="48"/>
  <c r="AE30" i="48"/>
  <c r="AH29" i="48"/>
  <c r="AF29" i="48"/>
  <c r="AE29" i="48"/>
  <c r="AH28" i="48"/>
  <c r="AF28" i="48"/>
  <c r="AE28" i="48"/>
  <c r="AH27" i="48"/>
  <c r="AF27" i="48"/>
  <c r="AE27" i="48"/>
  <c r="AH26" i="48"/>
  <c r="AF26" i="48"/>
  <c r="AE26" i="48"/>
  <c r="AH25" i="48"/>
  <c r="AF25" i="48"/>
  <c r="AE25" i="48"/>
  <c r="AH24" i="48"/>
  <c r="AF24" i="48"/>
  <c r="AE24" i="48"/>
  <c r="AH23" i="48"/>
  <c r="AF23" i="48"/>
  <c r="AE23" i="48"/>
  <c r="AH22" i="48"/>
  <c r="AF22" i="48"/>
  <c r="AE22" i="48"/>
  <c r="AH21" i="48"/>
  <c r="AF21" i="48"/>
  <c r="AE21" i="48"/>
  <c r="AH20" i="48"/>
  <c r="AF20" i="48"/>
  <c r="AE20" i="48"/>
  <c r="AH19" i="48"/>
  <c r="AF19" i="48"/>
  <c r="AE19" i="48"/>
  <c r="AH18" i="48"/>
  <c r="AF18" i="48"/>
  <c r="AE18" i="48"/>
  <c r="AH17" i="48"/>
  <c r="AF17" i="48"/>
  <c r="AE17" i="48"/>
  <c r="AH16" i="48"/>
  <c r="AF16" i="48"/>
  <c r="AE16" i="48"/>
  <c r="AH15" i="48"/>
  <c r="AF15" i="48"/>
  <c r="AE15" i="48"/>
  <c r="AH14" i="48"/>
  <c r="AF14" i="48"/>
  <c r="AE14" i="48"/>
  <c r="AH13" i="48"/>
  <c r="AF13" i="48"/>
  <c r="AE13" i="48"/>
  <c r="AH12" i="48"/>
  <c r="AF12" i="48"/>
  <c r="AE12" i="48"/>
  <c r="AH11" i="48"/>
  <c r="AF11" i="48"/>
  <c r="AE11" i="48"/>
  <c r="AK12" i="48"/>
  <c r="AK13" i="48"/>
  <c r="AK14" i="48"/>
  <c r="AK15" i="48"/>
  <c r="AK16" i="48"/>
  <c r="AK17" i="48"/>
  <c r="AK18" i="48"/>
  <c r="AK19" i="48"/>
  <c r="AK20" i="48"/>
  <c r="AK21" i="48"/>
  <c r="AK22" i="48"/>
  <c r="AK23" i="48"/>
  <c r="AK24" i="48"/>
  <c r="AK25" i="48"/>
  <c r="AK26" i="48"/>
  <c r="AK27" i="48"/>
  <c r="AK28" i="48"/>
  <c r="AK29" i="48"/>
  <c r="AK30" i="48"/>
  <c r="AK31" i="48"/>
  <c r="AK32" i="48"/>
  <c r="AK33" i="48"/>
  <c r="AK34" i="48"/>
  <c r="AK35" i="48"/>
  <c r="AK36" i="48"/>
  <c r="AK37" i="48"/>
  <c r="AK38" i="48"/>
  <c r="AK39" i="48"/>
  <c r="AK40" i="48"/>
  <c r="AK41" i="48"/>
  <c r="AK42" i="48"/>
  <c r="AK43" i="48"/>
  <c r="AK44" i="48"/>
  <c r="AK45" i="48"/>
  <c r="AK46" i="48"/>
  <c r="AK47" i="48"/>
  <c r="AK48" i="48"/>
  <c r="AK49" i="48"/>
  <c r="AK50" i="48"/>
  <c r="AK51" i="48"/>
  <c r="AK52" i="48"/>
  <c r="AK53" i="48"/>
  <c r="AK54" i="48"/>
  <c r="AK55" i="48"/>
  <c r="AK56" i="48"/>
  <c r="AK57" i="48"/>
  <c r="AK58" i="48"/>
  <c r="AK59" i="48"/>
  <c r="AK60" i="48"/>
  <c r="AK61" i="48"/>
  <c r="AK62" i="48"/>
  <c r="AK63" i="48"/>
  <c r="AK64" i="48"/>
  <c r="AK65" i="48"/>
  <c r="AK66" i="48"/>
  <c r="AK67" i="48"/>
  <c r="AK68" i="48"/>
  <c r="AK69" i="48"/>
  <c r="AK70" i="48"/>
  <c r="AK71" i="48"/>
  <c r="AK72" i="48"/>
  <c r="AK73" i="48"/>
  <c r="AK74" i="48"/>
  <c r="AK75" i="48"/>
  <c r="AK76" i="48"/>
  <c r="AK77" i="48"/>
  <c r="AK78" i="48"/>
  <c r="AK79" i="48"/>
  <c r="AK80" i="48"/>
  <c r="AK81" i="48"/>
  <c r="AK82" i="48"/>
  <c r="AK83" i="48"/>
  <c r="AK84" i="48"/>
  <c r="AK85" i="48"/>
  <c r="AK86" i="48"/>
  <c r="AK87" i="48"/>
  <c r="AK88" i="48"/>
  <c r="AK89" i="48"/>
  <c r="AK90" i="48"/>
  <c r="AK91" i="48"/>
  <c r="AK92" i="48"/>
  <c r="AK93" i="48"/>
  <c r="AK94" i="48"/>
  <c r="AK95" i="48"/>
  <c r="AK96" i="48"/>
  <c r="AK97" i="48"/>
  <c r="AK98" i="48"/>
  <c r="AK99" i="48"/>
  <c r="AK100" i="48"/>
  <c r="AK101" i="48"/>
  <c r="AK102" i="48"/>
  <c r="AK103" i="48"/>
  <c r="AK104" i="48"/>
  <c r="AK105" i="48"/>
  <c r="AK106" i="48"/>
  <c r="AK107" i="48"/>
  <c r="AK108" i="48"/>
  <c r="AK109" i="48"/>
  <c r="AK110" i="48"/>
  <c r="AK111" i="48"/>
  <c r="AK112" i="48"/>
  <c r="AK113" i="48"/>
  <c r="AK114" i="48"/>
  <c r="AK115" i="48"/>
  <c r="AK116" i="48"/>
  <c r="AK117" i="48"/>
  <c r="AK118" i="48"/>
  <c r="AK119" i="48"/>
  <c r="AK120" i="48"/>
  <c r="AK121" i="48"/>
  <c r="AK122" i="48"/>
  <c r="AK123" i="48"/>
  <c r="AK124" i="48"/>
  <c r="AK125" i="48"/>
  <c r="AK126" i="48"/>
  <c r="AK127" i="48"/>
  <c r="AK128" i="48"/>
  <c r="AK129" i="48"/>
  <c r="AK130" i="48"/>
  <c r="AK131" i="48"/>
  <c r="AK132" i="48"/>
  <c r="AK133" i="48"/>
  <c r="AK134" i="48"/>
  <c r="AK135" i="48"/>
  <c r="AK136" i="48"/>
  <c r="AK137" i="48"/>
  <c r="AK138" i="48"/>
  <c r="AK139" i="48"/>
  <c r="AK140" i="48"/>
  <c r="AK141" i="48"/>
  <c r="AK142" i="48"/>
  <c r="AK143" i="48"/>
  <c r="AK144" i="48"/>
  <c r="AK145" i="48"/>
  <c r="AK11" i="48"/>
  <c r="AA68" i="48"/>
  <c r="AA55" i="48"/>
  <c r="AA50" i="48"/>
  <c r="AA39" i="48"/>
  <c r="AA25" i="48"/>
  <c r="AA18" i="48"/>
  <c r="AA12" i="48"/>
  <c r="BH11" i="48"/>
  <c r="J27" i="59" l="1"/>
  <c r="J28" i="59"/>
  <c r="J24" i="59"/>
  <c r="AP22" i="59" l="1"/>
  <c r="AG24" i="59"/>
  <c r="AG20" i="59"/>
  <c r="AG23" i="59"/>
  <c r="AG30" i="59"/>
  <c r="AG22" i="59"/>
  <c r="AG29" i="59"/>
  <c r="AG21" i="59"/>
  <c r="AG28" i="59"/>
  <c r="AG27" i="59"/>
  <c r="AG26" i="59"/>
  <c r="AG25" i="59"/>
  <c r="N29" i="59" l="1"/>
  <c r="M29" i="59"/>
  <c r="AU145" i="48" l="1"/>
  <c r="P145" i="48"/>
  <c r="R145" i="48"/>
  <c r="S145" i="48"/>
  <c r="M2" i="46"/>
  <c r="M5" i="46" l="1"/>
  <c r="L5" i="46"/>
  <c r="T37" i="52" s="1"/>
  <c r="K5" i="46"/>
  <c r="X27" i="52" l="1"/>
  <c r="X26" i="52"/>
  <c r="X25" i="52"/>
  <c r="X24" i="52"/>
  <c r="X23" i="52"/>
  <c r="K23" i="59" l="1"/>
  <c r="J36" i="59"/>
  <c r="J31" i="59"/>
  <c r="J30" i="59"/>
  <c r="J26" i="59"/>
  <c r="J22" i="59"/>
  <c r="J21" i="59"/>
  <c r="BX110" i="52" a="1"/>
  <c r="BX110" i="52" s="1"/>
  <c r="M30" i="52"/>
  <c r="J8" i="47"/>
  <c r="J9" i="47"/>
  <c r="J10" i="47"/>
  <c r="J11" i="47"/>
  <c r="J12" i="47"/>
  <c r="J13" i="47"/>
  <c r="J14" i="47"/>
  <c r="J15" i="47"/>
  <c r="J16" i="47"/>
  <c r="J17" i="47"/>
  <c r="J18" i="47"/>
  <c r="J19" i="47"/>
  <c r="J20" i="47"/>
  <c r="J21" i="47"/>
  <c r="J22" i="47"/>
  <c r="J23" i="47"/>
  <c r="J24" i="47"/>
  <c r="J25" i="47"/>
  <c r="J26" i="47"/>
  <c r="J27" i="47"/>
  <c r="J28" i="47"/>
  <c r="J29" i="47"/>
  <c r="J30" i="47"/>
  <c r="J31" i="47"/>
  <c r="J32" i="47"/>
  <c r="J33" i="47"/>
  <c r="J34" i="47"/>
  <c r="J35" i="47"/>
  <c r="J36" i="47"/>
  <c r="J37" i="47"/>
  <c r="J38" i="47"/>
  <c r="J39" i="47"/>
  <c r="J40" i="47"/>
  <c r="J41" i="47"/>
  <c r="J42" i="47"/>
  <c r="J43" i="47"/>
  <c r="J44" i="47"/>
  <c r="J45" i="47"/>
  <c r="J46" i="47"/>
  <c r="J47" i="47"/>
  <c r="J48" i="47"/>
  <c r="J49" i="47"/>
  <c r="J50" i="47"/>
  <c r="J51" i="47"/>
  <c r="J52" i="47"/>
  <c r="J53" i="47"/>
  <c r="J54" i="47"/>
  <c r="J55" i="47"/>
  <c r="J56" i="47"/>
  <c r="J57" i="47"/>
  <c r="J58" i="47"/>
  <c r="J59" i="47"/>
  <c r="J60" i="47"/>
  <c r="J61" i="47"/>
  <c r="J62" i="47"/>
  <c r="J63" i="47"/>
  <c r="J64" i="47"/>
  <c r="J65" i="47"/>
  <c r="J66" i="47"/>
  <c r="J67" i="47"/>
  <c r="J68" i="47"/>
  <c r="J69" i="47"/>
  <c r="J70" i="47"/>
  <c r="J71" i="47"/>
  <c r="J72" i="47"/>
  <c r="J73" i="47"/>
  <c r="J74" i="47"/>
  <c r="J75" i="47"/>
  <c r="J76" i="47"/>
  <c r="J77" i="47"/>
  <c r="J78" i="47"/>
  <c r="J79" i="47"/>
  <c r="J80" i="47"/>
  <c r="J81" i="47"/>
  <c r="J82" i="47"/>
  <c r="J83" i="47"/>
  <c r="J84" i="47"/>
  <c r="J85" i="47"/>
  <c r="J86" i="47"/>
  <c r="J87" i="47"/>
  <c r="J88" i="47"/>
  <c r="J89" i="47"/>
  <c r="J90" i="47"/>
  <c r="J91" i="47"/>
  <c r="J92" i="47"/>
  <c r="J93" i="47"/>
  <c r="J94" i="47"/>
  <c r="J95" i="47"/>
  <c r="J96" i="47"/>
  <c r="J97" i="47"/>
  <c r="J98" i="47"/>
  <c r="J99" i="47"/>
  <c r="J100" i="47"/>
  <c r="J101" i="47"/>
  <c r="J102" i="47"/>
  <c r="J103" i="47"/>
  <c r="J104" i="47"/>
  <c r="J105" i="47"/>
  <c r="J106" i="47"/>
  <c r="J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I40" i="47"/>
  <c r="I41" i="47"/>
  <c r="I42" i="47"/>
  <c r="I43" i="47"/>
  <c r="I44" i="47"/>
  <c r="I45" i="47"/>
  <c r="I46" i="47"/>
  <c r="I47" i="47"/>
  <c r="I48" i="47"/>
  <c r="I49" i="47"/>
  <c r="I50" i="47"/>
  <c r="I51" i="47"/>
  <c r="I52" i="47"/>
  <c r="I53" i="47"/>
  <c r="I54" i="47"/>
  <c r="I55" i="47"/>
  <c r="I56" i="47"/>
  <c r="I57" i="47"/>
  <c r="I58" i="47"/>
  <c r="I59" i="47"/>
  <c r="I60" i="47"/>
  <c r="I61" i="47"/>
  <c r="I62" i="47"/>
  <c r="I63" i="47"/>
  <c r="I64" i="47"/>
  <c r="I65" i="47"/>
  <c r="I66" i="47"/>
  <c r="I67" i="47"/>
  <c r="I68" i="47"/>
  <c r="I69" i="47"/>
  <c r="I70" i="47"/>
  <c r="I71" i="47"/>
  <c r="I72" i="47"/>
  <c r="I73" i="47"/>
  <c r="I74" i="47"/>
  <c r="I75" i="47"/>
  <c r="I76" i="47"/>
  <c r="I77" i="47"/>
  <c r="I78" i="47"/>
  <c r="I79" i="47"/>
  <c r="I80" i="47"/>
  <c r="I81" i="47"/>
  <c r="I82" i="47"/>
  <c r="I83" i="47"/>
  <c r="I84" i="47"/>
  <c r="I85" i="47"/>
  <c r="I86" i="47"/>
  <c r="I87" i="47"/>
  <c r="I88" i="47"/>
  <c r="I89" i="47"/>
  <c r="I90" i="47"/>
  <c r="I91" i="47"/>
  <c r="I92" i="47"/>
  <c r="I93" i="47"/>
  <c r="I94" i="47"/>
  <c r="I95" i="47"/>
  <c r="I96" i="47"/>
  <c r="I97" i="47"/>
  <c r="I98" i="47"/>
  <c r="I99" i="47"/>
  <c r="I100" i="47"/>
  <c r="I101" i="47"/>
  <c r="I102" i="47"/>
  <c r="I103" i="47"/>
  <c r="I104" i="47"/>
  <c r="I105" i="47"/>
  <c r="I106" i="47"/>
  <c r="T8" i="47"/>
  <c r="T9" i="47"/>
  <c r="T10" i="47"/>
  <c r="T11" i="47"/>
  <c r="T12" i="47"/>
  <c r="T13" i="47"/>
  <c r="T14" i="47"/>
  <c r="T15" i="47"/>
  <c r="T16" i="47"/>
  <c r="T17" i="47"/>
  <c r="T18" i="47"/>
  <c r="T19" i="47"/>
  <c r="T20" i="47"/>
  <c r="T21" i="47"/>
  <c r="T22" i="47"/>
  <c r="T23" i="47"/>
  <c r="T24" i="47"/>
  <c r="T25" i="47"/>
  <c r="T26" i="47"/>
  <c r="T27" i="47"/>
  <c r="T28" i="47"/>
  <c r="T29" i="47"/>
  <c r="T30" i="47"/>
  <c r="T31" i="47"/>
  <c r="T32" i="47"/>
  <c r="T33" i="47"/>
  <c r="T34" i="47"/>
  <c r="T35" i="47"/>
  <c r="T36" i="47"/>
  <c r="T37" i="47"/>
  <c r="T38" i="47"/>
  <c r="T39" i="47"/>
  <c r="T40" i="47"/>
  <c r="T41" i="47"/>
  <c r="T42" i="47"/>
  <c r="T43" i="47"/>
  <c r="T44" i="47"/>
  <c r="T45" i="47"/>
  <c r="T46" i="47"/>
  <c r="T47" i="47"/>
  <c r="T48" i="47"/>
  <c r="T49" i="47"/>
  <c r="T50" i="47"/>
  <c r="T51" i="47"/>
  <c r="T52" i="47"/>
  <c r="T53" i="47"/>
  <c r="T54" i="47"/>
  <c r="T55" i="47"/>
  <c r="T56" i="47"/>
  <c r="T57" i="47"/>
  <c r="T58" i="47"/>
  <c r="T59" i="47"/>
  <c r="T60" i="47"/>
  <c r="T61" i="47"/>
  <c r="T62" i="47"/>
  <c r="T63" i="47"/>
  <c r="T64" i="47"/>
  <c r="T65" i="47"/>
  <c r="T66" i="47"/>
  <c r="T67" i="47"/>
  <c r="T68" i="47"/>
  <c r="T69" i="47"/>
  <c r="T70" i="47"/>
  <c r="T71" i="47"/>
  <c r="T72" i="47"/>
  <c r="T73" i="47"/>
  <c r="T74" i="47"/>
  <c r="T75" i="47"/>
  <c r="T76" i="47"/>
  <c r="T77" i="47"/>
  <c r="T78" i="47"/>
  <c r="T79" i="47"/>
  <c r="T80" i="47"/>
  <c r="T81" i="47"/>
  <c r="T82" i="47"/>
  <c r="T83" i="47"/>
  <c r="T84" i="47"/>
  <c r="T85" i="47"/>
  <c r="T86" i="47"/>
  <c r="T87" i="47"/>
  <c r="T88" i="47"/>
  <c r="T89" i="47"/>
  <c r="T90" i="47"/>
  <c r="T91" i="47"/>
  <c r="T92" i="47"/>
  <c r="T93" i="47"/>
  <c r="T94" i="47"/>
  <c r="T95" i="47"/>
  <c r="T96" i="47"/>
  <c r="T97" i="47"/>
  <c r="T98" i="47"/>
  <c r="T99" i="47"/>
  <c r="T100" i="47"/>
  <c r="T101" i="47"/>
  <c r="T102" i="47"/>
  <c r="T103" i="47"/>
  <c r="T104" i="47"/>
  <c r="T105" i="47"/>
  <c r="T106" i="47"/>
  <c r="Q8" i="47"/>
  <c r="Q9" i="47"/>
  <c r="Q10" i="47"/>
  <c r="Q11" i="47"/>
  <c r="Q12" i="47"/>
  <c r="Q13" i="47"/>
  <c r="Q14" i="47"/>
  <c r="Q15" i="47"/>
  <c r="Q16" i="47"/>
  <c r="Q17" i="47"/>
  <c r="Q18" i="47"/>
  <c r="Q19" i="47"/>
  <c r="Q20" i="47"/>
  <c r="Q21" i="47"/>
  <c r="Q22" i="47"/>
  <c r="Q23" i="47"/>
  <c r="Q24" i="47"/>
  <c r="Q25" i="47"/>
  <c r="Q26" i="47"/>
  <c r="Q27" i="47"/>
  <c r="Q28" i="47"/>
  <c r="Q29" i="47"/>
  <c r="Q30" i="47"/>
  <c r="Q31" i="47"/>
  <c r="Q32" i="47"/>
  <c r="Q33" i="47"/>
  <c r="Q34" i="47"/>
  <c r="Q35" i="47"/>
  <c r="Q36" i="47"/>
  <c r="Q37" i="47"/>
  <c r="Q38" i="47"/>
  <c r="Q39" i="47"/>
  <c r="Q40" i="47"/>
  <c r="Q41" i="47"/>
  <c r="Q42" i="47"/>
  <c r="Q43" i="47"/>
  <c r="Q44" i="47"/>
  <c r="Q45" i="47"/>
  <c r="Q46" i="47"/>
  <c r="Q47" i="47"/>
  <c r="Q48" i="47"/>
  <c r="Q49" i="47"/>
  <c r="Q50" i="47"/>
  <c r="Q51" i="47"/>
  <c r="Q52" i="47"/>
  <c r="Q53" i="47"/>
  <c r="Q54" i="47"/>
  <c r="Q55" i="47"/>
  <c r="Q56" i="47"/>
  <c r="Q57" i="47"/>
  <c r="Q58" i="47"/>
  <c r="Q59" i="47"/>
  <c r="Q60" i="47"/>
  <c r="Q61" i="47"/>
  <c r="Q62" i="47"/>
  <c r="Q63" i="47"/>
  <c r="Q64" i="47"/>
  <c r="Q65" i="47"/>
  <c r="Q66" i="47"/>
  <c r="Q67" i="47"/>
  <c r="Q68" i="47"/>
  <c r="Q69" i="47"/>
  <c r="Q70" i="47"/>
  <c r="Q71" i="47"/>
  <c r="Q72" i="47"/>
  <c r="Q73" i="47"/>
  <c r="Q74" i="47"/>
  <c r="Q75" i="47"/>
  <c r="Q76" i="47"/>
  <c r="Q77" i="47"/>
  <c r="Q78" i="47"/>
  <c r="Q79" i="47"/>
  <c r="Q80" i="47"/>
  <c r="Q81" i="47"/>
  <c r="Q82" i="47"/>
  <c r="Q83" i="47"/>
  <c r="Q84" i="47"/>
  <c r="Q85" i="47"/>
  <c r="Q86" i="47"/>
  <c r="Q87" i="47"/>
  <c r="Q88" i="47"/>
  <c r="Q89" i="47"/>
  <c r="Q90" i="47"/>
  <c r="Q91" i="47"/>
  <c r="Q92" i="47"/>
  <c r="Q93" i="47"/>
  <c r="Q94" i="47"/>
  <c r="Q95" i="47"/>
  <c r="Q96" i="47"/>
  <c r="Q97" i="47"/>
  <c r="Q98" i="47"/>
  <c r="Q99" i="47"/>
  <c r="Q100" i="47"/>
  <c r="Q101" i="47"/>
  <c r="Q102" i="47"/>
  <c r="Q103" i="47"/>
  <c r="Q104" i="47"/>
  <c r="Q105" i="47"/>
  <c r="Q106" i="47"/>
  <c r="O8" i="47"/>
  <c r="O9" i="47"/>
  <c r="O10" i="47"/>
  <c r="O11" i="47"/>
  <c r="O12" i="47"/>
  <c r="O13" i="47"/>
  <c r="O14" i="47"/>
  <c r="O15" i="47"/>
  <c r="O16" i="47"/>
  <c r="O17" i="47"/>
  <c r="O18" i="47"/>
  <c r="O19" i="47"/>
  <c r="O20" i="47"/>
  <c r="O21" i="47"/>
  <c r="O22" i="47"/>
  <c r="O23" i="47"/>
  <c r="O24" i="47"/>
  <c r="O25" i="47"/>
  <c r="O26" i="47"/>
  <c r="O27" i="47"/>
  <c r="O28" i="47"/>
  <c r="O29" i="47"/>
  <c r="O30" i="47"/>
  <c r="O31" i="47"/>
  <c r="O32" i="47"/>
  <c r="O33" i="47"/>
  <c r="O34" i="47"/>
  <c r="O35" i="47"/>
  <c r="O36" i="47"/>
  <c r="O37" i="47"/>
  <c r="O38" i="47"/>
  <c r="O39" i="47"/>
  <c r="O40" i="47"/>
  <c r="O41" i="47"/>
  <c r="O42" i="47"/>
  <c r="O43" i="47"/>
  <c r="O44" i="47"/>
  <c r="O45" i="47"/>
  <c r="O46" i="47"/>
  <c r="O47" i="47"/>
  <c r="O48" i="47"/>
  <c r="O49" i="47"/>
  <c r="O50" i="47"/>
  <c r="O51" i="47"/>
  <c r="O52" i="47"/>
  <c r="O53" i="47"/>
  <c r="O54" i="47"/>
  <c r="O55" i="47"/>
  <c r="O56" i="47"/>
  <c r="O57" i="47"/>
  <c r="O58" i="47"/>
  <c r="O59" i="47"/>
  <c r="O60" i="47"/>
  <c r="O61" i="47"/>
  <c r="O62" i="47"/>
  <c r="O63" i="47"/>
  <c r="O64" i="47"/>
  <c r="O65" i="47"/>
  <c r="O66" i="47"/>
  <c r="O67" i="47"/>
  <c r="O68" i="47"/>
  <c r="O69" i="47"/>
  <c r="O70" i="47"/>
  <c r="O71" i="47"/>
  <c r="O72" i="47"/>
  <c r="O73" i="47"/>
  <c r="O74" i="47"/>
  <c r="O75" i="47"/>
  <c r="O76" i="47"/>
  <c r="O77" i="47"/>
  <c r="O78" i="47"/>
  <c r="O79" i="47"/>
  <c r="O80" i="47"/>
  <c r="O81" i="47"/>
  <c r="O82" i="47"/>
  <c r="O83" i="47"/>
  <c r="O84" i="47"/>
  <c r="O85" i="47"/>
  <c r="O86" i="47"/>
  <c r="O87" i="47"/>
  <c r="O88" i="47"/>
  <c r="O89" i="47"/>
  <c r="O90" i="47"/>
  <c r="O91" i="47"/>
  <c r="O92" i="47"/>
  <c r="O93" i="47"/>
  <c r="O94" i="47"/>
  <c r="O95" i="47"/>
  <c r="O96" i="47"/>
  <c r="O97" i="47"/>
  <c r="O98" i="47"/>
  <c r="O99" i="47"/>
  <c r="O100" i="47"/>
  <c r="O101" i="47"/>
  <c r="O102" i="47"/>
  <c r="O103" i="47"/>
  <c r="O104" i="47"/>
  <c r="O105" i="47"/>
  <c r="O106" i="47"/>
  <c r="O7" i="47"/>
  <c r="P8" i="47"/>
  <c r="P9" i="47"/>
  <c r="P10" i="47"/>
  <c r="P11" i="47"/>
  <c r="P12" i="47"/>
  <c r="P13" i="47"/>
  <c r="P14" i="47"/>
  <c r="P15" i="47"/>
  <c r="P16" i="47"/>
  <c r="P17" i="47"/>
  <c r="P18" i="47"/>
  <c r="P19" i="47"/>
  <c r="P20" i="47"/>
  <c r="P21" i="47"/>
  <c r="P22" i="47"/>
  <c r="P23" i="47"/>
  <c r="P24" i="47"/>
  <c r="P25" i="47"/>
  <c r="P26" i="47"/>
  <c r="P27" i="47"/>
  <c r="P28" i="47"/>
  <c r="P29" i="47"/>
  <c r="P30" i="47"/>
  <c r="P31" i="47"/>
  <c r="P32" i="47"/>
  <c r="P33" i="47"/>
  <c r="P34" i="47"/>
  <c r="P35" i="47"/>
  <c r="P36" i="47"/>
  <c r="P37" i="47"/>
  <c r="P38" i="47"/>
  <c r="P39" i="47"/>
  <c r="P40" i="47"/>
  <c r="P41" i="47"/>
  <c r="P42" i="47"/>
  <c r="P43" i="47"/>
  <c r="P44" i="47"/>
  <c r="P45" i="47"/>
  <c r="P46" i="47"/>
  <c r="P47" i="47"/>
  <c r="P48" i="47"/>
  <c r="P49" i="47"/>
  <c r="P50" i="47"/>
  <c r="P51" i="47"/>
  <c r="P52" i="47"/>
  <c r="P53" i="47"/>
  <c r="P54" i="47"/>
  <c r="P55" i="47"/>
  <c r="P56" i="47"/>
  <c r="P57" i="47"/>
  <c r="P58" i="47"/>
  <c r="P59" i="47"/>
  <c r="P60" i="47"/>
  <c r="P61" i="47"/>
  <c r="P62" i="47"/>
  <c r="P63" i="47"/>
  <c r="P64" i="47"/>
  <c r="P65" i="47"/>
  <c r="P66" i="47"/>
  <c r="P67" i="47"/>
  <c r="P68" i="47"/>
  <c r="P69" i="47"/>
  <c r="P70" i="47"/>
  <c r="P71" i="47"/>
  <c r="P72" i="47"/>
  <c r="P73" i="47"/>
  <c r="P74" i="47"/>
  <c r="P75" i="47"/>
  <c r="P76" i="47"/>
  <c r="P77" i="47"/>
  <c r="P78" i="47"/>
  <c r="P79" i="47"/>
  <c r="P80" i="47"/>
  <c r="P81" i="47"/>
  <c r="P82" i="47"/>
  <c r="P83" i="47"/>
  <c r="P84" i="47"/>
  <c r="P85" i="47"/>
  <c r="P86" i="47"/>
  <c r="P87" i="47"/>
  <c r="P88" i="47"/>
  <c r="P89" i="47"/>
  <c r="P90" i="47"/>
  <c r="P91" i="47"/>
  <c r="P92" i="47"/>
  <c r="P93" i="47"/>
  <c r="P94" i="47"/>
  <c r="P95" i="47"/>
  <c r="P96" i="47"/>
  <c r="P97" i="47"/>
  <c r="P98" i="47"/>
  <c r="P99" i="47"/>
  <c r="P100" i="47"/>
  <c r="P101" i="47"/>
  <c r="P102" i="47"/>
  <c r="P103" i="47"/>
  <c r="P104" i="47"/>
  <c r="P105" i="47"/>
  <c r="P106" i="47"/>
  <c r="P7" i="47"/>
  <c r="N8" i="47"/>
  <c r="N9" i="47"/>
  <c r="N10" i="47"/>
  <c r="N11" i="47"/>
  <c r="N12" i="47"/>
  <c r="N13" i="47"/>
  <c r="N14" i="47"/>
  <c r="N15" i="47"/>
  <c r="N16" i="47"/>
  <c r="N17" i="47"/>
  <c r="N18" i="47"/>
  <c r="N19" i="47"/>
  <c r="N20" i="47"/>
  <c r="N21" i="47"/>
  <c r="N22" i="47"/>
  <c r="N23" i="47"/>
  <c r="N24" i="47"/>
  <c r="N25" i="47"/>
  <c r="N26" i="47"/>
  <c r="N27" i="47"/>
  <c r="N28" i="47"/>
  <c r="N29" i="47"/>
  <c r="N30" i="47"/>
  <c r="N31" i="47"/>
  <c r="N32" i="47"/>
  <c r="N33" i="47"/>
  <c r="N34" i="47"/>
  <c r="N35" i="47"/>
  <c r="N36" i="47"/>
  <c r="N37" i="47"/>
  <c r="N38" i="47"/>
  <c r="N39" i="47"/>
  <c r="N40" i="47"/>
  <c r="N41" i="47"/>
  <c r="N42" i="47"/>
  <c r="N43" i="47"/>
  <c r="N44" i="47"/>
  <c r="N45" i="47"/>
  <c r="N46" i="47"/>
  <c r="N47" i="47"/>
  <c r="N48" i="47"/>
  <c r="N49" i="47"/>
  <c r="N50" i="47"/>
  <c r="N51" i="47"/>
  <c r="N52" i="47"/>
  <c r="N53" i="47"/>
  <c r="N54" i="47"/>
  <c r="N55" i="47"/>
  <c r="N56" i="47"/>
  <c r="N57" i="47"/>
  <c r="N58" i="47"/>
  <c r="N59" i="47"/>
  <c r="N60" i="47"/>
  <c r="N61" i="47"/>
  <c r="N62" i="47"/>
  <c r="N63" i="47"/>
  <c r="N64" i="47"/>
  <c r="N65" i="47"/>
  <c r="N66" i="47"/>
  <c r="N67" i="47"/>
  <c r="N68" i="47"/>
  <c r="N69" i="47"/>
  <c r="N70" i="47"/>
  <c r="N71" i="47"/>
  <c r="N72" i="47"/>
  <c r="N73" i="47"/>
  <c r="N74" i="47"/>
  <c r="N75" i="47"/>
  <c r="N76" i="47"/>
  <c r="N77" i="47"/>
  <c r="N78" i="47"/>
  <c r="N79" i="47"/>
  <c r="N80" i="47"/>
  <c r="N81" i="47"/>
  <c r="N82" i="47"/>
  <c r="N83" i="47"/>
  <c r="N84" i="47"/>
  <c r="N85" i="47"/>
  <c r="N86" i="47"/>
  <c r="N87" i="47"/>
  <c r="N88" i="47"/>
  <c r="N89" i="47"/>
  <c r="N90" i="47"/>
  <c r="N91" i="47"/>
  <c r="N92" i="47"/>
  <c r="N93" i="47"/>
  <c r="N94" i="47"/>
  <c r="N95" i="47"/>
  <c r="N96" i="47"/>
  <c r="N97" i="47"/>
  <c r="N98" i="47"/>
  <c r="N99" i="47"/>
  <c r="N100" i="47"/>
  <c r="N101" i="47"/>
  <c r="N102" i="47"/>
  <c r="N103" i="47"/>
  <c r="N104" i="47"/>
  <c r="N105" i="47"/>
  <c r="N106" i="47"/>
  <c r="N7" i="47"/>
  <c r="M8" i="47"/>
  <c r="M9" i="47"/>
  <c r="M10" i="47"/>
  <c r="M11" i="47"/>
  <c r="M12" i="47"/>
  <c r="M13" i="47"/>
  <c r="M14" i="47"/>
  <c r="M15" i="47"/>
  <c r="M16" i="47"/>
  <c r="M17" i="47"/>
  <c r="M18" i="47"/>
  <c r="M19" i="47"/>
  <c r="M20" i="47"/>
  <c r="M21" i="47"/>
  <c r="M22" i="47"/>
  <c r="M23" i="47"/>
  <c r="M24" i="47"/>
  <c r="M25" i="47"/>
  <c r="M26" i="47"/>
  <c r="M27" i="47"/>
  <c r="M28" i="47"/>
  <c r="M29" i="47"/>
  <c r="M30" i="47"/>
  <c r="M31" i="47"/>
  <c r="M32" i="47"/>
  <c r="M33" i="47"/>
  <c r="M34" i="47"/>
  <c r="M35" i="47"/>
  <c r="M36" i="47"/>
  <c r="M37" i="47"/>
  <c r="M38" i="47"/>
  <c r="M39" i="47"/>
  <c r="M40" i="47"/>
  <c r="M41" i="47"/>
  <c r="M42" i="47"/>
  <c r="M43" i="47"/>
  <c r="M44" i="47"/>
  <c r="M45" i="47"/>
  <c r="M46" i="47"/>
  <c r="M47" i="47"/>
  <c r="M48" i="47"/>
  <c r="M49" i="47"/>
  <c r="M50" i="47"/>
  <c r="M51" i="47"/>
  <c r="M52" i="47"/>
  <c r="M53" i="47"/>
  <c r="M54" i="47"/>
  <c r="M55" i="47"/>
  <c r="M56" i="47"/>
  <c r="M57" i="47"/>
  <c r="M58" i="47"/>
  <c r="M59" i="47"/>
  <c r="M60" i="47"/>
  <c r="M61" i="47"/>
  <c r="M62" i="47"/>
  <c r="M63" i="47"/>
  <c r="M64" i="47"/>
  <c r="M65" i="47"/>
  <c r="M66" i="47"/>
  <c r="M67" i="47"/>
  <c r="M68" i="47"/>
  <c r="M69" i="47"/>
  <c r="M70" i="47"/>
  <c r="M71" i="47"/>
  <c r="M72" i="47"/>
  <c r="M73" i="47"/>
  <c r="M74" i="47"/>
  <c r="M75" i="47"/>
  <c r="M76" i="47"/>
  <c r="M77" i="47"/>
  <c r="M78" i="47"/>
  <c r="M79" i="47"/>
  <c r="M80" i="47"/>
  <c r="M81" i="47"/>
  <c r="M82" i="47"/>
  <c r="M83" i="47"/>
  <c r="M84" i="47"/>
  <c r="M85" i="47"/>
  <c r="M86" i="47"/>
  <c r="M87" i="47"/>
  <c r="M88" i="47"/>
  <c r="M89" i="47"/>
  <c r="M90" i="47"/>
  <c r="M91" i="47"/>
  <c r="M92" i="47"/>
  <c r="M93" i="47"/>
  <c r="M94" i="47"/>
  <c r="M95" i="47"/>
  <c r="M96" i="47"/>
  <c r="M97" i="47"/>
  <c r="M98" i="47"/>
  <c r="M99" i="47"/>
  <c r="M100" i="47"/>
  <c r="M101" i="47"/>
  <c r="M102" i="47"/>
  <c r="M103" i="47"/>
  <c r="M104" i="47"/>
  <c r="M105" i="47"/>
  <c r="M106" i="47"/>
  <c r="M7" i="47"/>
  <c r="L8" i="47"/>
  <c r="L9" i="47"/>
  <c r="L10" i="47"/>
  <c r="L11" i="47"/>
  <c r="L12" i="47"/>
  <c r="L13" i="47"/>
  <c r="L14" i="47"/>
  <c r="L15" i="47"/>
  <c r="L16" i="47"/>
  <c r="L17" i="47"/>
  <c r="L18" i="47"/>
  <c r="L19" i="47"/>
  <c r="L20" i="47"/>
  <c r="L21" i="47"/>
  <c r="L22" i="47"/>
  <c r="L23" i="47"/>
  <c r="L24" i="47"/>
  <c r="L25" i="47"/>
  <c r="L26" i="47"/>
  <c r="L27" i="47"/>
  <c r="L28" i="47"/>
  <c r="L29" i="47"/>
  <c r="L30" i="47"/>
  <c r="L31" i="47"/>
  <c r="L32" i="47"/>
  <c r="L33" i="47"/>
  <c r="L34" i="47"/>
  <c r="L35" i="47"/>
  <c r="L36" i="47"/>
  <c r="L37" i="47"/>
  <c r="L38" i="47"/>
  <c r="L39" i="47"/>
  <c r="L40" i="47"/>
  <c r="L41" i="47"/>
  <c r="L42" i="47"/>
  <c r="L43" i="47"/>
  <c r="L44" i="47"/>
  <c r="L45" i="47"/>
  <c r="L46" i="47"/>
  <c r="L47" i="47"/>
  <c r="L48" i="47"/>
  <c r="L49" i="47"/>
  <c r="L50" i="47"/>
  <c r="L51" i="47"/>
  <c r="L52" i="47"/>
  <c r="L53" i="47"/>
  <c r="L54" i="47"/>
  <c r="L55" i="47"/>
  <c r="L56" i="47"/>
  <c r="L57" i="47"/>
  <c r="L58" i="47"/>
  <c r="L59" i="47"/>
  <c r="L60" i="47"/>
  <c r="L61" i="47"/>
  <c r="L62" i="47"/>
  <c r="L63" i="47"/>
  <c r="L64" i="47"/>
  <c r="L65" i="47"/>
  <c r="L66" i="47"/>
  <c r="L67" i="47"/>
  <c r="L68" i="47"/>
  <c r="L69" i="47"/>
  <c r="L70" i="47"/>
  <c r="L71" i="47"/>
  <c r="L72" i="47"/>
  <c r="L73" i="47"/>
  <c r="L74" i="47"/>
  <c r="L75" i="47"/>
  <c r="L76" i="47"/>
  <c r="L77" i="47"/>
  <c r="L78" i="47"/>
  <c r="L79" i="47"/>
  <c r="L80" i="47"/>
  <c r="L81" i="47"/>
  <c r="L82" i="47"/>
  <c r="L83" i="47"/>
  <c r="L84" i="47"/>
  <c r="L85" i="47"/>
  <c r="L86" i="47"/>
  <c r="L87" i="47"/>
  <c r="L88" i="47"/>
  <c r="L89" i="47"/>
  <c r="L90" i="47"/>
  <c r="L91" i="47"/>
  <c r="L92" i="47"/>
  <c r="L93" i="47"/>
  <c r="L94" i="47"/>
  <c r="L95" i="47"/>
  <c r="L96" i="47"/>
  <c r="L97" i="47"/>
  <c r="L98" i="47"/>
  <c r="L99" i="47"/>
  <c r="L100" i="47"/>
  <c r="L101" i="47"/>
  <c r="L102" i="47"/>
  <c r="L103" i="47"/>
  <c r="L104" i="47"/>
  <c r="L105" i="47"/>
  <c r="L106" i="47"/>
  <c r="K8" i="47"/>
  <c r="K9" i="47"/>
  <c r="K10" i="47"/>
  <c r="K11" i="47"/>
  <c r="K12" i="47"/>
  <c r="K13" i="47"/>
  <c r="K14" i="47"/>
  <c r="K15" i="47"/>
  <c r="K16" i="47"/>
  <c r="K17" i="47"/>
  <c r="K18" i="47"/>
  <c r="K19" i="47"/>
  <c r="K20" i="47"/>
  <c r="K21" i="47"/>
  <c r="K22" i="47"/>
  <c r="K23" i="47"/>
  <c r="K24" i="47"/>
  <c r="K25" i="47"/>
  <c r="K26" i="47"/>
  <c r="K27" i="47"/>
  <c r="K28" i="47"/>
  <c r="K29" i="47"/>
  <c r="K30" i="47"/>
  <c r="K31" i="47"/>
  <c r="K32" i="47"/>
  <c r="K33" i="47"/>
  <c r="K34" i="47"/>
  <c r="K35" i="47"/>
  <c r="K36" i="47"/>
  <c r="K37" i="47"/>
  <c r="K38" i="47"/>
  <c r="K39" i="47"/>
  <c r="K40" i="47"/>
  <c r="K41" i="47"/>
  <c r="K42" i="47"/>
  <c r="K43" i="47"/>
  <c r="K44" i="47"/>
  <c r="K45" i="47"/>
  <c r="K46" i="47"/>
  <c r="K47" i="47"/>
  <c r="K48" i="47"/>
  <c r="K49" i="47"/>
  <c r="K50" i="47"/>
  <c r="K51" i="47"/>
  <c r="K52" i="47"/>
  <c r="K53" i="47"/>
  <c r="K54" i="47"/>
  <c r="K55" i="47"/>
  <c r="K56" i="47"/>
  <c r="K57" i="47"/>
  <c r="K58" i="47"/>
  <c r="K59" i="47"/>
  <c r="K60" i="47"/>
  <c r="K61" i="47"/>
  <c r="K62" i="47"/>
  <c r="K63" i="47"/>
  <c r="K64" i="47"/>
  <c r="K65" i="47"/>
  <c r="K66" i="47"/>
  <c r="K67" i="47"/>
  <c r="K68" i="47"/>
  <c r="K69" i="47"/>
  <c r="K70" i="47"/>
  <c r="K71" i="47"/>
  <c r="K72" i="47"/>
  <c r="K73" i="47"/>
  <c r="K74" i="47"/>
  <c r="K75" i="47"/>
  <c r="K76" i="47"/>
  <c r="K77" i="47"/>
  <c r="K78" i="47"/>
  <c r="K79" i="47"/>
  <c r="K80" i="47"/>
  <c r="K81" i="47"/>
  <c r="K82" i="47"/>
  <c r="K83" i="47"/>
  <c r="K84" i="47"/>
  <c r="K85" i="47"/>
  <c r="K86" i="47"/>
  <c r="K87" i="47"/>
  <c r="K88" i="47"/>
  <c r="K89" i="47"/>
  <c r="K90" i="47"/>
  <c r="K91" i="47"/>
  <c r="K92" i="47"/>
  <c r="K93" i="47"/>
  <c r="K94" i="47"/>
  <c r="K95" i="47"/>
  <c r="K96" i="47"/>
  <c r="K97" i="47"/>
  <c r="K98" i="47"/>
  <c r="K99" i="47"/>
  <c r="K100" i="47"/>
  <c r="K101" i="47"/>
  <c r="K102" i="47"/>
  <c r="K103" i="47"/>
  <c r="K104" i="47"/>
  <c r="K105" i="47"/>
  <c r="K106" i="47"/>
  <c r="K7" i="47"/>
  <c r="L7" i="47"/>
  <c r="AH24" i="59" l="1"/>
  <c r="AH28" i="59"/>
  <c r="AH21" i="59"/>
  <c r="AH29" i="59"/>
  <c r="AH22" i="59"/>
  <c r="AH30" i="59"/>
  <c r="AH23" i="59"/>
  <c r="AH20" i="59"/>
  <c r="AP23" i="59"/>
  <c r="AH25" i="59"/>
  <c r="AH26" i="59"/>
  <c r="AH27" i="59"/>
  <c r="V22" i="59"/>
  <c r="AH51" i="59"/>
  <c r="CH51" i="59"/>
  <c r="CW51" i="59"/>
  <c r="V20" i="59"/>
  <c r="V21" i="59"/>
  <c r="AB51" i="59"/>
  <c r="V51" i="59"/>
  <c r="N22" i="52" l="1"/>
  <c r="P24" i="52"/>
  <c r="O21" i="52"/>
  <c r="P23" i="52"/>
  <c r="P22" i="52"/>
  <c r="O29" i="52"/>
  <c r="CA7" i="48" l="1"/>
  <c r="CA6" i="48"/>
  <c r="CA5" i="48"/>
  <c r="CA4" i="48"/>
  <c r="CA2" i="48"/>
  <c r="CA1" i="48"/>
  <c r="CA3" i="48" l="1"/>
  <c r="AP138" i="48" l="1"/>
  <c r="AP139" i="48"/>
  <c r="AP140" i="48"/>
  <c r="AP141" i="48"/>
  <c r="AP142" i="48"/>
  <c r="AP143" i="48"/>
  <c r="AP144" i="48"/>
  <c r="R144" i="48"/>
  <c r="S144" i="48"/>
  <c r="P135" i="48"/>
  <c r="R135" i="48"/>
  <c r="S135" i="48"/>
  <c r="AP135" i="48"/>
  <c r="AU135" i="48"/>
  <c r="P136" i="48"/>
  <c r="R136" i="48"/>
  <c r="S136" i="48"/>
  <c r="AP136" i="48"/>
  <c r="AU136" i="48"/>
  <c r="P137" i="48"/>
  <c r="R137" i="48"/>
  <c r="S137" i="48"/>
  <c r="AP137" i="48"/>
  <c r="AU137" i="48"/>
  <c r="P138" i="48"/>
  <c r="R138" i="48"/>
  <c r="S138" i="48"/>
  <c r="AU138" i="48"/>
  <c r="P139" i="48"/>
  <c r="R139" i="48"/>
  <c r="S139" i="48"/>
  <c r="AU139" i="48"/>
  <c r="P140" i="48"/>
  <c r="R140" i="48"/>
  <c r="S140" i="48"/>
  <c r="AU140" i="48"/>
  <c r="P141" i="48"/>
  <c r="R141" i="48"/>
  <c r="S141" i="48"/>
  <c r="AU141" i="48"/>
  <c r="P142" i="48"/>
  <c r="R142" i="48"/>
  <c r="S142" i="48"/>
  <c r="AU142" i="48"/>
  <c r="P143" i="48"/>
  <c r="R143" i="48"/>
  <c r="S143" i="48"/>
  <c r="AU143" i="48"/>
  <c r="P144" i="48"/>
  <c r="AU144" i="48"/>
  <c r="J23" i="52" l="1"/>
  <c r="J23" i="59" s="1"/>
  <c r="V26" i="59" s="1"/>
  <c r="AM20" i="59" s="1"/>
  <c r="AN51" i="59" l="1"/>
  <c r="AV51" i="59" s="1"/>
  <c r="AU18" i="48" l="1"/>
  <c r="AU19" i="48"/>
  <c r="AU20" i="48"/>
  <c r="AU21" i="48"/>
  <c r="AU22" i="48"/>
  <c r="AU23" i="48"/>
  <c r="AU24" i="48"/>
  <c r="AU25" i="48"/>
  <c r="AU26" i="48"/>
  <c r="AU27" i="48"/>
  <c r="AU28" i="48"/>
  <c r="AU29" i="48"/>
  <c r="AU30" i="48"/>
  <c r="AU31" i="48"/>
  <c r="AU32" i="48"/>
  <c r="AU33" i="48"/>
  <c r="AU34" i="48"/>
  <c r="AU35" i="48"/>
  <c r="AU36" i="48"/>
  <c r="AU37" i="48"/>
  <c r="AU38" i="48"/>
  <c r="AU39" i="48"/>
  <c r="AU40" i="48"/>
  <c r="AU41" i="48"/>
  <c r="AU42" i="48"/>
  <c r="AU43" i="48"/>
  <c r="AU44" i="48"/>
  <c r="AU45" i="48"/>
  <c r="AU46" i="48"/>
  <c r="AU47" i="48"/>
  <c r="AU48" i="48"/>
  <c r="AU49" i="48"/>
  <c r="AU50" i="48"/>
  <c r="AU51" i="48"/>
  <c r="AU52" i="48"/>
  <c r="AU53" i="48"/>
  <c r="AU54" i="48"/>
  <c r="AU55" i="48"/>
  <c r="AU56" i="48"/>
  <c r="AU57" i="48"/>
  <c r="AU58" i="48"/>
  <c r="AU59" i="48"/>
  <c r="AU60" i="48"/>
  <c r="AU61" i="48"/>
  <c r="AU62" i="48"/>
  <c r="AU63" i="48"/>
  <c r="AU64" i="48"/>
  <c r="AU65" i="48"/>
  <c r="AU66" i="48"/>
  <c r="AU67" i="48"/>
  <c r="AU68" i="48"/>
  <c r="AU69" i="48"/>
  <c r="AU70" i="48"/>
  <c r="AU71" i="48"/>
  <c r="AU72" i="48"/>
  <c r="AU73" i="48"/>
  <c r="AU74" i="48"/>
  <c r="AU75" i="48"/>
  <c r="AU76" i="48"/>
  <c r="AU77" i="48"/>
  <c r="AU78" i="48"/>
  <c r="AU79" i="48"/>
  <c r="AU80" i="48"/>
  <c r="AU81" i="48"/>
  <c r="AU82" i="48"/>
  <c r="AU83" i="48"/>
  <c r="AU84" i="48"/>
  <c r="AU85" i="48"/>
  <c r="AU86" i="48"/>
  <c r="AU87" i="48"/>
  <c r="AU88" i="48"/>
  <c r="AU89" i="48"/>
  <c r="AU90" i="48"/>
  <c r="AU91" i="48"/>
  <c r="AU92" i="48"/>
  <c r="AU93" i="48"/>
  <c r="AU94" i="48"/>
  <c r="AU95" i="48"/>
  <c r="AU96" i="48"/>
  <c r="AU97" i="48"/>
  <c r="AU98" i="48"/>
  <c r="AU99" i="48"/>
  <c r="AU100" i="48"/>
  <c r="AU101" i="48"/>
  <c r="AU102" i="48"/>
  <c r="AU103" i="48"/>
  <c r="AU104" i="48"/>
  <c r="AU105" i="48"/>
  <c r="AU106" i="48"/>
  <c r="AU107" i="48"/>
  <c r="AU108" i="48"/>
  <c r="AU109" i="48"/>
  <c r="AU110" i="48"/>
  <c r="AU111" i="48"/>
  <c r="AU112" i="48"/>
  <c r="AU113" i="48"/>
  <c r="AU114" i="48"/>
  <c r="AU115" i="48"/>
  <c r="AU116" i="48"/>
  <c r="AU117" i="48"/>
  <c r="AU118" i="48"/>
  <c r="AU119" i="48"/>
  <c r="AU120" i="48"/>
  <c r="AU121" i="48"/>
  <c r="AU122" i="48"/>
  <c r="AU123" i="48"/>
  <c r="AU124" i="48"/>
  <c r="AU125" i="48"/>
  <c r="AU126" i="48"/>
  <c r="AU127" i="48"/>
  <c r="AU128" i="48"/>
  <c r="AU129" i="48"/>
  <c r="AU130" i="48"/>
  <c r="AU131" i="48"/>
  <c r="AU132" i="48"/>
  <c r="AU133" i="48"/>
  <c r="AU134" i="48"/>
  <c r="AU11" i="48"/>
  <c r="AU12" i="48"/>
  <c r="AU13" i="48"/>
  <c r="AU14" i="48"/>
  <c r="AU15" i="48"/>
  <c r="AU16" i="48"/>
  <c r="AU17" i="48"/>
  <c r="B30" i="56"/>
  <c r="Q8" i="56"/>
  <c r="Q7" i="56"/>
  <c r="Q4" i="56"/>
  <c r="Q3" i="56"/>
  <c r="B29" i="56" l="1"/>
  <c r="B35" i="56" s="1"/>
  <c r="B27" i="56"/>
  <c r="B26" i="56"/>
  <c r="L4" i="56"/>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l="1"/>
  <c r="L42" i="56" s="1"/>
  <c r="L43" i="56" s="1"/>
  <c r="L44" i="56" s="1"/>
  <c r="L45" i="56" s="1"/>
  <c r="L46" i="56" s="1"/>
  <c r="L47" i="56" s="1"/>
  <c r="L48" i="56" s="1"/>
  <c r="L49" i="56" s="1"/>
  <c r="L50" i="56" s="1"/>
  <c r="L51" i="56" s="1"/>
  <c r="L52" i="56" s="1"/>
  <c r="L53" i="56" s="1"/>
  <c r="L54" i="56" s="1"/>
  <c r="L55" i="56" s="1"/>
  <c r="L56" i="56" s="1"/>
  <c r="L57" i="56" s="1"/>
  <c r="L58" i="56" s="1"/>
  <c r="L59" i="56" s="1"/>
  <c r="L60" i="56" s="1"/>
  <c r="L61" i="56" s="1"/>
  <c r="L62" i="56" s="1"/>
  <c r="L63" i="56" s="1"/>
  <c r="L64" i="56" s="1"/>
  <c r="L65" i="56" s="1"/>
  <c r="L66" i="56" s="1"/>
  <c r="L67" i="56" s="1"/>
  <c r="L68" i="56" s="1"/>
  <c r="L69" i="56" s="1"/>
  <c r="L70" i="56" s="1"/>
  <c r="L71" i="56" s="1"/>
  <c r="L72" i="56" s="1"/>
  <c r="L73" i="56" s="1"/>
  <c r="L74" i="56" s="1"/>
  <c r="L75" i="56" s="1"/>
  <c r="L76" i="56" s="1"/>
  <c r="L77" i="56" s="1"/>
  <c r="L78" i="56" s="1"/>
  <c r="L79" i="56" s="1"/>
  <c r="L80" i="56" s="1"/>
  <c r="L81" i="56" s="1"/>
  <c r="L82" i="56" s="1"/>
  <c r="L83" i="56" s="1"/>
  <c r="L84" i="56" s="1"/>
  <c r="L85" i="56" s="1"/>
  <c r="L86" i="56" s="1"/>
  <c r="L87" i="56" s="1"/>
  <c r="L88" i="56" s="1"/>
  <c r="L89" i="56" s="1"/>
  <c r="L90" i="56" s="1"/>
  <c r="L91" i="56" s="1"/>
  <c r="L92" i="56" s="1"/>
  <c r="L93" i="56" s="1"/>
  <c r="L94" i="56" s="1"/>
  <c r="L95" i="56" s="1"/>
  <c r="L96" i="56" s="1"/>
  <c r="L97" i="56" s="1"/>
  <c r="L98" i="56" s="1"/>
  <c r="L99" i="56" s="1"/>
  <c r="L100" i="56" s="1"/>
  <c r="L101" i="56" s="1"/>
  <c r="L102" i="56" s="1"/>
  <c r="L103" i="56" s="1"/>
  <c r="L104" i="56" s="1"/>
  <c r="L105" i="56" s="1"/>
  <c r="L106" i="56" s="1"/>
  <c r="L107" i="56" s="1"/>
  <c r="L108" i="56" s="1"/>
  <c r="L109" i="56" s="1"/>
  <c r="L110" i="56" s="1"/>
  <c r="L111" i="56" s="1"/>
  <c r="L112" i="56" s="1"/>
  <c r="L113" i="56" s="1"/>
  <c r="L114" i="56" s="1"/>
  <c r="L115" i="56" s="1"/>
  <c r="L116" i="56" s="1"/>
  <c r="L117" i="56" s="1"/>
  <c r="L118" i="56" s="1"/>
  <c r="L119" i="56" s="1"/>
  <c r="L120" i="56" s="1"/>
  <c r="L121" i="56" s="1"/>
  <c r="L122" i="56" s="1"/>
  <c r="L123" i="56" s="1"/>
  <c r="L124" i="56" s="1"/>
  <c r="L125" i="56" s="1"/>
  <c r="L126" i="56" s="1"/>
  <c r="L127" i="56" s="1"/>
  <c r="L128" i="56" s="1"/>
  <c r="L129" i="56" s="1"/>
  <c r="L130" i="56" s="1"/>
  <c r="L131" i="56" s="1"/>
  <c r="L132" i="56" s="1"/>
  <c r="L133" i="56" s="1"/>
  <c r="L134" i="56" s="1"/>
  <c r="L135" i="56" s="1"/>
  <c r="L136" i="56" s="1"/>
  <c r="L137" i="56" s="1"/>
  <c r="L138" i="56" s="1"/>
  <c r="L139" i="56" s="1"/>
  <c r="L140" i="56" s="1"/>
  <c r="L141" i="56" s="1"/>
  <c r="L142" i="56" s="1"/>
  <c r="L143" i="56" s="1"/>
  <c r="L144" i="56" s="1"/>
  <c r="L145" i="56" s="1"/>
  <c r="L146" i="56" s="1"/>
  <c r="L147" i="56" s="1"/>
  <c r="L148" i="56" s="1"/>
  <c r="L149" i="56" s="1"/>
  <c r="L150" i="56" s="1"/>
  <c r="L151" i="56" s="1"/>
  <c r="L152" i="56" s="1"/>
  <c r="L153" i="56" s="1"/>
  <c r="L154" i="56" s="1"/>
  <c r="L155" i="56" s="1"/>
  <c r="L156" i="56" s="1"/>
  <c r="L157" i="56" s="1"/>
  <c r="L158" i="56" s="1"/>
  <c r="L159" i="56" s="1"/>
  <c r="L160" i="56" s="1"/>
  <c r="L161" i="56" s="1"/>
  <c r="L162" i="56" s="1"/>
  <c r="L163" i="56" s="1"/>
  <c r="L164" i="56" s="1"/>
  <c r="L165" i="56" s="1"/>
  <c r="L166" i="56" s="1"/>
  <c r="L167" i="56" s="1"/>
  <c r="L168" i="56" s="1"/>
  <c r="L169" i="56" s="1"/>
  <c r="L170" i="56" s="1"/>
  <c r="L171" i="56" s="1"/>
  <c r="L172" i="56" s="1"/>
  <c r="L173" i="56" s="1"/>
  <c r="L174" i="56" s="1"/>
  <c r="L175" i="56" s="1"/>
  <c r="L176" i="56" s="1"/>
  <c r="L177" i="56" s="1"/>
  <c r="L178" i="56" s="1"/>
  <c r="L179" i="56" s="1"/>
  <c r="L180" i="56" s="1"/>
  <c r="L181" i="56" s="1"/>
  <c r="L182" i="56" s="1"/>
  <c r="L183" i="56" s="1"/>
  <c r="L184" i="56" s="1"/>
  <c r="L185" i="56" s="1"/>
  <c r="L186" i="56" s="1"/>
  <c r="L187" i="56" s="1"/>
  <c r="L188" i="56" s="1"/>
  <c r="L189" i="56" s="1"/>
  <c r="L190" i="56" s="1"/>
  <c r="L191" i="56" s="1"/>
  <c r="L192" i="56" s="1"/>
  <c r="L193" i="56" s="1"/>
  <c r="L194" i="56" s="1"/>
  <c r="L195" i="56" s="1"/>
  <c r="L196" i="56" s="1"/>
  <c r="L197" i="56" s="1"/>
  <c r="L198" i="56" s="1"/>
  <c r="L199" i="56" s="1"/>
  <c r="L200" i="56" s="1"/>
  <c r="L201" i="56" s="1"/>
  <c r="L202" i="56" s="1"/>
  <c r="L203" i="56" s="1"/>
  <c r="L204" i="56" s="1"/>
  <c r="L205" i="56" s="1"/>
  <c r="L206" i="56" s="1"/>
  <c r="L207" i="56" s="1"/>
  <c r="L208" i="56" s="1"/>
  <c r="L209" i="56" s="1"/>
  <c r="L210" i="56" s="1"/>
  <c r="L211" i="56" s="1"/>
  <c r="L212" i="56" s="1"/>
  <c r="L213" i="56" s="1"/>
  <c r="L214" i="56" s="1"/>
  <c r="L215" i="56" s="1"/>
  <c r="L216" i="56" s="1"/>
  <c r="L217" i="56" s="1"/>
  <c r="L218" i="56" s="1"/>
  <c r="L219" i="56" s="1"/>
  <c r="L220" i="56" s="1"/>
  <c r="L221" i="56" s="1"/>
  <c r="L222" i="56" s="1"/>
  <c r="L223" i="56" s="1"/>
  <c r="L224" i="56" s="1"/>
  <c r="L225" i="56" s="1"/>
  <c r="L226" i="56" s="1"/>
  <c r="L227" i="56" s="1"/>
  <c r="L228" i="56" s="1"/>
  <c r="L229" i="56" s="1"/>
  <c r="L230" i="56" s="1"/>
  <c r="L231" i="56" s="1"/>
  <c r="L232" i="56" s="1"/>
  <c r="L233" i="56" s="1"/>
  <c r="L234" i="56" s="1"/>
  <c r="L235" i="56" s="1"/>
  <c r="L236" i="56" s="1"/>
  <c r="L237" i="56" s="1"/>
  <c r="L238" i="56" s="1"/>
  <c r="L239" i="56" s="1"/>
  <c r="L240" i="56" s="1"/>
  <c r="L241" i="56" s="1"/>
  <c r="L242" i="56" s="1"/>
  <c r="L243" i="56" s="1"/>
  <c r="L244" i="56" s="1"/>
  <c r="L245" i="56" s="1"/>
  <c r="L246" i="56" s="1"/>
  <c r="L247" i="56" s="1"/>
  <c r="L248" i="56" s="1"/>
  <c r="L249" i="56" s="1"/>
  <c r="L250" i="56" s="1"/>
  <c r="L251" i="56" s="1"/>
  <c r="L252" i="56" s="1"/>
  <c r="L253" i="56" s="1"/>
  <c r="L254" i="56" s="1"/>
  <c r="L255" i="56" s="1"/>
  <c r="L256" i="56" s="1"/>
  <c r="L257" i="56" s="1"/>
  <c r="L258" i="56" s="1"/>
  <c r="L259" i="56" s="1"/>
  <c r="L260" i="56" s="1"/>
  <c r="L261" i="56" s="1"/>
  <c r="L262" i="56" s="1"/>
  <c r="L263" i="56" s="1"/>
  <c r="L264" i="56" s="1"/>
  <c r="L265" i="56" s="1"/>
  <c r="L266" i="56" s="1"/>
  <c r="L267" i="56" s="1"/>
  <c r="L268" i="56" s="1"/>
  <c r="L269" i="56" s="1"/>
  <c r="L270" i="56" s="1"/>
  <c r="L271" i="56" s="1"/>
  <c r="L272" i="56" s="1"/>
  <c r="L273" i="56" s="1"/>
  <c r="L274" i="56" s="1"/>
  <c r="L275" i="56" s="1"/>
  <c r="L276" i="56" s="1"/>
  <c r="L277" i="56" s="1"/>
  <c r="L278" i="56" s="1"/>
  <c r="L279" i="56" s="1"/>
  <c r="L280" i="56" s="1"/>
  <c r="L281" i="56" s="1"/>
  <c r="L282" i="56" s="1"/>
  <c r="L283" i="56" s="1"/>
  <c r="L284" i="56" s="1"/>
  <c r="L285" i="56" s="1"/>
  <c r="L286" i="56" s="1"/>
  <c r="L287" i="56" s="1"/>
  <c r="L288" i="56" s="1"/>
  <c r="L289" i="56" s="1"/>
  <c r="L290" i="56" s="1"/>
  <c r="L291" i="56" s="1"/>
  <c r="L292" i="56" s="1"/>
  <c r="L293" i="56" s="1"/>
  <c r="L294" i="56" s="1"/>
  <c r="L295" i="56" s="1"/>
  <c r="L296" i="56" s="1"/>
  <c r="L297" i="56" s="1"/>
  <c r="L298" i="56" s="1"/>
  <c r="L299" i="56" s="1"/>
  <c r="L300" i="56" s="1"/>
  <c r="L301" i="56" s="1"/>
  <c r="L302" i="56" s="1"/>
  <c r="L303" i="56" s="1"/>
  <c r="L304" i="56" s="1"/>
  <c r="L305" i="56" s="1"/>
  <c r="L306" i="56" s="1"/>
  <c r="L307" i="56" s="1"/>
  <c r="L308" i="56" s="1"/>
  <c r="L309" i="56" s="1"/>
  <c r="L310" i="56" s="1"/>
  <c r="L311" i="56" s="1"/>
  <c r="L312" i="56" s="1"/>
  <c r="L313" i="56" s="1"/>
  <c r="L314" i="56" s="1"/>
  <c r="L315" i="56" s="1"/>
  <c r="L316" i="56" s="1"/>
  <c r="L317" i="56" s="1"/>
  <c r="L318" i="56" s="1"/>
  <c r="L319" i="56" s="1"/>
  <c r="L320" i="56" s="1"/>
  <c r="L321" i="56" s="1"/>
  <c r="L322" i="56" s="1"/>
  <c r="L323" i="56" s="1"/>
  <c r="L324" i="56" s="1"/>
  <c r="L325" i="56" s="1"/>
  <c r="L326" i="56" s="1"/>
  <c r="L327" i="56" s="1"/>
  <c r="L328" i="56" s="1"/>
  <c r="L329" i="56" s="1"/>
  <c r="L330" i="56" s="1"/>
  <c r="L331" i="56" s="1"/>
  <c r="L332" i="56" s="1"/>
  <c r="L333" i="56" s="1"/>
  <c r="L334" i="56" s="1"/>
  <c r="L335" i="56" s="1"/>
  <c r="L336" i="56" s="1"/>
  <c r="L337" i="56" s="1"/>
  <c r="L338" i="56" s="1"/>
  <c r="L339" i="56" s="1"/>
  <c r="L340" i="56" s="1"/>
  <c r="L341" i="56" s="1"/>
  <c r="L342" i="56" s="1"/>
  <c r="L343" i="56" s="1"/>
  <c r="L344" i="56" s="1"/>
  <c r="L345" i="56" s="1"/>
  <c r="L346" i="56" s="1"/>
  <c r="L347" i="56" s="1"/>
  <c r="L348" i="56" s="1"/>
  <c r="L349" i="56" s="1"/>
  <c r="L350" i="56" s="1"/>
  <c r="L351" i="56" s="1"/>
  <c r="L352" i="56" s="1"/>
  <c r="L353" i="56" s="1"/>
  <c r="L354" i="56" s="1"/>
  <c r="L355" i="56" s="1"/>
  <c r="L356" i="56" s="1"/>
  <c r="L357" i="56" s="1"/>
  <c r="L358" i="56" s="1"/>
  <c r="L359" i="56" s="1"/>
  <c r="L360" i="56" s="1"/>
  <c r="L361" i="56" s="1"/>
  <c r="L362" i="56" s="1"/>
  <c r="L363" i="56" s="1"/>
  <c r="L364" i="56" s="1"/>
  <c r="L365" i="56" s="1"/>
  <c r="L366" i="56" s="1"/>
  <c r="L367" i="56" s="1"/>
  <c r="L368" i="56" s="1"/>
  <c r="L369" i="56" s="1"/>
  <c r="L370" i="56" s="1"/>
  <c r="L371" i="56" s="1"/>
  <c r="L372" i="56" s="1"/>
  <c r="L373" i="56" s="1"/>
  <c r="L374" i="56" s="1"/>
  <c r="L375" i="56" s="1"/>
  <c r="L376" i="56" s="1"/>
  <c r="L377" i="56" s="1"/>
  <c r="L378" i="56" s="1"/>
  <c r="L379" i="56" s="1"/>
  <c r="L380" i="56" s="1"/>
  <c r="L381" i="56" s="1"/>
  <c r="L382" i="56" s="1"/>
  <c r="L383" i="56" s="1"/>
  <c r="L384" i="56" s="1"/>
  <c r="L385" i="56" s="1"/>
  <c r="L386" i="56" s="1"/>
  <c r="L387" i="56" s="1"/>
  <c r="L388" i="56" s="1"/>
  <c r="L389" i="56" s="1"/>
  <c r="L390" i="56" s="1"/>
  <c r="L391" i="56" s="1"/>
  <c r="L392" i="56" s="1"/>
  <c r="L393" i="56" s="1"/>
  <c r="L394" i="56" s="1"/>
  <c r="L395" i="56" s="1"/>
  <c r="L396" i="56" s="1"/>
  <c r="L397" i="56" s="1"/>
  <c r="L398" i="56" s="1"/>
  <c r="L399" i="56" s="1"/>
  <c r="L400" i="56" s="1"/>
  <c r="L401" i="56" s="1"/>
  <c r="L402" i="56" s="1"/>
  <c r="L403" i="56" s="1"/>
  <c r="L404" i="56" s="1"/>
  <c r="I7" i="47" l="1"/>
  <c r="B25" i="56"/>
  <c r="B33" i="56" l="1"/>
  <c r="M28" i="52"/>
  <c r="M26" i="52"/>
  <c r="M24" i="52" l="1"/>
  <c r="M28" i="59"/>
  <c r="M23" i="52"/>
  <c r="M4" i="56"/>
  <c r="M204" i="56" s="1"/>
  <c r="B36" i="56"/>
  <c r="J30" i="52" l="1"/>
  <c r="M5" i="56"/>
  <c r="M205" i="56" s="1"/>
  <c r="R93" i="48"/>
  <c r="R101" i="48"/>
  <c r="R112" i="48"/>
  <c r="R119" i="48"/>
  <c r="AP130" i="48"/>
  <c r="P130" i="48"/>
  <c r="R130" i="48"/>
  <c r="S130" i="48"/>
  <c r="P37" i="48"/>
  <c r="R37" i="48"/>
  <c r="S37" i="48"/>
  <c r="AP37" i="48"/>
  <c r="P93" i="48"/>
  <c r="S93" i="48"/>
  <c r="AP93" i="48"/>
  <c r="AP101" i="48"/>
  <c r="P101" i="48"/>
  <c r="S101" i="48"/>
  <c r="AP112" i="48"/>
  <c r="S112" i="48"/>
  <c r="P112" i="48"/>
  <c r="P23" i="48"/>
  <c r="P51" i="48"/>
  <c r="P75" i="48"/>
  <c r="P82" i="48"/>
  <c r="P102" i="48"/>
  <c r="P113" i="48"/>
  <c r="P121" i="48"/>
  <c r="P39" i="48"/>
  <c r="P52" i="48"/>
  <c r="P64" i="48"/>
  <c r="P103" i="48"/>
  <c r="P30" i="48"/>
  <c r="P47" i="48"/>
  <c r="P53" i="48"/>
  <c r="P65" i="48"/>
  <c r="P83" i="48"/>
  <c r="P95" i="48"/>
  <c r="P104" i="48"/>
  <c r="P114" i="48"/>
  <c r="P122" i="48"/>
  <c r="P127" i="48"/>
  <c r="P132" i="48"/>
  <c r="P48" i="48"/>
  <c r="P84" i="48"/>
  <c r="P96" i="48"/>
  <c r="P105" i="48"/>
  <c r="P125" i="48"/>
  <c r="P133" i="48"/>
  <c r="P66" i="48"/>
  <c r="P76" i="48"/>
  <c r="P85" i="48"/>
  <c r="P106" i="48"/>
  <c r="P115" i="48"/>
  <c r="P126" i="48"/>
  <c r="P131" i="48"/>
  <c r="P11" i="48"/>
  <c r="P17" i="48"/>
  <c r="P24" i="48"/>
  <c r="P38" i="48"/>
  <c r="P31" i="48"/>
  <c r="P49" i="48"/>
  <c r="P54" i="48"/>
  <c r="P67" i="48"/>
  <c r="P12" i="48"/>
  <c r="P18" i="48"/>
  <c r="P25" i="48"/>
  <c r="P32" i="48"/>
  <c r="P50" i="48"/>
  <c r="P55" i="48"/>
  <c r="P68" i="48"/>
  <c r="P86" i="48"/>
  <c r="P77" i="48"/>
  <c r="P69" i="48"/>
  <c r="P56" i="48"/>
  <c r="P40" i="48"/>
  <c r="P33" i="48"/>
  <c r="P26" i="48"/>
  <c r="P19" i="48"/>
  <c r="P116" i="48"/>
  <c r="P107" i="48"/>
  <c r="P97" i="48"/>
  <c r="P87" i="48"/>
  <c r="P78" i="48"/>
  <c r="P70" i="48"/>
  <c r="P57" i="48"/>
  <c r="P41" i="48"/>
  <c r="P34" i="48"/>
  <c r="P27" i="48"/>
  <c r="P20" i="48"/>
  <c r="P117" i="48"/>
  <c r="P108" i="48"/>
  <c r="P98" i="48"/>
  <c r="P88" i="48"/>
  <c r="P79" i="48"/>
  <c r="P71" i="48"/>
  <c r="P58" i="48"/>
  <c r="P42" i="48"/>
  <c r="P35" i="48"/>
  <c r="P28" i="48"/>
  <c r="P21" i="48"/>
  <c r="P123" i="48"/>
  <c r="P118" i="48"/>
  <c r="P109" i="48"/>
  <c r="P99" i="48"/>
  <c r="P89" i="48"/>
  <c r="P80" i="48"/>
  <c r="P72" i="48"/>
  <c r="P59" i="48"/>
  <c r="P43" i="48"/>
  <c r="P36" i="48"/>
  <c r="P29" i="48"/>
  <c r="P44" i="48"/>
  <c r="P90" i="48"/>
  <c r="P110" i="48"/>
  <c r="P22" i="48"/>
  <c r="P60" i="48"/>
  <c r="P73" i="48"/>
  <c r="P91" i="48"/>
  <c r="P100" i="48"/>
  <c r="P74" i="48"/>
  <c r="P92" i="48"/>
  <c r="P111" i="48"/>
  <c r="P124" i="48"/>
  <c r="P46" i="48"/>
  <c r="P13" i="48"/>
  <c r="P45" i="48"/>
  <c r="P128" i="48"/>
  <c r="P61" i="48"/>
  <c r="P62" i="48"/>
  <c r="P63" i="48"/>
  <c r="P94" i="48"/>
  <c r="P81" i="48"/>
  <c r="P120" i="48"/>
  <c r="P14" i="48"/>
  <c r="P134" i="48"/>
  <c r="P129" i="48"/>
  <c r="P15" i="48"/>
  <c r="P119" i="48"/>
  <c r="AP15" i="48"/>
  <c r="AP129" i="48"/>
  <c r="AP134" i="48"/>
  <c r="S119" i="48"/>
  <c r="AP119" i="48"/>
  <c r="R15" i="48"/>
  <c r="S15" i="48"/>
  <c r="R129" i="48"/>
  <c r="S129" i="48"/>
  <c r="R134" i="48"/>
  <c r="S134" i="48"/>
  <c r="R14" i="48"/>
  <c r="S14" i="48"/>
  <c r="BJ8" i="45"/>
  <c r="BJ9" i="45"/>
  <c r="BJ10" i="45"/>
  <c r="BJ11" i="45"/>
  <c r="BJ12" i="45"/>
  <c r="BJ13" i="45"/>
  <c r="BJ14" i="45"/>
  <c r="BJ15" i="45"/>
  <c r="BJ16" i="45"/>
  <c r="BJ17" i="45"/>
  <c r="BJ18" i="45"/>
  <c r="BJ19" i="45"/>
  <c r="BJ20" i="45"/>
  <c r="BJ21" i="45"/>
  <c r="BJ22" i="45"/>
  <c r="BJ23" i="45"/>
  <c r="BJ24" i="45"/>
  <c r="BJ25" i="45"/>
  <c r="BJ26" i="45"/>
  <c r="BJ27" i="45"/>
  <c r="BJ28" i="45"/>
  <c r="BJ29" i="45"/>
  <c r="BJ30" i="45"/>
  <c r="BJ31" i="45"/>
  <c r="BJ32" i="45"/>
  <c r="BJ33" i="45"/>
  <c r="BJ34" i="45"/>
  <c r="BJ35" i="45"/>
  <c r="BJ36" i="45"/>
  <c r="BJ37" i="45"/>
  <c r="BJ38" i="45"/>
  <c r="BJ39" i="45"/>
  <c r="BJ7" i="45"/>
  <c r="BI8" i="45"/>
  <c r="BI9" i="45"/>
  <c r="BI10" i="45"/>
  <c r="BI11" i="45"/>
  <c r="BI12" i="45"/>
  <c r="BI13" i="45"/>
  <c r="BI14" i="45"/>
  <c r="BI15" i="45"/>
  <c r="BI16" i="45"/>
  <c r="BI17" i="45"/>
  <c r="BI18" i="45"/>
  <c r="BI19" i="45"/>
  <c r="BI20" i="45"/>
  <c r="BI21" i="45"/>
  <c r="BI22" i="45"/>
  <c r="BI23" i="45"/>
  <c r="BI24" i="45"/>
  <c r="BI25" i="45"/>
  <c r="BI26" i="45"/>
  <c r="BI27" i="45"/>
  <c r="BI28" i="45"/>
  <c r="BI29" i="45"/>
  <c r="BI30" i="45"/>
  <c r="BI31" i="45"/>
  <c r="BI32" i="45"/>
  <c r="BI33" i="45"/>
  <c r="BI34" i="45"/>
  <c r="BI35" i="45"/>
  <c r="BI36" i="45"/>
  <c r="BI37" i="45"/>
  <c r="BI38" i="45"/>
  <c r="BI39" i="45"/>
  <c r="BI7" i="45"/>
  <c r="J29" i="59" l="1"/>
  <c r="T20" i="59" s="1"/>
  <c r="O27" i="52"/>
  <c r="CA8" i="48"/>
  <c r="B28" i="56"/>
  <c r="B34" i="56" s="1"/>
  <c r="K3" i="56" s="1"/>
  <c r="M6" i="56"/>
  <c r="M206" i="56" s="1"/>
  <c r="N5" i="56" l="1"/>
  <c r="N205" i="56" s="1"/>
  <c r="N3" i="56"/>
  <c r="N6" i="56"/>
  <c r="N206" i="56" s="1"/>
  <c r="N4" i="56"/>
  <c r="N204" i="56" s="1"/>
  <c r="M7" i="56"/>
  <c r="M207" i="56" s="1"/>
  <c r="R120" i="48"/>
  <c r="S120" i="48"/>
  <c r="AP120" i="48"/>
  <c r="R81" i="48"/>
  <c r="S81" i="48"/>
  <c r="M8" i="56" l="1"/>
  <c r="M208" i="56" s="1"/>
  <c r="N7" i="56"/>
  <c r="N207" i="56" s="1"/>
  <c r="AP81" i="48"/>
  <c r="M9" i="56" l="1"/>
  <c r="M209" i="56" s="1"/>
  <c r="N8" i="56"/>
  <c r="N208" i="56" s="1"/>
  <c r="T7" i="47"/>
  <c r="M10" i="56" l="1"/>
  <c r="M210" i="56" s="1"/>
  <c r="N9" i="56"/>
  <c r="N209" i="56" s="1"/>
  <c r="M11" i="56" l="1"/>
  <c r="M211" i="56" s="1"/>
  <c r="N10" i="56"/>
  <c r="N210" i="56" s="1"/>
  <c r="M12" i="56" l="1"/>
  <c r="M212" i="56" s="1"/>
  <c r="N11" i="56"/>
  <c r="N211" i="56" s="1"/>
  <c r="AP63" i="48"/>
  <c r="AP94" i="48"/>
  <c r="R94" i="48"/>
  <c r="S94" i="48"/>
  <c r="M13" i="56" l="1"/>
  <c r="M213" i="56" s="1"/>
  <c r="N12" i="56"/>
  <c r="N212" i="56" s="1"/>
  <c r="M14" i="56" l="1"/>
  <c r="M214" i="56" s="1"/>
  <c r="N13" i="56"/>
  <c r="N213" i="56" s="1"/>
  <c r="R63" i="48"/>
  <c r="S63" i="48"/>
  <c r="M15" i="56" l="1"/>
  <c r="M215" i="56" s="1"/>
  <c r="N14" i="56"/>
  <c r="N214" i="56" s="1"/>
  <c r="S8" i="47"/>
  <c r="S9" i="47"/>
  <c r="S10" i="47"/>
  <c r="S11" i="47"/>
  <c r="S12" i="47"/>
  <c r="S13" i="47"/>
  <c r="S14" i="47"/>
  <c r="S15" i="47"/>
  <c r="S16" i="47"/>
  <c r="S17" i="47"/>
  <c r="S18" i="47"/>
  <c r="S19" i="47"/>
  <c r="S20" i="47"/>
  <c r="S21" i="47"/>
  <c r="S22" i="47"/>
  <c r="S23" i="47"/>
  <c r="S24" i="47"/>
  <c r="S25" i="47"/>
  <c r="S26" i="47"/>
  <c r="S27" i="47"/>
  <c r="S28" i="47"/>
  <c r="S29" i="47"/>
  <c r="S30" i="47"/>
  <c r="S31" i="47"/>
  <c r="S32" i="47"/>
  <c r="S33" i="47"/>
  <c r="S34" i="47"/>
  <c r="S35" i="47"/>
  <c r="S36" i="47"/>
  <c r="S37" i="47"/>
  <c r="S38" i="47"/>
  <c r="S39" i="47"/>
  <c r="S40" i="47"/>
  <c r="S41" i="47"/>
  <c r="S42" i="47"/>
  <c r="S43" i="47"/>
  <c r="S44" i="47"/>
  <c r="S45" i="47"/>
  <c r="S46" i="47"/>
  <c r="S47" i="47"/>
  <c r="S48" i="47"/>
  <c r="S49" i="47"/>
  <c r="S50" i="47"/>
  <c r="S51" i="47"/>
  <c r="S52" i="47"/>
  <c r="S53" i="47"/>
  <c r="S54" i="47"/>
  <c r="S55" i="47"/>
  <c r="S56" i="47"/>
  <c r="S57" i="47"/>
  <c r="S58" i="47"/>
  <c r="S59" i="47"/>
  <c r="S60" i="47"/>
  <c r="S61" i="47"/>
  <c r="S62" i="47"/>
  <c r="S63" i="47"/>
  <c r="S64" i="47"/>
  <c r="S65" i="47"/>
  <c r="S66" i="47"/>
  <c r="S67" i="47"/>
  <c r="S68" i="47"/>
  <c r="S69" i="47"/>
  <c r="S70" i="47"/>
  <c r="S71" i="47"/>
  <c r="S72" i="47"/>
  <c r="S73" i="47"/>
  <c r="S74" i="47"/>
  <c r="S75" i="47"/>
  <c r="S76" i="47"/>
  <c r="S77" i="47"/>
  <c r="S78" i="47"/>
  <c r="S79" i="47"/>
  <c r="S80" i="47"/>
  <c r="S81" i="47"/>
  <c r="S82" i="47"/>
  <c r="S83" i="47"/>
  <c r="S84" i="47"/>
  <c r="S85" i="47"/>
  <c r="S86" i="47"/>
  <c r="S87" i="47"/>
  <c r="S88" i="47"/>
  <c r="S89" i="47"/>
  <c r="S90" i="47"/>
  <c r="S91" i="47"/>
  <c r="S92" i="47"/>
  <c r="S93" i="47"/>
  <c r="S94" i="47"/>
  <c r="S95" i="47"/>
  <c r="S96" i="47"/>
  <c r="S97" i="47"/>
  <c r="S98" i="47"/>
  <c r="S99" i="47"/>
  <c r="S100" i="47"/>
  <c r="S101" i="47"/>
  <c r="S102" i="47"/>
  <c r="S103" i="47"/>
  <c r="S104" i="47"/>
  <c r="S105" i="47"/>
  <c r="S106" i="47"/>
  <c r="S7" i="47"/>
  <c r="M16" i="56" l="1"/>
  <c r="M216" i="56" s="1"/>
  <c r="N15" i="56"/>
  <c r="N215" i="56" s="1"/>
  <c r="M17" i="56" l="1"/>
  <c r="M217" i="56" s="1"/>
  <c r="N16" i="56"/>
  <c r="N216" i="56" s="1"/>
  <c r="R23" i="48"/>
  <c r="R51" i="48"/>
  <c r="R75" i="48"/>
  <c r="R82" i="48"/>
  <c r="R102" i="48"/>
  <c r="R113" i="48"/>
  <c r="R121" i="48"/>
  <c r="R39" i="48"/>
  <c r="R52" i="48"/>
  <c r="R64" i="48"/>
  <c r="R103" i="48"/>
  <c r="R30" i="48"/>
  <c r="R47" i="48"/>
  <c r="R53" i="48"/>
  <c r="R65" i="48"/>
  <c r="R83" i="48"/>
  <c r="R95" i="48"/>
  <c r="R104" i="48"/>
  <c r="R114" i="48"/>
  <c r="R122" i="48"/>
  <c r="R127" i="48"/>
  <c r="R132" i="48"/>
  <c r="R48" i="48"/>
  <c r="R84" i="48"/>
  <c r="R96" i="48"/>
  <c r="R105" i="48"/>
  <c r="R125" i="48"/>
  <c r="R133" i="48"/>
  <c r="R66" i="48"/>
  <c r="R76" i="48"/>
  <c r="R85" i="48"/>
  <c r="R106" i="48"/>
  <c r="R115" i="48"/>
  <c r="R126" i="48"/>
  <c r="R131" i="48"/>
  <c r="R11" i="48"/>
  <c r="R17" i="48"/>
  <c r="R24" i="48"/>
  <c r="R38" i="48"/>
  <c r="R31" i="48"/>
  <c r="R49" i="48"/>
  <c r="R54" i="48"/>
  <c r="R67" i="48"/>
  <c r="R12" i="48"/>
  <c r="R18" i="48"/>
  <c r="R25" i="48"/>
  <c r="R32" i="48"/>
  <c r="R50" i="48"/>
  <c r="R55" i="48"/>
  <c r="R68" i="48"/>
  <c r="R86" i="48"/>
  <c r="R77" i="48"/>
  <c r="R69" i="48"/>
  <c r="R56" i="48"/>
  <c r="R40" i="48"/>
  <c r="R33" i="48"/>
  <c r="R26" i="48"/>
  <c r="R19" i="48"/>
  <c r="R116" i="48"/>
  <c r="R107" i="48"/>
  <c r="R97" i="48"/>
  <c r="R87" i="48"/>
  <c r="R78" i="48"/>
  <c r="R70" i="48"/>
  <c r="R57" i="48"/>
  <c r="R41" i="48"/>
  <c r="R34" i="48"/>
  <c r="R27" i="48"/>
  <c r="R20" i="48"/>
  <c r="R117" i="48"/>
  <c r="R108" i="48"/>
  <c r="R98" i="48"/>
  <c r="R88" i="48"/>
  <c r="R79" i="48"/>
  <c r="R71" i="48"/>
  <c r="R58" i="48"/>
  <c r="R42" i="48"/>
  <c r="R35" i="48"/>
  <c r="R28" i="48"/>
  <c r="R21" i="48"/>
  <c r="R123" i="48"/>
  <c r="R118" i="48"/>
  <c r="R109" i="48"/>
  <c r="R99" i="48"/>
  <c r="R89" i="48"/>
  <c r="R80" i="48"/>
  <c r="R72" i="48"/>
  <c r="R59" i="48"/>
  <c r="R43" i="48"/>
  <c r="R36" i="48"/>
  <c r="R29" i="48"/>
  <c r="R44" i="48"/>
  <c r="R90" i="48"/>
  <c r="R110" i="48"/>
  <c r="R22" i="48"/>
  <c r="R60" i="48"/>
  <c r="R73" i="48"/>
  <c r="R91" i="48"/>
  <c r="R100" i="48"/>
  <c r="R74" i="48"/>
  <c r="R92" i="48"/>
  <c r="R111" i="48"/>
  <c r="R124" i="48"/>
  <c r="R46" i="48"/>
  <c r="R13" i="48"/>
  <c r="R45" i="48"/>
  <c r="R128" i="48"/>
  <c r="R61" i="48"/>
  <c r="R62" i="48"/>
  <c r="S62" i="48"/>
  <c r="S61" i="48"/>
  <c r="S128" i="48"/>
  <c r="S45" i="48"/>
  <c r="S13" i="48"/>
  <c r="S46" i="48"/>
  <c r="S124" i="48"/>
  <c r="S111" i="48"/>
  <c r="S92" i="48"/>
  <c r="S74" i="48"/>
  <c r="S100" i="48"/>
  <c r="S91" i="48"/>
  <c r="S73" i="48"/>
  <c r="S60" i="48"/>
  <c r="S22" i="48"/>
  <c r="S110" i="48"/>
  <c r="S90" i="48"/>
  <c r="S44" i="48"/>
  <c r="S29" i="48"/>
  <c r="S36" i="48"/>
  <c r="S43" i="48"/>
  <c r="S59" i="48"/>
  <c r="S72" i="48"/>
  <c r="S80" i="48"/>
  <c r="S89" i="48"/>
  <c r="S99" i="48"/>
  <c r="S109" i="48"/>
  <c r="S118" i="48"/>
  <c r="S123" i="48"/>
  <c r="S21" i="48"/>
  <c r="S28" i="48"/>
  <c r="S35" i="48"/>
  <c r="S42" i="48"/>
  <c r="S58" i="48"/>
  <c r="S71" i="48"/>
  <c r="S79" i="48"/>
  <c r="S88" i="48"/>
  <c r="S98" i="48"/>
  <c r="S108" i="48"/>
  <c r="S117" i="48"/>
  <c r="S20" i="48"/>
  <c r="S27" i="48"/>
  <c r="S34" i="48"/>
  <c r="S41" i="48"/>
  <c r="S57" i="48"/>
  <c r="S70" i="48"/>
  <c r="S78" i="48"/>
  <c r="S87" i="48"/>
  <c r="S97" i="48"/>
  <c r="S107" i="48"/>
  <c r="S116" i="48"/>
  <c r="S19" i="48"/>
  <c r="S26" i="48"/>
  <c r="S33" i="48"/>
  <c r="S40" i="48"/>
  <c r="S56" i="48"/>
  <c r="S69" i="48"/>
  <c r="S77" i="48"/>
  <c r="S86" i="48"/>
  <c r="S68" i="48"/>
  <c r="S55" i="48"/>
  <c r="S50" i="48"/>
  <c r="S32" i="48"/>
  <c r="S25" i="48"/>
  <c r="S18" i="48"/>
  <c r="S12" i="48"/>
  <c r="S67" i="48"/>
  <c r="S54" i="48"/>
  <c r="S49" i="48"/>
  <c r="S31" i="48"/>
  <c r="S38" i="48"/>
  <c r="S24" i="48"/>
  <c r="S17" i="48"/>
  <c r="S11" i="48"/>
  <c r="S131" i="48"/>
  <c r="S126" i="48"/>
  <c r="S115" i="48"/>
  <c r="S106" i="48"/>
  <c r="S85" i="48"/>
  <c r="S76" i="48"/>
  <c r="S66" i="48"/>
  <c r="S133" i="48"/>
  <c r="S125" i="48"/>
  <c r="S105" i="48"/>
  <c r="S96" i="48"/>
  <c r="S84" i="48"/>
  <c r="S48" i="48"/>
  <c r="S132" i="48"/>
  <c r="S127" i="48"/>
  <c r="S122" i="48"/>
  <c r="S114" i="48"/>
  <c r="S104" i="48"/>
  <c r="S95" i="48"/>
  <c r="S83" i="48"/>
  <c r="S65" i="48"/>
  <c r="S53" i="48"/>
  <c r="S47" i="48"/>
  <c r="S30" i="48"/>
  <c r="S103" i="48"/>
  <c r="S64" i="48"/>
  <c r="S52" i="48"/>
  <c r="S39" i="48"/>
  <c r="S121" i="48"/>
  <c r="S113" i="48"/>
  <c r="S102" i="48"/>
  <c r="S82" i="48"/>
  <c r="S75" i="48"/>
  <c r="S51" i="48"/>
  <c r="S23" i="48"/>
  <c r="S16" i="48"/>
  <c r="R16" i="48"/>
  <c r="M18" i="56" l="1"/>
  <c r="M218" i="56" s="1"/>
  <c r="N17" i="56"/>
  <c r="N217" i="56" s="1"/>
  <c r="M19" i="56" l="1"/>
  <c r="M219" i="56" s="1"/>
  <c r="N18" i="56"/>
  <c r="N218" i="56" s="1"/>
  <c r="M20" i="56" l="1"/>
  <c r="M220" i="56" s="1"/>
  <c r="N19" i="56"/>
  <c r="N219" i="56" s="1"/>
  <c r="AP62" i="48"/>
  <c r="AP61" i="48"/>
  <c r="AP128" i="48"/>
  <c r="AP45" i="48"/>
  <c r="M21" i="56" l="1"/>
  <c r="M221" i="56" s="1"/>
  <c r="N20" i="56"/>
  <c r="N220" i="56" s="1"/>
  <c r="AP13" i="48"/>
  <c r="AP46" i="48"/>
  <c r="M22" i="56" l="1"/>
  <c r="M222" i="56" s="1"/>
  <c r="N21" i="56"/>
  <c r="N221" i="56" s="1"/>
  <c r="H78" i="47"/>
  <c r="U78" i="47" s="1"/>
  <c r="G51" i="47"/>
  <c r="G52" i="47"/>
  <c r="G53" i="47"/>
  <c r="G54" i="47"/>
  <c r="G55" i="47"/>
  <c r="G56" i="47"/>
  <c r="G57" i="47"/>
  <c r="G58" i="47"/>
  <c r="G59" i="47"/>
  <c r="G60" i="47"/>
  <c r="G61" i="47"/>
  <c r="G62" i="47"/>
  <c r="G63" i="47"/>
  <c r="G64" i="47"/>
  <c r="G65" i="47"/>
  <c r="G66" i="47"/>
  <c r="G67" i="47"/>
  <c r="G68" i="47"/>
  <c r="G69" i="47"/>
  <c r="G70" i="47"/>
  <c r="G71" i="47"/>
  <c r="G72" i="47"/>
  <c r="G73" i="47"/>
  <c r="G74" i="47"/>
  <c r="G75" i="47"/>
  <c r="G76" i="47"/>
  <c r="G77" i="47"/>
  <c r="G78" i="47"/>
  <c r="G79" i="47"/>
  <c r="G80" i="47"/>
  <c r="G81" i="47"/>
  <c r="G82" i="47"/>
  <c r="G83" i="47"/>
  <c r="G84" i="47"/>
  <c r="G85" i="47"/>
  <c r="G86" i="47"/>
  <c r="G87" i="47"/>
  <c r="G88" i="47"/>
  <c r="G89" i="47"/>
  <c r="G90" i="47"/>
  <c r="G91" i="47"/>
  <c r="G92" i="47"/>
  <c r="G93" i="47"/>
  <c r="G94" i="47"/>
  <c r="G95" i="47"/>
  <c r="G96" i="47"/>
  <c r="G97" i="47"/>
  <c r="G98" i="47"/>
  <c r="G99" i="47"/>
  <c r="G100" i="47"/>
  <c r="G101" i="47"/>
  <c r="G102" i="47"/>
  <c r="G103" i="47"/>
  <c r="G104" i="47"/>
  <c r="G105" i="47"/>
  <c r="G106" i="47"/>
  <c r="M23" i="56" l="1"/>
  <c r="M223" i="56" s="1"/>
  <c r="N22" i="56"/>
  <c r="N222" i="56" s="1"/>
  <c r="H8" i="47"/>
  <c r="U8" i="47" s="1"/>
  <c r="H9" i="47"/>
  <c r="U9" i="47" s="1"/>
  <c r="H10" i="47"/>
  <c r="U10" i="47" s="1"/>
  <c r="H11" i="47"/>
  <c r="U11" i="47" s="1"/>
  <c r="H12" i="47"/>
  <c r="U12" i="47" s="1"/>
  <c r="H13" i="47"/>
  <c r="U13" i="47" s="1"/>
  <c r="H14" i="47"/>
  <c r="U14" i="47" s="1"/>
  <c r="H15" i="47"/>
  <c r="U15" i="47" s="1"/>
  <c r="H16" i="47"/>
  <c r="U16" i="47" s="1"/>
  <c r="H17" i="47"/>
  <c r="U17" i="47" s="1"/>
  <c r="H18" i="47"/>
  <c r="U18" i="47" s="1"/>
  <c r="H19" i="47"/>
  <c r="U19" i="47" s="1"/>
  <c r="H20" i="47"/>
  <c r="U20" i="47" s="1"/>
  <c r="H21" i="47"/>
  <c r="U21" i="47" s="1"/>
  <c r="H22" i="47"/>
  <c r="U22" i="47" s="1"/>
  <c r="H23" i="47"/>
  <c r="U23" i="47" s="1"/>
  <c r="H24" i="47"/>
  <c r="U24" i="47" s="1"/>
  <c r="H25" i="47"/>
  <c r="U25" i="47" s="1"/>
  <c r="H26" i="47"/>
  <c r="U26" i="47" s="1"/>
  <c r="H27" i="47"/>
  <c r="U27" i="47" s="1"/>
  <c r="H28" i="47"/>
  <c r="U28" i="47" s="1"/>
  <c r="H29" i="47"/>
  <c r="U29" i="47" s="1"/>
  <c r="H30" i="47"/>
  <c r="U30" i="47" s="1"/>
  <c r="H31" i="47"/>
  <c r="U31" i="47" s="1"/>
  <c r="H32" i="47"/>
  <c r="U32" i="47" s="1"/>
  <c r="H33" i="47"/>
  <c r="U33" i="47" s="1"/>
  <c r="H34" i="47"/>
  <c r="U34" i="47" s="1"/>
  <c r="H35" i="47"/>
  <c r="U35" i="47" s="1"/>
  <c r="H36" i="47"/>
  <c r="U36" i="47" s="1"/>
  <c r="H37" i="47"/>
  <c r="U37" i="47" s="1"/>
  <c r="H38" i="47"/>
  <c r="U38" i="47" s="1"/>
  <c r="H39" i="47"/>
  <c r="U39" i="47" s="1"/>
  <c r="H40" i="47"/>
  <c r="U40" i="47" s="1"/>
  <c r="H41" i="47"/>
  <c r="U41" i="47" s="1"/>
  <c r="H42" i="47"/>
  <c r="U42" i="47" s="1"/>
  <c r="H43" i="47"/>
  <c r="U43" i="47" s="1"/>
  <c r="H44" i="47"/>
  <c r="U44" i="47" s="1"/>
  <c r="H45" i="47"/>
  <c r="U45" i="47" s="1"/>
  <c r="H46" i="47"/>
  <c r="U46" i="47" s="1"/>
  <c r="H47" i="47"/>
  <c r="U47" i="47" s="1"/>
  <c r="H48" i="47"/>
  <c r="U48" i="47" s="1"/>
  <c r="H49" i="47"/>
  <c r="U49" i="47" s="1"/>
  <c r="H50" i="47"/>
  <c r="U50" i="47" s="1"/>
  <c r="H51" i="47"/>
  <c r="U51" i="47" s="1"/>
  <c r="H52" i="47"/>
  <c r="U52" i="47" s="1"/>
  <c r="H53" i="47"/>
  <c r="U53" i="47" s="1"/>
  <c r="H54" i="47"/>
  <c r="U54" i="47" s="1"/>
  <c r="H55" i="47"/>
  <c r="U55" i="47" s="1"/>
  <c r="H56" i="47"/>
  <c r="U56" i="47" s="1"/>
  <c r="H57" i="47"/>
  <c r="U57" i="47" s="1"/>
  <c r="H58" i="47"/>
  <c r="U58" i="47" s="1"/>
  <c r="H59" i="47"/>
  <c r="U59" i="47" s="1"/>
  <c r="H60" i="47"/>
  <c r="U60" i="47" s="1"/>
  <c r="H61" i="47"/>
  <c r="U61" i="47" s="1"/>
  <c r="H62" i="47"/>
  <c r="U62" i="47" s="1"/>
  <c r="H63" i="47"/>
  <c r="U63" i="47" s="1"/>
  <c r="H64" i="47"/>
  <c r="U64" i="47" s="1"/>
  <c r="H65" i="47"/>
  <c r="U65" i="47" s="1"/>
  <c r="H66" i="47"/>
  <c r="U66" i="47" s="1"/>
  <c r="H67" i="47"/>
  <c r="U67" i="47" s="1"/>
  <c r="H68" i="47"/>
  <c r="U68" i="47" s="1"/>
  <c r="H69" i="47"/>
  <c r="U69" i="47" s="1"/>
  <c r="H70" i="47"/>
  <c r="U70" i="47" s="1"/>
  <c r="H71" i="47"/>
  <c r="U71" i="47" s="1"/>
  <c r="H72" i="47"/>
  <c r="U72" i="47" s="1"/>
  <c r="H73" i="47"/>
  <c r="U73" i="47" s="1"/>
  <c r="H74" i="47"/>
  <c r="U74" i="47" s="1"/>
  <c r="H75" i="47"/>
  <c r="U75" i="47" s="1"/>
  <c r="H76" i="47"/>
  <c r="U76" i="47" s="1"/>
  <c r="H77" i="47"/>
  <c r="U77" i="47" s="1"/>
  <c r="H79" i="47"/>
  <c r="U79" i="47" s="1"/>
  <c r="H80" i="47"/>
  <c r="U80" i="47" s="1"/>
  <c r="H81" i="47"/>
  <c r="U81" i="47" s="1"/>
  <c r="H82" i="47"/>
  <c r="U82" i="47" s="1"/>
  <c r="H83" i="47"/>
  <c r="U83" i="47" s="1"/>
  <c r="H84" i="47"/>
  <c r="U84" i="47" s="1"/>
  <c r="H85" i="47"/>
  <c r="U85" i="47" s="1"/>
  <c r="H86" i="47"/>
  <c r="U86" i="47" s="1"/>
  <c r="H87" i="47"/>
  <c r="U87" i="47" s="1"/>
  <c r="H88" i="47"/>
  <c r="U88" i="47" s="1"/>
  <c r="H89" i="47"/>
  <c r="U89" i="47" s="1"/>
  <c r="H90" i="47"/>
  <c r="U90" i="47" s="1"/>
  <c r="H91" i="47"/>
  <c r="U91" i="47" s="1"/>
  <c r="H92" i="47"/>
  <c r="U92" i="47" s="1"/>
  <c r="H93" i="47"/>
  <c r="U93" i="47" s="1"/>
  <c r="H94" i="47"/>
  <c r="U94" i="47" s="1"/>
  <c r="H95" i="47"/>
  <c r="U95" i="47" s="1"/>
  <c r="H96" i="47"/>
  <c r="U96" i="47" s="1"/>
  <c r="H97" i="47"/>
  <c r="U97" i="47" s="1"/>
  <c r="H98" i="47"/>
  <c r="U98" i="47" s="1"/>
  <c r="H99" i="47"/>
  <c r="U99" i="47" s="1"/>
  <c r="H100" i="47"/>
  <c r="U100" i="47" s="1"/>
  <c r="H101" i="47"/>
  <c r="U101" i="47" s="1"/>
  <c r="H102" i="47"/>
  <c r="U102" i="47" s="1"/>
  <c r="H103" i="47"/>
  <c r="U103" i="47" s="1"/>
  <c r="H104" i="47"/>
  <c r="U104" i="47" s="1"/>
  <c r="H105" i="47"/>
  <c r="U105" i="47" s="1"/>
  <c r="H106" i="47"/>
  <c r="U106" i="47" s="1"/>
  <c r="G8" i="47"/>
  <c r="G9" i="47"/>
  <c r="G10" i="47"/>
  <c r="G11" i="47"/>
  <c r="G12" i="47"/>
  <c r="G13" i="47"/>
  <c r="G14" i="47"/>
  <c r="G15" i="47"/>
  <c r="G16" i="47"/>
  <c r="G17" i="47"/>
  <c r="G18" i="47"/>
  <c r="G19" i="47"/>
  <c r="G20" i="47"/>
  <c r="G21" i="47"/>
  <c r="G22" i="47"/>
  <c r="G23" i="47"/>
  <c r="G24" i="47"/>
  <c r="G25" i="47"/>
  <c r="G26" i="47"/>
  <c r="G27" i="47"/>
  <c r="G28" i="47"/>
  <c r="G29" i="47"/>
  <c r="G30" i="47"/>
  <c r="G31" i="47"/>
  <c r="G32" i="47"/>
  <c r="G33" i="47"/>
  <c r="G34" i="47"/>
  <c r="G35" i="47"/>
  <c r="G36" i="47"/>
  <c r="G37" i="47"/>
  <c r="G38" i="47"/>
  <c r="G39" i="47"/>
  <c r="G40" i="47"/>
  <c r="G41" i="47"/>
  <c r="G42" i="47"/>
  <c r="G43" i="47"/>
  <c r="G44" i="47"/>
  <c r="G45" i="47"/>
  <c r="G46" i="47"/>
  <c r="G47" i="47"/>
  <c r="G48" i="47"/>
  <c r="G49" i="47"/>
  <c r="G50" i="47"/>
  <c r="E8" i="47"/>
  <c r="E9" i="47"/>
  <c r="E10" i="47"/>
  <c r="E11" i="47"/>
  <c r="E12" i="47"/>
  <c r="E13" i="47"/>
  <c r="E14" i="47"/>
  <c r="E15" i="47"/>
  <c r="E16" i="47"/>
  <c r="E17" i="47"/>
  <c r="E18" i="47"/>
  <c r="E19" i="47"/>
  <c r="E20" i="47"/>
  <c r="E21" i="47"/>
  <c r="E22" i="47"/>
  <c r="E23" i="47"/>
  <c r="E24" i="47"/>
  <c r="E25" i="47"/>
  <c r="E26" i="47"/>
  <c r="E27" i="47"/>
  <c r="E28" i="47"/>
  <c r="E29" i="47"/>
  <c r="E30" i="47"/>
  <c r="E31" i="47"/>
  <c r="E32" i="47"/>
  <c r="E33" i="47"/>
  <c r="E34" i="47"/>
  <c r="E35" i="47"/>
  <c r="E36" i="47"/>
  <c r="E37" i="47"/>
  <c r="E38" i="47"/>
  <c r="E39" i="47"/>
  <c r="E40" i="47"/>
  <c r="E41" i="47"/>
  <c r="E42" i="47"/>
  <c r="E43" i="47"/>
  <c r="E44" i="47"/>
  <c r="E45" i="47"/>
  <c r="E46" i="47"/>
  <c r="E47" i="47"/>
  <c r="E48" i="47"/>
  <c r="E49" i="47"/>
  <c r="E50" i="47"/>
  <c r="E51" i="47"/>
  <c r="E52" i="47"/>
  <c r="E53" i="47"/>
  <c r="E54" i="47"/>
  <c r="E55" i="47"/>
  <c r="E56" i="47"/>
  <c r="E57" i="47"/>
  <c r="E58" i="47"/>
  <c r="E59" i="47"/>
  <c r="E60" i="47"/>
  <c r="E61" i="47"/>
  <c r="E62" i="47"/>
  <c r="E63" i="47"/>
  <c r="E64" i="47"/>
  <c r="E65" i="47"/>
  <c r="E66" i="47"/>
  <c r="E67" i="47"/>
  <c r="E68" i="47"/>
  <c r="E69" i="47"/>
  <c r="E70" i="47"/>
  <c r="E71" i="47"/>
  <c r="E72" i="47"/>
  <c r="E73" i="47"/>
  <c r="E74" i="47"/>
  <c r="E75" i="47"/>
  <c r="E76" i="47"/>
  <c r="E77" i="47"/>
  <c r="E78" i="47"/>
  <c r="E79" i="47"/>
  <c r="E80" i="47"/>
  <c r="E81" i="47"/>
  <c r="E82" i="47"/>
  <c r="E83" i="47"/>
  <c r="E84" i="47"/>
  <c r="E85" i="47"/>
  <c r="E86" i="47"/>
  <c r="E87" i="47"/>
  <c r="E88" i="47"/>
  <c r="E89" i="47"/>
  <c r="E90" i="47"/>
  <c r="E91" i="47"/>
  <c r="E92" i="47"/>
  <c r="E93" i="47"/>
  <c r="E94" i="47"/>
  <c r="E95" i="47"/>
  <c r="E96" i="47"/>
  <c r="E97" i="47"/>
  <c r="E98" i="47"/>
  <c r="E99" i="47"/>
  <c r="E100" i="47"/>
  <c r="E101" i="47"/>
  <c r="E102" i="47"/>
  <c r="E103" i="47"/>
  <c r="E104" i="47"/>
  <c r="E105" i="47"/>
  <c r="E106" i="47"/>
  <c r="R53" i="47"/>
  <c r="M24" i="56" l="1"/>
  <c r="M224" i="56" s="1"/>
  <c r="N23" i="56"/>
  <c r="N223" i="56" s="1"/>
  <c r="D63" i="47"/>
  <c r="D62" i="47"/>
  <c r="D57" i="47"/>
  <c r="D101" i="47"/>
  <c r="D102" i="47"/>
  <c r="D103" i="47"/>
  <c r="D104" i="47"/>
  <c r="D105" i="47"/>
  <c r="D106" i="47"/>
  <c r="M25" i="56" l="1"/>
  <c r="M225" i="56" s="1"/>
  <c r="N24" i="56"/>
  <c r="N224" i="56" s="1"/>
  <c r="D59" i="47"/>
  <c r="D79" i="47"/>
  <c r="D60" i="47"/>
  <c r="D84" i="47"/>
  <c r="D85" i="47"/>
  <c r="D75" i="47"/>
  <c r="D86" i="47"/>
  <c r="D67" i="47"/>
  <c r="D92" i="47"/>
  <c r="D65" i="47"/>
  <c r="D80" i="47"/>
  <c r="D87" i="47"/>
  <c r="D93" i="47"/>
  <c r="D55" i="47"/>
  <c r="D54" i="47"/>
  <c r="D97" i="47"/>
  <c r="D98" i="47"/>
  <c r="D88" i="47"/>
  <c r="D96" i="47"/>
  <c r="D71" i="47"/>
  <c r="D72" i="47"/>
  <c r="D81" i="47"/>
  <c r="D74" i="47"/>
  <c r="D94" i="47"/>
  <c r="D78" i="47"/>
  <c r="D56" i="47"/>
  <c r="D82" i="47"/>
  <c r="D89" i="47"/>
  <c r="D91" i="47"/>
  <c r="D66" i="47"/>
  <c r="D70" i="47"/>
  <c r="D77" i="47"/>
  <c r="D76" i="47"/>
  <c r="D68" i="47"/>
  <c r="D69" i="47"/>
  <c r="D95" i="47"/>
  <c r="D73" i="47"/>
  <c r="D83" i="47"/>
  <c r="D90" i="47"/>
  <c r="D61" i="47"/>
  <c r="D64" i="47"/>
  <c r="D58" i="47"/>
  <c r="D100" i="47"/>
  <c r="D53" i="47"/>
  <c r="D51" i="47"/>
  <c r="D99" i="47"/>
  <c r="D35" i="47"/>
  <c r="D37" i="47"/>
  <c r="D45" i="47"/>
  <c r="D40" i="47"/>
  <c r="D33" i="47"/>
  <c r="D10" i="47"/>
  <c r="D41" i="47"/>
  <c r="D24" i="47"/>
  <c r="D34" i="47"/>
  <c r="D15" i="47"/>
  <c r="D19" i="47"/>
  <c r="D31" i="47"/>
  <c r="D38" i="47"/>
  <c r="D13" i="47"/>
  <c r="D22" i="47"/>
  <c r="D36" i="47"/>
  <c r="D44" i="47"/>
  <c r="D52" i="47"/>
  <c r="D30" i="47"/>
  <c r="D42" i="47"/>
  <c r="D49" i="47"/>
  <c r="D11" i="47"/>
  <c r="D32" i="47"/>
  <c r="D25" i="47"/>
  <c r="D9" i="47"/>
  <c r="D12" i="47"/>
  <c r="D48" i="47"/>
  <c r="D27" i="47"/>
  <c r="D26" i="47"/>
  <c r="D20" i="47"/>
  <c r="D8" i="47"/>
  <c r="D14" i="47"/>
  <c r="D23" i="47"/>
  <c r="D46" i="47"/>
  <c r="D28" i="47"/>
  <c r="D39" i="47"/>
  <c r="D43" i="47"/>
  <c r="D21" i="47"/>
  <c r="D29" i="47"/>
  <c r="D47" i="47"/>
  <c r="D50" i="47"/>
  <c r="D17" i="47"/>
  <c r="D18" i="47"/>
  <c r="D16" i="47"/>
  <c r="AP51" i="48"/>
  <c r="AP102" i="48"/>
  <c r="AP113" i="48"/>
  <c r="AP95" i="48"/>
  <c r="AP11" i="48"/>
  <c r="AP22" i="48"/>
  <c r="AP116" i="48"/>
  <c r="AP60" i="48"/>
  <c r="AP73" i="48"/>
  <c r="AP91" i="48"/>
  <c r="AP100" i="48"/>
  <c r="AP74" i="48"/>
  <c r="AP92" i="48"/>
  <c r="AP111" i="48"/>
  <c r="AP124" i="48"/>
  <c r="AP110" i="48"/>
  <c r="M26" i="56" l="1"/>
  <c r="M226" i="56" s="1"/>
  <c r="N25" i="56"/>
  <c r="N225" i="56" s="1"/>
  <c r="Q7" i="47"/>
  <c r="AP16" i="48"/>
  <c r="AP23" i="48"/>
  <c r="AP75" i="48"/>
  <c r="AP82" i="48"/>
  <c r="AP121" i="48"/>
  <c r="AP39" i="48"/>
  <c r="AP52" i="48"/>
  <c r="AP64" i="48"/>
  <c r="AP103" i="48"/>
  <c r="AP30" i="48"/>
  <c r="AP53" i="48"/>
  <c r="AP65" i="48"/>
  <c r="AP83" i="48"/>
  <c r="AP104" i="48"/>
  <c r="AP114" i="48"/>
  <c r="AP132" i="48"/>
  <c r="AP48" i="48"/>
  <c r="AP84" i="48"/>
  <c r="AP105" i="48"/>
  <c r="AP125" i="48"/>
  <c r="AP133" i="48"/>
  <c r="AP66" i="48"/>
  <c r="AP85" i="48"/>
  <c r="AP106" i="48"/>
  <c r="AP115" i="48"/>
  <c r="AP126" i="48"/>
  <c r="AP17" i="48"/>
  <c r="AP24" i="48"/>
  <c r="AP49" i="48"/>
  <c r="AP54" i="48"/>
  <c r="AP76" i="48"/>
  <c r="AP131" i="48"/>
  <c r="AP96" i="48"/>
  <c r="AP47" i="48"/>
  <c r="AP122" i="48"/>
  <c r="AP127" i="48"/>
  <c r="AP38" i="48"/>
  <c r="AP31" i="48"/>
  <c r="AP67" i="48"/>
  <c r="AP18" i="48"/>
  <c r="AP68" i="48"/>
  <c r="AP86" i="48"/>
  <c r="AP26" i="48"/>
  <c r="AP87" i="48"/>
  <c r="AP78" i="48"/>
  <c r="AP71" i="48"/>
  <c r="AP12" i="48"/>
  <c r="AP25" i="48"/>
  <c r="AP32" i="48"/>
  <c r="AP50" i="48"/>
  <c r="AP55" i="48"/>
  <c r="AP77" i="48"/>
  <c r="AP69" i="48"/>
  <c r="AP56" i="48"/>
  <c r="AP40" i="48"/>
  <c r="AP33" i="48"/>
  <c r="AP19" i="48"/>
  <c r="AP107" i="48"/>
  <c r="AP97" i="48"/>
  <c r="AP70" i="48"/>
  <c r="AP57" i="48"/>
  <c r="AP41" i="48"/>
  <c r="AP34" i="48"/>
  <c r="AP27" i="48"/>
  <c r="AP20" i="48"/>
  <c r="AP117" i="48"/>
  <c r="AP108" i="48"/>
  <c r="AP98" i="48"/>
  <c r="AP88" i="48"/>
  <c r="AP79" i="48"/>
  <c r="AP58" i="48"/>
  <c r="AP42" i="48"/>
  <c r="AP35" i="48"/>
  <c r="AP28" i="48"/>
  <c r="AP21" i="48"/>
  <c r="AP123" i="48"/>
  <c r="AP118" i="48"/>
  <c r="AP109" i="48"/>
  <c r="AP99" i="48"/>
  <c r="AP89" i="48"/>
  <c r="AP80" i="48"/>
  <c r="AP72" i="48"/>
  <c r="AP59" i="48"/>
  <c r="AP43" i="48"/>
  <c r="AP36" i="48"/>
  <c r="AP29" i="48"/>
  <c r="AP90" i="48"/>
  <c r="AP44" i="48"/>
  <c r="P16" i="48"/>
  <c r="M27" i="56" l="1"/>
  <c r="M227" i="56" s="1"/>
  <c r="N26" i="56"/>
  <c r="N226" i="56" s="1"/>
  <c r="R106" i="47"/>
  <c r="R105" i="47"/>
  <c r="R104" i="47"/>
  <c r="R103" i="47"/>
  <c r="R102" i="47"/>
  <c r="R101" i="47"/>
  <c r="R100" i="47"/>
  <c r="R99" i="47"/>
  <c r="R98" i="47"/>
  <c r="R97" i="47"/>
  <c r="R96" i="47"/>
  <c r="R95" i="47"/>
  <c r="R94" i="47"/>
  <c r="R93" i="47"/>
  <c r="R92" i="47"/>
  <c r="R91" i="47"/>
  <c r="R90" i="47"/>
  <c r="R89" i="47"/>
  <c r="R88" i="47"/>
  <c r="R87" i="47"/>
  <c r="R86" i="47"/>
  <c r="R85" i="47"/>
  <c r="R84" i="47"/>
  <c r="R83" i="47"/>
  <c r="R82" i="47"/>
  <c r="R81" i="47"/>
  <c r="R80" i="47"/>
  <c r="R79" i="47"/>
  <c r="R78" i="47"/>
  <c r="R77" i="47"/>
  <c r="R76" i="47"/>
  <c r="R75" i="47"/>
  <c r="R74" i="47"/>
  <c r="R73" i="47"/>
  <c r="R72" i="47"/>
  <c r="R71" i="47"/>
  <c r="R70" i="47"/>
  <c r="R69" i="47"/>
  <c r="R68" i="47"/>
  <c r="R67" i="47"/>
  <c r="R66" i="47"/>
  <c r="R65" i="47"/>
  <c r="R64" i="47"/>
  <c r="R63" i="47"/>
  <c r="R62" i="47"/>
  <c r="R61" i="47"/>
  <c r="R60" i="47"/>
  <c r="R59" i="47"/>
  <c r="R58" i="47"/>
  <c r="R57" i="47"/>
  <c r="R56" i="47"/>
  <c r="R55" i="47"/>
  <c r="R54" i="47"/>
  <c r="R34" i="47"/>
  <c r="R41" i="47"/>
  <c r="R31" i="47"/>
  <c r="R37" i="47"/>
  <c r="R40" i="47"/>
  <c r="R52" i="47"/>
  <c r="R51" i="47"/>
  <c r="R50" i="47"/>
  <c r="R49" i="47"/>
  <c r="R46" i="47"/>
  <c r="R47" i="47"/>
  <c r="R48" i="47"/>
  <c r="R45" i="47"/>
  <c r="R44" i="47"/>
  <c r="R43" i="47"/>
  <c r="R42" i="47"/>
  <c r="R39" i="47"/>
  <c r="R38" i="47"/>
  <c r="R36" i="47"/>
  <c r="R35" i="47"/>
  <c r="R30" i="47"/>
  <c r="R33" i="47"/>
  <c r="R32" i="47"/>
  <c r="R29" i="47"/>
  <c r="R28" i="47"/>
  <c r="R27" i="47"/>
  <c r="R26" i="47"/>
  <c r="R25" i="47"/>
  <c r="R24" i="47"/>
  <c r="R23" i="47"/>
  <c r="R22" i="47"/>
  <c r="R21" i="47"/>
  <c r="R20" i="47"/>
  <c r="R19" i="47"/>
  <c r="R18" i="47"/>
  <c r="R17" i="47"/>
  <c r="R16" i="47"/>
  <c r="R15" i="47"/>
  <c r="R14" i="47"/>
  <c r="R13" i="47"/>
  <c r="R12" i="47"/>
  <c r="R11" i="47"/>
  <c r="R10" i="47"/>
  <c r="R9" i="47"/>
  <c r="R8" i="47"/>
  <c r="R7" i="47"/>
  <c r="H7" i="47"/>
  <c r="U7" i="47" s="1"/>
  <c r="D7" i="47"/>
  <c r="M28" i="56" l="1"/>
  <c r="M228" i="56" s="1"/>
  <c r="N27" i="56"/>
  <c r="N227" i="56" s="1"/>
  <c r="M29" i="56" l="1"/>
  <c r="M229" i="56" s="1"/>
  <c r="N28" i="56"/>
  <c r="N228" i="56" s="1"/>
  <c r="AZ11" i="48"/>
  <c r="AZ18" i="48"/>
  <c r="AZ22" i="48"/>
  <c r="AZ27" i="48"/>
  <c r="AZ34" i="48"/>
  <c r="AZ38" i="48"/>
  <c r="AZ43" i="48"/>
  <c r="AZ51" i="48"/>
  <c r="AZ21" i="48"/>
  <c r="AZ42" i="48"/>
  <c r="AZ12" i="48"/>
  <c r="AZ19" i="48"/>
  <c r="AZ23" i="48"/>
  <c r="AZ29" i="48"/>
  <c r="AZ35" i="48"/>
  <c r="AZ39" i="48"/>
  <c r="AZ44" i="48"/>
  <c r="AZ52" i="48"/>
  <c r="AZ15" i="48"/>
  <c r="AZ33" i="48"/>
  <c r="AZ48" i="48"/>
  <c r="AZ14" i="48"/>
  <c r="AZ20" i="48"/>
  <c r="AZ25" i="48"/>
  <c r="AZ30" i="48"/>
  <c r="AZ37" i="48"/>
  <c r="AZ41" i="48"/>
  <c r="AZ47" i="48"/>
  <c r="AZ26" i="48"/>
  <c r="E7" i="47"/>
  <c r="M30" i="56" l="1"/>
  <c r="M230" i="56" s="1"/>
  <c r="N29" i="56"/>
  <c r="N229" i="56" s="1"/>
  <c r="M31" i="56" l="1"/>
  <c r="M231" i="56" s="1"/>
  <c r="N30" i="56"/>
  <c r="N230" i="56" s="1"/>
  <c r="M32" i="56" l="1"/>
  <c r="M232" i="56" s="1"/>
  <c r="N31" i="56"/>
  <c r="N231" i="56" s="1"/>
  <c r="M33" i="56" l="1"/>
  <c r="M233" i="56" s="1"/>
  <c r="N32" i="56"/>
  <c r="N232" i="56" s="1"/>
  <c r="M34" i="56" l="1"/>
  <c r="M234" i="56" s="1"/>
  <c r="N33" i="56"/>
  <c r="N233" i="56" s="1"/>
  <c r="M35" i="56" l="1"/>
  <c r="M235" i="56" s="1"/>
  <c r="N34" i="56"/>
  <c r="N234" i="56" s="1"/>
  <c r="M36" i="56" l="1"/>
  <c r="M236" i="56" s="1"/>
  <c r="N35" i="56"/>
  <c r="N235" i="56" s="1"/>
  <c r="M37" i="56" l="1"/>
  <c r="M237" i="56" s="1"/>
  <c r="N36" i="56"/>
  <c r="N236" i="56" s="1"/>
  <c r="M38" i="56" l="1"/>
  <c r="M238" i="56" s="1"/>
  <c r="N37" i="56"/>
  <c r="N237" i="56" s="1"/>
  <c r="M39" i="56" l="1"/>
  <c r="M239" i="56" s="1"/>
  <c r="N38" i="56"/>
  <c r="N238" i="56" s="1"/>
  <c r="M40" i="56" l="1"/>
  <c r="N39" i="56"/>
  <c r="N239" i="56" s="1"/>
  <c r="M240" i="56" l="1"/>
  <c r="M41" i="56"/>
  <c r="N40" i="56"/>
  <c r="N240" i="56" s="1"/>
  <c r="M241" i="56" l="1"/>
  <c r="M42" i="56"/>
  <c r="N41" i="56"/>
  <c r="N241" i="56" s="1"/>
  <c r="M242" i="56" l="1"/>
  <c r="M43" i="56"/>
  <c r="N42" i="56"/>
  <c r="N242" i="56" s="1"/>
  <c r="M243" i="56" l="1"/>
  <c r="M44" i="56"/>
  <c r="N43" i="56"/>
  <c r="N243" i="56" s="1"/>
  <c r="M244" i="56" l="1"/>
  <c r="M45" i="56"/>
  <c r="N44" i="56"/>
  <c r="N244" i="56" s="1"/>
  <c r="M46" i="56" l="1"/>
  <c r="M245" i="56"/>
  <c r="N45" i="56"/>
  <c r="N245" i="56" s="1"/>
  <c r="M246" i="56" l="1"/>
  <c r="M47" i="56"/>
  <c r="N46" i="56"/>
  <c r="N246" i="56" s="1"/>
  <c r="M247" i="56" l="1"/>
  <c r="M48" i="56"/>
  <c r="N47" i="56"/>
  <c r="N247" i="56" s="1"/>
  <c r="M248" i="56" l="1"/>
  <c r="M49" i="56"/>
  <c r="N48" i="56"/>
  <c r="N248" i="56" s="1"/>
  <c r="M249" i="56" l="1"/>
  <c r="M50" i="56"/>
  <c r="N49" i="56"/>
  <c r="N249" i="56" s="1"/>
  <c r="M250" i="56" l="1"/>
  <c r="M51" i="56"/>
  <c r="N50" i="56"/>
  <c r="N250" i="56" s="1"/>
  <c r="M251" i="56" l="1"/>
  <c r="N51" i="56"/>
  <c r="N251" i="56" s="1"/>
  <c r="M52" i="56"/>
  <c r="M252" i="56" l="1"/>
  <c r="N52" i="56"/>
  <c r="N252" i="56" s="1"/>
  <c r="M53" i="56"/>
  <c r="M253" i="56" l="1"/>
  <c r="N53" i="56"/>
  <c r="N253" i="56" s="1"/>
  <c r="M54" i="56"/>
  <c r="M254" i="56" l="1"/>
  <c r="N54" i="56"/>
  <c r="N254" i="56" s="1"/>
  <c r="M55" i="56"/>
  <c r="K54" i="56"/>
  <c r="M255" i="56" l="1"/>
  <c r="N55" i="56"/>
  <c r="N255" i="56" s="1"/>
  <c r="M56" i="56"/>
  <c r="M256" i="56" l="1"/>
  <c r="M57" i="56"/>
  <c r="N56" i="56"/>
  <c r="N256" i="56" s="1"/>
  <c r="M257" i="56" l="1"/>
  <c r="M58" i="56"/>
  <c r="N57" i="56"/>
  <c r="N257" i="56" s="1"/>
  <c r="M258" i="56" l="1"/>
  <c r="M59" i="56"/>
  <c r="N58" i="56"/>
  <c r="N258" i="56" s="1"/>
  <c r="M259" i="56" l="1"/>
  <c r="M60" i="56"/>
  <c r="N59" i="56"/>
  <c r="N259" i="56" s="1"/>
  <c r="M260" i="56" l="1"/>
  <c r="N60" i="56"/>
  <c r="N260" i="56" s="1"/>
  <c r="M61" i="56"/>
  <c r="M261" i="56" l="1"/>
  <c r="N61" i="56"/>
  <c r="N261" i="56" s="1"/>
  <c r="M62" i="56"/>
  <c r="M262" i="56" l="1"/>
  <c r="M63" i="56"/>
  <c r="N62" i="56"/>
  <c r="N262" i="56" s="1"/>
  <c r="M263" i="56" l="1"/>
  <c r="N63" i="56"/>
  <c r="N263" i="56" s="1"/>
  <c r="M64" i="56"/>
  <c r="M264" i="56" l="1"/>
  <c r="N64" i="56"/>
  <c r="N264" i="56" s="1"/>
  <c r="M65" i="56"/>
  <c r="M265" i="56" l="1"/>
  <c r="M66" i="56"/>
  <c r="N65" i="56"/>
  <c r="N265" i="56" s="1"/>
  <c r="M266" i="56" l="1"/>
  <c r="N66" i="56"/>
  <c r="N266" i="56" s="1"/>
  <c r="M67" i="56"/>
  <c r="M267" i="56" l="1"/>
  <c r="M68" i="56"/>
  <c r="N67" i="56"/>
  <c r="N267" i="56" s="1"/>
  <c r="M268" i="56" l="1"/>
  <c r="N68" i="56"/>
  <c r="N268" i="56" s="1"/>
  <c r="M69" i="56"/>
  <c r="M269" i="56" l="1"/>
  <c r="N69" i="56"/>
  <c r="N269" i="56" s="1"/>
  <c r="M70" i="56"/>
  <c r="M270" i="56" l="1"/>
  <c r="N70" i="56"/>
  <c r="N270" i="56" s="1"/>
  <c r="M71" i="56"/>
  <c r="M271" i="56" l="1"/>
  <c r="M72" i="56"/>
  <c r="N71" i="56"/>
  <c r="N271" i="56" s="1"/>
  <c r="M272" i="56" l="1"/>
  <c r="N72" i="56"/>
  <c r="N272" i="56" s="1"/>
  <c r="M73" i="56"/>
  <c r="M273" i="56" l="1"/>
  <c r="M74" i="56"/>
  <c r="N73" i="56"/>
  <c r="N273" i="56" s="1"/>
  <c r="M274" i="56" l="1"/>
  <c r="N74" i="56"/>
  <c r="N274" i="56" s="1"/>
  <c r="M75" i="56"/>
  <c r="M275" i="56" l="1"/>
  <c r="M76" i="56"/>
  <c r="N75" i="56"/>
  <c r="N275" i="56" s="1"/>
  <c r="M276" i="56" l="1"/>
  <c r="N76" i="56"/>
  <c r="N276" i="56" s="1"/>
  <c r="M77" i="56"/>
  <c r="M277" i="56" l="1"/>
  <c r="M78" i="56"/>
  <c r="N77" i="56"/>
  <c r="N277" i="56" s="1"/>
  <c r="M278" i="56" l="1"/>
  <c r="M79" i="56"/>
  <c r="N78" i="56"/>
  <c r="N278" i="56" s="1"/>
  <c r="M279" i="56" l="1"/>
  <c r="M80" i="56"/>
  <c r="N79" i="56"/>
  <c r="N279" i="56" s="1"/>
  <c r="M280" i="56" l="1"/>
  <c r="M81" i="56"/>
  <c r="N80" i="56"/>
  <c r="N280" i="56" s="1"/>
  <c r="M281" i="56" l="1"/>
  <c r="M82" i="56"/>
  <c r="N81" i="56"/>
  <c r="N281" i="56" s="1"/>
  <c r="M282" i="56" l="1"/>
  <c r="M83" i="56"/>
  <c r="N82" i="56"/>
  <c r="N282" i="56" s="1"/>
  <c r="M283" i="56" l="1"/>
  <c r="M84" i="56"/>
  <c r="N83" i="56"/>
  <c r="N283" i="56" s="1"/>
  <c r="M284" i="56" l="1"/>
  <c r="M85" i="56"/>
  <c r="N84" i="56"/>
  <c r="N284" i="56" s="1"/>
  <c r="M285" i="56" l="1"/>
  <c r="N85" i="56"/>
  <c r="N285" i="56" s="1"/>
  <c r="M86" i="56"/>
  <c r="M286" i="56" l="1"/>
  <c r="N86" i="56"/>
  <c r="N286" i="56" s="1"/>
  <c r="M87" i="56"/>
  <c r="M287" i="56" l="1"/>
  <c r="M88" i="56"/>
  <c r="N87" i="56"/>
  <c r="N287" i="56" s="1"/>
  <c r="M288" i="56" l="1"/>
  <c r="M89" i="56"/>
  <c r="N88" i="56"/>
  <c r="N288" i="56" s="1"/>
  <c r="M289" i="56" l="1"/>
  <c r="M90" i="56"/>
  <c r="N89" i="56"/>
  <c r="N289" i="56" s="1"/>
  <c r="M290" i="56" l="1"/>
  <c r="M91" i="56"/>
  <c r="N90" i="56"/>
  <c r="N290" i="56" s="1"/>
  <c r="M291" i="56" l="1"/>
  <c r="M92" i="56"/>
  <c r="N91" i="56"/>
  <c r="N291" i="56" s="1"/>
  <c r="M292" i="56" l="1"/>
  <c r="M93" i="56"/>
  <c r="N92" i="56"/>
  <c r="N292" i="56" s="1"/>
  <c r="M293" i="56" l="1"/>
  <c r="M94" i="56"/>
  <c r="N93" i="56"/>
  <c r="N293" i="56" s="1"/>
  <c r="M294" i="56" l="1"/>
  <c r="M95" i="56"/>
  <c r="N94" i="56"/>
  <c r="N294" i="56" s="1"/>
  <c r="M295" i="56" l="1"/>
  <c r="M96" i="56"/>
  <c r="N95" i="56"/>
  <c r="N295" i="56" s="1"/>
  <c r="M296" i="56" l="1"/>
  <c r="M97" i="56"/>
  <c r="N96" i="56"/>
  <c r="N296" i="56" s="1"/>
  <c r="M297" i="56" l="1"/>
  <c r="M98" i="56"/>
  <c r="N97" i="56"/>
  <c r="N297" i="56" s="1"/>
  <c r="M298" i="56" l="1"/>
  <c r="N98" i="56"/>
  <c r="N298" i="56" s="1"/>
  <c r="M99" i="56"/>
  <c r="M299" i="56" l="1"/>
  <c r="M100" i="56"/>
  <c r="N99" i="56"/>
  <c r="N299" i="56" s="1"/>
  <c r="M300" i="56" l="1"/>
  <c r="M101" i="56"/>
  <c r="N100" i="56"/>
  <c r="N300" i="56" s="1"/>
  <c r="M301" i="56" l="1"/>
  <c r="M102" i="56"/>
  <c r="N101" i="56"/>
  <c r="N301" i="56" s="1"/>
  <c r="M302" i="56" l="1"/>
  <c r="N102" i="56"/>
  <c r="N302" i="56" s="1"/>
  <c r="M103" i="56"/>
  <c r="M303" i="56" l="1"/>
  <c r="N103" i="56"/>
  <c r="N303" i="56" s="1"/>
  <c r="M104" i="56"/>
  <c r="M304" i="56" l="1"/>
  <c r="N104" i="56"/>
  <c r="N304" i="56" s="1"/>
  <c r="M105" i="56"/>
  <c r="M305" i="56" l="1"/>
  <c r="N105" i="56"/>
  <c r="N305" i="56" s="1"/>
  <c r="M106" i="56"/>
  <c r="M306" i="56" l="1"/>
  <c r="M107" i="56"/>
  <c r="N106" i="56"/>
  <c r="N306" i="56" s="1"/>
  <c r="M307" i="56" l="1"/>
  <c r="M108" i="56"/>
  <c r="N107" i="56"/>
  <c r="N307" i="56" s="1"/>
  <c r="M308" i="56" l="1"/>
  <c r="M109" i="56"/>
  <c r="N108" i="56"/>
  <c r="N308" i="56" s="1"/>
  <c r="M309" i="56" l="1"/>
  <c r="M110" i="56"/>
  <c r="N109" i="56"/>
  <c r="N309" i="56" s="1"/>
  <c r="M310" i="56" l="1"/>
  <c r="M111" i="56"/>
  <c r="N110" i="56"/>
  <c r="N310" i="56" s="1"/>
  <c r="M311" i="56" l="1"/>
  <c r="M112" i="56"/>
  <c r="N111" i="56"/>
  <c r="N311" i="56" s="1"/>
  <c r="M312" i="56" l="1"/>
  <c r="N112" i="56"/>
  <c r="N312" i="56" s="1"/>
  <c r="M113" i="56"/>
  <c r="M313" i="56" l="1"/>
  <c r="M114" i="56"/>
  <c r="N113" i="56"/>
  <c r="N313" i="56" s="1"/>
  <c r="M314" i="56" l="1"/>
  <c r="N114" i="56"/>
  <c r="N314" i="56" s="1"/>
  <c r="M115" i="56"/>
  <c r="M315" i="56" l="1"/>
  <c r="N115" i="56"/>
  <c r="N315" i="56" s="1"/>
  <c r="M116" i="56"/>
  <c r="M316" i="56" l="1"/>
  <c r="N116" i="56"/>
  <c r="N316" i="56" s="1"/>
  <c r="M117" i="56"/>
  <c r="M317" i="56" l="1"/>
  <c r="M118" i="56"/>
  <c r="N117" i="56"/>
  <c r="N317" i="56" s="1"/>
  <c r="M318" i="56" l="1"/>
  <c r="N118" i="56"/>
  <c r="N318" i="56" s="1"/>
  <c r="M119" i="56"/>
  <c r="M319" i="56" l="1"/>
  <c r="M120" i="56"/>
  <c r="N119" i="56"/>
  <c r="N319" i="56" s="1"/>
  <c r="M320" i="56" l="1"/>
  <c r="M121" i="56"/>
  <c r="N120" i="56"/>
  <c r="N320" i="56" s="1"/>
  <c r="M321" i="56" l="1"/>
  <c r="M122" i="56"/>
  <c r="N121" i="56"/>
  <c r="N321" i="56" s="1"/>
  <c r="M322" i="56" l="1"/>
  <c r="N122" i="56"/>
  <c r="N322" i="56" s="1"/>
  <c r="M123" i="56"/>
  <c r="M323" i="56" l="1"/>
  <c r="M124" i="56"/>
  <c r="N123" i="56"/>
  <c r="N323" i="56" s="1"/>
  <c r="M324" i="56" l="1"/>
  <c r="N124" i="56"/>
  <c r="N324" i="56" s="1"/>
  <c r="M125" i="56"/>
  <c r="M325" i="56" l="1"/>
  <c r="M126" i="56"/>
  <c r="N125" i="56"/>
  <c r="N325" i="56" s="1"/>
  <c r="M326" i="56" l="1"/>
  <c r="M127" i="56"/>
  <c r="N126" i="56"/>
  <c r="N326" i="56" s="1"/>
  <c r="M327" i="56" l="1"/>
  <c r="M128" i="56"/>
  <c r="N127" i="56"/>
  <c r="N327" i="56" s="1"/>
  <c r="M328" i="56" l="1"/>
  <c r="N128" i="56"/>
  <c r="N328" i="56" s="1"/>
  <c r="M129" i="56"/>
  <c r="M329" i="56" l="1"/>
  <c r="M130" i="56"/>
  <c r="N129" i="56"/>
  <c r="N329" i="56" s="1"/>
  <c r="M330" i="56" l="1"/>
  <c r="N130" i="56"/>
  <c r="N330" i="56" s="1"/>
  <c r="M131" i="56"/>
  <c r="M331" i="56" l="1"/>
  <c r="M132" i="56"/>
  <c r="N131" i="56"/>
  <c r="N331" i="56" s="1"/>
  <c r="M332" i="56" l="1"/>
  <c r="N132" i="56"/>
  <c r="N332" i="56" s="1"/>
  <c r="M133" i="56"/>
  <c r="M333" i="56" l="1"/>
  <c r="M134" i="56"/>
  <c r="N133" i="56"/>
  <c r="N333" i="56" s="1"/>
  <c r="M334" i="56" l="1"/>
  <c r="N134" i="56"/>
  <c r="N334" i="56" s="1"/>
  <c r="M135" i="56"/>
  <c r="M335" i="56" l="1"/>
  <c r="M136" i="56"/>
  <c r="N135" i="56"/>
  <c r="N335" i="56" s="1"/>
  <c r="M336" i="56" l="1"/>
  <c r="M137" i="56"/>
  <c r="N136" i="56"/>
  <c r="N336" i="56" s="1"/>
  <c r="M337" i="56" l="1"/>
  <c r="N137" i="56"/>
  <c r="N337" i="56" s="1"/>
  <c r="M138" i="56"/>
  <c r="M338" i="56" l="1"/>
  <c r="N138" i="56"/>
  <c r="N338" i="56" s="1"/>
  <c r="M139" i="56"/>
  <c r="M339" i="56" l="1"/>
  <c r="M140" i="56"/>
  <c r="N139" i="56"/>
  <c r="N339" i="56" s="1"/>
  <c r="M340" i="56" l="1"/>
  <c r="M141" i="56"/>
  <c r="N140" i="56"/>
  <c r="N340" i="56" s="1"/>
  <c r="M341" i="56" l="1"/>
  <c r="M142" i="56"/>
  <c r="N141" i="56"/>
  <c r="N341" i="56" s="1"/>
  <c r="M342" i="56" l="1"/>
  <c r="M143" i="56"/>
  <c r="N142" i="56"/>
  <c r="N342" i="56" s="1"/>
  <c r="M343" i="56" l="1"/>
  <c r="M144" i="56"/>
  <c r="N143" i="56"/>
  <c r="N343" i="56" s="1"/>
  <c r="M344" i="56" l="1"/>
  <c r="N144" i="56"/>
  <c r="N344" i="56" s="1"/>
  <c r="M145" i="56"/>
  <c r="M345" i="56" l="1"/>
  <c r="N145" i="56"/>
  <c r="N345" i="56" s="1"/>
  <c r="M146" i="56"/>
  <c r="M346" i="56" l="1"/>
  <c r="M147" i="56"/>
  <c r="N146" i="56"/>
  <c r="N346" i="56" s="1"/>
  <c r="M347" i="56" l="1"/>
  <c r="N147" i="56"/>
  <c r="N347" i="56" s="1"/>
  <c r="M148" i="56"/>
  <c r="M348" i="56" l="1"/>
  <c r="M149" i="56"/>
  <c r="N148" i="56"/>
  <c r="N348" i="56" s="1"/>
  <c r="M349" i="56" l="1"/>
  <c r="M150" i="56"/>
  <c r="N149" i="56"/>
  <c r="N349" i="56" s="1"/>
  <c r="M350" i="56" l="1"/>
  <c r="M151" i="56"/>
  <c r="N150" i="56"/>
  <c r="N350" i="56" s="1"/>
  <c r="M351" i="56" l="1"/>
  <c r="N151" i="56"/>
  <c r="N351" i="56" s="1"/>
  <c r="M152" i="56"/>
  <c r="M352" i="56" l="1"/>
  <c r="M153" i="56"/>
  <c r="N152" i="56"/>
  <c r="N352" i="56" s="1"/>
  <c r="M353" i="56" l="1"/>
  <c r="N153" i="56"/>
  <c r="N353" i="56" s="1"/>
  <c r="M154" i="56"/>
  <c r="M354" i="56" l="1"/>
  <c r="N154" i="56"/>
  <c r="N354" i="56" s="1"/>
  <c r="M155" i="56"/>
  <c r="K154" i="56"/>
  <c r="M355" i="56" l="1"/>
  <c r="N155" i="56"/>
  <c r="N355" i="56" s="1"/>
  <c r="M156" i="56"/>
  <c r="M356" i="56" l="1"/>
  <c r="M157" i="56"/>
  <c r="N156" i="56"/>
  <c r="N356" i="56" s="1"/>
  <c r="M357" i="56" l="1"/>
  <c r="M158" i="56"/>
  <c r="N157" i="56"/>
  <c r="N357" i="56" s="1"/>
  <c r="M358" i="56" l="1"/>
  <c r="M159" i="56"/>
  <c r="N158" i="56"/>
  <c r="N358" i="56" s="1"/>
  <c r="M160" i="56" l="1"/>
  <c r="M359" i="56"/>
  <c r="N159" i="56"/>
  <c r="N359" i="56" s="1"/>
  <c r="M360" i="56" l="1"/>
  <c r="M161" i="56"/>
  <c r="N160" i="56"/>
  <c r="N360" i="56" s="1"/>
  <c r="M361" i="56" l="1"/>
  <c r="M162" i="56"/>
  <c r="N161" i="56"/>
  <c r="N361" i="56" s="1"/>
  <c r="M362" i="56" l="1"/>
  <c r="M163" i="56"/>
  <c r="N162" i="56"/>
  <c r="N362" i="56" s="1"/>
  <c r="M363" i="56" l="1"/>
  <c r="M164" i="56"/>
  <c r="N163" i="56"/>
  <c r="N363" i="56" s="1"/>
  <c r="M364" i="56" l="1"/>
  <c r="M165" i="56"/>
  <c r="N164" i="56"/>
  <c r="N364" i="56" s="1"/>
  <c r="M365" i="56" l="1"/>
  <c r="M166" i="56"/>
  <c r="N165" i="56"/>
  <c r="N365" i="56" s="1"/>
  <c r="M366" i="56" l="1"/>
  <c r="M167" i="56"/>
  <c r="N166" i="56"/>
  <c r="N366" i="56" s="1"/>
  <c r="M367" i="56" l="1"/>
  <c r="M168" i="56"/>
  <c r="N167" i="56"/>
  <c r="N367" i="56" s="1"/>
  <c r="M368" i="56" l="1"/>
  <c r="M169" i="56"/>
  <c r="N168" i="56"/>
  <c r="N368" i="56" s="1"/>
  <c r="M369" i="56" l="1"/>
  <c r="M170" i="56"/>
  <c r="N169" i="56"/>
  <c r="N369" i="56" s="1"/>
  <c r="M370" i="56" l="1"/>
  <c r="M171" i="56"/>
  <c r="N170" i="56"/>
  <c r="N370" i="56" s="1"/>
  <c r="M371" i="56" l="1"/>
  <c r="M172" i="56"/>
  <c r="N171" i="56"/>
  <c r="N371" i="56" s="1"/>
  <c r="M372" i="56" l="1"/>
  <c r="M173" i="56"/>
  <c r="N172" i="56"/>
  <c r="N372" i="56" s="1"/>
  <c r="M373" i="56" l="1"/>
  <c r="M174" i="56"/>
  <c r="N173" i="56"/>
  <c r="N373" i="56" s="1"/>
  <c r="M374" i="56" l="1"/>
  <c r="M175" i="56"/>
  <c r="N174" i="56"/>
  <c r="N374" i="56" s="1"/>
  <c r="M375" i="56" l="1"/>
  <c r="M176" i="56"/>
  <c r="N175" i="56"/>
  <c r="N375" i="56" s="1"/>
  <c r="M376" i="56" l="1"/>
  <c r="M177" i="56"/>
  <c r="N176" i="56"/>
  <c r="N376" i="56" s="1"/>
  <c r="M377" i="56" l="1"/>
  <c r="M178" i="56"/>
  <c r="N177" i="56"/>
  <c r="N377" i="56" s="1"/>
  <c r="M378" i="56" l="1"/>
  <c r="M179" i="56"/>
  <c r="N178" i="56"/>
  <c r="N378" i="56" s="1"/>
  <c r="M379" i="56" l="1"/>
  <c r="M180" i="56"/>
  <c r="N179" i="56"/>
  <c r="N379" i="56" s="1"/>
  <c r="M380" i="56" l="1"/>
  <c r="M181" i="56"/>
  <c r="N180" i="56"/>
  <c r="N380" i="56" s="1"/>
  <c r="M381" i="56" l="1"/>
  <c r="M182" i="56"/>
  <c r="N181" i="56"/>
  <c r="N381" i="56" s="1"/>
  <c r="M382" i="56" l="1"/>
  <c r="M183" i="56"/>
  <c r="N182" i="56"/>
  <c r="N382" i="56" s="1"/>
  <c r="M383" i="56" l="1"/>
  <c r="M184" i="56"/>
  <c r="N183" i="56"/>
  <c r="N383" i="56" s="1"/>
  <c r="M384" i="56" l="1"/>
  <c r="M185" i="56"/>
  <c r="N184" i="56"/>
  <c r="N384" i="56" s="1"/>
  <c r="M385" i="56" l="1"/>
  <c r="M186" i="56"/>
  <c r="N185" i="56"/>
  <c r="N385" i="56" s="1"/>
  <c r="M386" i="56" l="1"/>
  <c r="M187" i="56"/>
  <c r="N186" i="56"/>
  <c r="N386" i="56" s="1"/>
  <c r="M387" i="56" l="1"/>
  <c r="M188" i="56"/>
  <c r="N187" i="56"/>
  <c r="N387" i="56" s="1"/>
  <c r="M388" i="56" l="1"/>
  <c r="M189" i="56"/>
  <c r="N188" i="56"/>
  <c r="N388" i="56" s="1"/>
  <c r="M389" i="56" l="1"/>
  <c r="M190" i="56"/>
  <c r="N189" i="56"/>
  <c r="N389" i="56" s="1"/>
  <c r="M390" i="56" l="1"/>
  <c r="M191" i="56"/>
  <c r="N190" i="56"/>
  <c r="N390" i="56" s="1"/>
  <c r="M391" i="56" l="1"/>
  <c r="M192" i="56"/>
  <c r="N191" i="56"/>
  <c r="N391" i="56" s="1"/>
  <c r="M392" i="56" l="1"/>
  <c r="M193" i="56"/>
  <c r="N192" i="56"/>
  <c r="N392" i="56" s="1"/>
  <c r="M393" i="56" l="1"/>
  <c r="M194" i="56"/>
  <c r="N193" i="56"/>
  <c r="N393" i="56" s="1"/>
  <c r="M394" i="56" l="1"/>
  <c r="M195" i="56"/>
  <c r="N194" i="56"/>
  <c r="N394" i="56" s="1"/>
  <c r="M395" i="56" l="1"/>
  <c r="M196" i="56"/>
  <c r="N195" i="56"/>
  <c r="N395" i="56" s="1"/>
  <c r="M396" i="56" l="1"/>
  <c r="M197" i="56"/>
  <c r="N196" i="56"/>
  <c r="N396" i="56" s="1"/>
  <c r="M397" i="56" l="1"/>
  <c r="M198" i="56"/>
  <c r="N197" i="56"/>
  <c r="N397" i="56" s="1"/>
  <c r="M398" i="56" l="1"/>
  <c r="M199" i="56"/>
  <c r="N198" i="56"/>
  <c r="N398" i="56" s="1"/>
  <c r="M399" i="56" l="1"/>
  <c r="M200" i="56"/>
  <c r="N199" i="56"/>
  <c r="N399" i="56" s="1"/>
  <c r="M400" i="56" l="1"/>
  <c r="M201" i="56"/>
  <c r="N200" i="56"/>
  <c r="N400" i="56" s="1"/>
  <c r="M401" i="56" l="1"/>
  <c r="M202" i="56"/>
  <c r="N201" i="56"/>
  <c r="N401" i="56" s="1"/>
  <c r="M402" i="56" l="1"/>
  <c r="M203" i="56"/>
  <c r="N202" i="56"/>
  <c r="N402" i="56" s="1"/>
  <c r="M403" i="56" l="1"/>
  <c r="M404" i="56" s="1"/>
  <c r="N203" i="56"/>
  <c r="N403" i="56" s="1"/>
  <c r="N404" i="56" s="1"/>
  <c r="M26" i="59" l="1"/>
  <c r="M23" i="59" l="1"/>
  <c r="Y20" i="59"/>
  <c r="AR22" i="59" s="1"/>
  <c r="Y22" i="59"/>
  <c r="X22" i="59" s="1"/>
  <c r="Y21" i="59"/>
  <c r="X21" i="59" s="1"/>
  <c r="W22" i="59"/>
  <c r="AI51" i="59"/>
  <c r="AC20" i="59"/>
  <c r="AE22" i="59" s="1"/>
  <c r="AE30" i="59" s="1"/>
  <c r="BE52" i="59"/>
  <c r="BE53" i="59"/>
  <c r="BE54" i="59"/>
  <c r="BE55" i="59"/>
  <c r="BE56" i="59"/>
  <c r="BE57" i="59"/>
  <c r="BE58" i="59"/>
  <c r="BE59" i="59"/>
  <c r="BE60" i="59"/>
  <c r="BE51" i="59"/>
  <c r="W21" i="59"/>
  <c r="W20" i="59"/>
  <c r="BL51" i="59"/>
  <c r="W51" i="59"/>
  <c r="AC51" i="59"/>
  <c r="M24" i="59"/>
  <c r="Y26" i="59" l="1"/>
  <c r="AM22" i="59" s="1"/>
  <c r="X20" i="59"/>
  <c r="AO51" i="59"/>
  <c r="AE24" i="59"/>
  <c r="AE26" i="59"/>
  <c r="AE28" i="59"/>
  <c r="W26" i="59"/>
  <c r="Z22" i="59"/>
  <c r="AA21" i="59"/>
  <c r="Z21" i="59"/>
  <c r="Z20" i="59"/>
  <c r="Z26" i="59" l="1"/>
  <c r="X26" i="59"/>
  <c r="AA22" i="59"/>
  <c r="AA20" i="59"/>
  <c r="AE21" i="59"/>
  <c r="AE29" i="59" s="1"/>
  <c r="AF20" i="59" l="1"/>
  <c r="AM23" i="59"/>
  <c r="AE25" i="59"/>
  <c r="AA26" i="59"/>
  <c r="AE23" i="59"/>
  <c r="AE27" i="59"/>
  <c r="J28" i="52" l="1"/>
  <c r="AM21" i="59"/>
  <c r="AF21" i="59"/>
  <c r="AF30" i="59"/>
  <c r="AF28" i="59"/>
  <c r="AF26" i="59"/>
  <c r="AF24" i="59"/>
  <c r="AF22" i="59"/>
  <c r="BC158" i="48" l="1"/>
  <c r="BC159" i="48"/>
  <c r="BC160" i="48"/>
  <c r="BC157" i="48"/>
  <c r="BC17" i="48"/>
  <c r="BC23" i="48"/>
  <c r="BC29" i="48"/>
  <c r="BC35" i="48"/>
  <c r="BC41" i="48"/>
  <c r="BC47" i="48"/>
  <c r="BC53" i="48"/>
  <c r="BC59" i="48"/>
  <c r="BC65" i="48"/>
  <c r="BC71" i="48"/>
  <c r="BC77" i="48"/>
  <c r="BC83" i="48"/>
  <c r="BC89" i="48"/>
  <c r="BC95" i="48"/>
  <c r="BC101" i="48"/>
  <c r="BC107" i="48"/>
  <c r="BC113" i="48"/>
  <c r="BC119" i="48"/>
  <c r="BC125" i="48"/>
  <c r="BC131" i="48"/>
  <c r="BC137" i="48"/>
  <c r="BC143" i="48"/>
  <c r="BC149" i="48"/>
  <c r="BC155" i="48"/>
  <c r="BC12" i="48"/>
  <c r="BC18" i="48"/>
  <c r="BC24" i="48"/>
  <c r="BC30" i="48"/>
  <c r="BC36" i="48"/>
  <c r="BC42" i="48"/>
  <c r="BC48" i="48"/>
  <c r="BC54" i="48"/>
  <c r="BC60" i="48"/>
  <c r="BC66" i="48"/>
  <c r="BC72" i="48"/>
  <c r="BC78" i="48"/>
  <c r="BC84" i="48"/>
  <c r="BC90" i="48"/>
  <c r="BC96" i="48"/>
  <c r="BC102" i="48"/>
  <c r="BC108" i="48"/>
  <c r="BC114" i="48"/>
  <c r="BC120" i="48"/>
  <c r="BC126" i="48"/>
  <c r="BC132" i="48"/>
  <c r="BC138" i="48"/>
  <c r="BC144" i="48"/>
  <c r="BC150" i="48"/>
  <c r="BC156" i="48"/>
  <c r="BC13" i="48"/>
  <c r="BC19" i="48"/>
  <c r="BC25" i="48"/>
  <c r="BC31" i="48"/>
  <c r="BC37" i="48"/>
  <c r="BC43" i="48"/>
  <c r="BC49" i="48"/>
  <c r="BC55" i="48"/>
  <c r="BC61" i="48"/>
  <c r="BC67" i="48"/>
  <c r="BC73" i="48"/>
  <c r="BC79" i="48"/>
  <c r="BC85" i="48"/>
  <c r="BC91" i="48"/>
  <c r="BC97" i="48"/>
  <c r="BC103" i="48"/>
  <c r="BC109" i="48"/>
  <c r="BC115" i="48"/>
  <c r="BC121" i="48"/>
  <c r="BC127" i="48"/>
  <c r="BC133" i="48"/>
  <c r="BC139" i="48"/>
  <c r="BC145" i="48"/>
  <c r="BC151" i="48"/>
  <c r="BC14" i="48"/>
  <c r="BC20" i="48"/>
  <c r="BC26" i="48"/>
  <c r="BC32" i="48"/>
  <c r="BC38" i="48"/>
  <c r="BC44" i="48"/>
  <c r="BC50" i="48"/>
  <c r="BC56" i="48"/>
  <c r="BC62" i="48"/>
  <c r="BC68" i="48"/>
  <c r="BC74" i="48"/>
  <c r="BC80" i="48"/>
  <c r="BC86" i="48"/>
  <c r="BC92" i="48"/>
  <c r="BC98" i="48"/>
  <c r="BC104" i="48"/>
  <c r="BC110" i="48"/>
  <c r="BC116" i="48"/>
  <c r="BC122" i="48"/>
  <c r="BC128" i="48"/>
  <c r="BC134" i="48"/>
  <c r="BC140" i="48"/>
  <c r="BC146" i="48"/>
  <c r="BC152" i="48"/>
  <c r="BC15" i="48"/>
  <c r="BC21" i="48"/>
  <c r="BC27" i="48"/>
  <c r="BC33" i="48"/>
  <c r="BC39" i="48"/>
  <c r="BC45" i="48"/>
  <c r="BC51" i="48"/>
  <c r="BC57" i="48"/>
  <c r="BC63" i="48"/>
  <c r="BC69" i="48"/>
  <c r="BC75" i="48"/>
  <c r="BC81" i="48"/>
  <c r="BC87" i="48"/>
  <c r="BC93" i="48"/>
  <c r="BC99" i="48"/>
  <c r="BC105" i="48"/>
  <c r="BC111" i="48"/>
  <c r="BC117" i="48"/>
  <c r="BC123" i="48"/>
  <c r="BC129" i="48"/>
  <c r="BC135" i="48"/>
  <c r="BC141" i="48"/>
  <c r="BC147" i="48"/>
  <c r="BC153" i="48"/>
  <c r="BC16" i="48"/>
  <c r="BC22" i="48"/>
  <c r="BC28" i="48"/>
  <c r="BC34" i="48"/>
  <c r="BC40" i="48"/>
  <c r="BC46" i="48"/>
  <c r="BC52" i="48"/>
  <c r="BC58" i="48"/>
  <c r="BC64" i="48"/>
  <c r="BC70" i="48"/>
  <c r="BC76" i="48"/>
  <c r="BC82" i="48"/>
  <c r="BC88" i="48"/>
  <c r="BC94" i="48"/>
  <c r="BC100" i="48"/>
  <c r="BC106" i="48"/>
  <c r="BC112" i="48"/>
  <c r="BC118" i="48"/>
  <c r="BC124" i="48"/>
  <c r="BC130" i="48"/>
  <c r="BC136" i="48"/>
  <c r="BC142" i="48"/>
  <c r="BC148" i="48"/>
  <c r="BC154" i="48"/>
  <c r="O28" i="52"/>
  <c r="M25" i="52"/>
  <c r="BC11" i="48"/>
  <c r="BJ11" i="48" s="1"/>
  <c r="BK11" i="48" s="1"/>
  <c r="J25" i="59"/>
  <c r="AF23" i="59"/>
  <c r="AF25" i="59"/>
  <c r="AF27" i="59"/>
  <c r="AF29" i="59"/>
  <c r="BJ52" i="48" l="1"/>
  <c r="BK52" i="48" s="1"/>
  <c r="BD52" i="48"/>
  <c r="BE52" i="48" s="1"/>
  <c r="BQ52" i="48" s="1"/>
  <c r="BJ54" i="48"/>
  <c r="BK54" i="48" s="1"/>
  <c r="BD54" i="48"/>
  <c r="BE54" i="48" s="1"/>
  <c r="BD46" i="48"/>
  <c r="BE46" i="48" s="1"/>
  <c r="BJ46" i="48"/>
  <c r="BK46" i="48" s="1"/>
  <c r="BJ43" i="48"/>
  <c r="BK43" i="48" s="1"/>
  <c r="BD43" i="48"/>
  <c r="BE43" i="48" s="1"/>
  <c r="BQ43" i="48" s="1"/>
  <c r="BD53" i="48"/>
  <c r="BE53" i="48" s="1"/>
  <c r="BJ53" i="48"/>
  <c r="BK53" i="48" s="1"/>
  <c r="BQ53" i="48" s="1"/>
  <c r="BJ112" i="48"/>
  <c r="BK112" i="48" s="1"/>
  <c r="BD112" i="48"/>
  <c r="BE112" i="48" s="1"/>
  <c r="BJ40" i="48"/>
  <c r="BK40" i="48" s="1"/>
  <c r="BD40" i="48"/>
  <c r="BE40" i="48" s="1"/>
  <c r="BQ40" i="48" s="1"/>
  <c r="BJ111" i="48"/>
  <c r="BK111" i="48" s="1"/>
  <c r="BD111" i="48"/>
  <c r="BE111" i="48" s="1"/>
  <c r="BQ111" i="48" s="1"/>
  <c r="BJ39" i="48"/>
  <c r="BK39" i="48" s="1"/>
  <c r="BD39" i="48"/>
  <c r="BE39" i="48" s="1"/>
  <c r="BJ110" i="48"/>
  <c r="BK110" i="48" s="1"/>
  <c r="BD110" i="48"/>
  <c r="BE110" i="48" s="1"/>
  <c r="BQ110" i="48" s="1"/>
  <c r="BJ38" i="48"/>
  <c r="BK38" i="48" s="1"/>
  <c r="BD38" i="48"/>
  <c r="BE38" i="48" s="1"/>
  <c r="BQ38" i="48" s="1"/>
  <c r="BD109" i="48"/>
  <c r="BE109" i="48" s="1"/>
  <c r="BJ109" i="48"/>
  <c r="BK109" i="48" s="1"/>
  <c r="BD37" i="48"/>
  <c r="BE37" i="48" s="1"/>
  <c r="BJ37" i="48"/>
  <c r="BK37" i="48" s="1"/>
  <c r="BQ37" i="48" s="1"/>
  <c r="BJ114" i="48"/>
  <c r="BK114" i="48" s="1"/>
  <c r="BD114" i="48"/>
  <c r="BE114" i="48" s="1"/>
  <c r="BQ114" i="48" s="1"/>
  <c r="BJ42" i="48"/>
  <c r="BK42" i="48" s="1"/>
  <c r="BD42" i="48"/>
  <c r="BE42" i="48" s="1"/>
  <c r="BJ119" i="48"/>
  <c r="BK119" i="48" s="1"/>
  <c r="BD119" i="48"/>
  <c r="BE119" i="48" s="1"/>
  <c r="BQ119" i="48" s="1"/>
  <c r="BD47" i="48"/>
  <c r="BE47" i="48" s="1"/>
  <c r="BJ47" i="48"/>
  <c r="BK47" i="48" s="1"/>
  <c r="BQ47" i="48" s="1"/>
  <c r="BJ124" i="48"/>
  <c r="BK124" i="48" s="1"/>
  <c r="BD124" i="48"/>
  <c r="BE124" i="48" s="1"/>
  <c r="BJ50" i="48"/>
  <c r="BK50" i="48" s="1"/>
  <c r="BD50" i="48"/>
  <c r="BE50" i="48" s="1"/>
  <c r="BQ50" i="48" s="1"/>
  <c r="BD120" i="48"/>
  <c r="BE120" i="48" s="1"/>
  <c r="BJ120" i="48"/>
  <c r="BK120" i="48" s="1"/>
  <c r="BJ106" i="48"/>
  <c r="BK106" i="48" s="1"/>
  <c r="BD106" i="48"/>
  <c r="BE106" i="48" s="1"/>
  <c r="BD34" i="48"/>
  <c r="BE34" i="48" s="1"/>
  <c r="BJ34" i="48"/>
  <c r="BK34" i="48" s="1"/>
  <c r="BQ34" i="48" s="1"/>
  <c r="BD105" i="48"/>
  <c r="BE105" i="48" s="1"/>
  <c r="BJ105" i="48"/>
  <c r="BK105" i="48" s="1"/>
  <c r="BQ105" i="48" s="1"/>
  <c r="BJ33" i="48"/>
  <c r="BK33" i="48" s="1"/>
  <c r="BD33" i="48"/>
  <c r="BE33" i="48" s="1"/>
  <c r="BD104" i="48"/>
  <c r="BE104" i="48" s="1"/>
  <c r="BJ104" i="48"/>
  <c r="BK104" i="48" s="1"/>
  <c r="BQ104" i="48" s="1"/>
  <c r="BD32" i="48"/>
  <c r="BE32" i="48" s="1"/>
  <c r="BJ32" i="48"/>
  <c r="BK32" i="48" s="1"/>
  <c r="BQ32" i="48" s="1"/>
  <c r="BJ103" i="48"/>
  <c r="BK103" i="48" s="1"/>
  <c r="BD103" i="48"/>
  <c r="BE103" i="48" s="1"/>
  <c r="BD31" i="48"/>
  <c r="BE31" i="48" s="1"/>
  <c r="BJ31" i="48"/>
  <c r="BK31" i="48" s="1"/>
  <c r="BQ31" i="48" s="1"/>
  <c r="BD108" i="48"/>
  <c r="BE108" i="48" s="1"/>
  <c r="BJ108" i="48"/>
  <c r="BK108" i="48" s="1"/>
  <c r="BQ108" i="48" s="1"/>
  <c r="BD36" i="48"/>
  <c r="BE36" i="48" s="1"/>
  <c r="BJ36" i="48"/>
  <c r="BK36" i="48" s="1"/>
  <c r="BD113" i="48"/>
  <c r="BE113" i="48" s="1"/>
  <c r="BJ113" i="48"/>
  <c r="BK113" i="48" s="1"/>
  <c r="BQ113" i="48" s="1"/>
  <c r="BJ41" i="48"/>
  <c r="BK41" i="48" s="1"/>
  <c r="BD41" i="48"/>
  <c r="BE41" i="48" s="1"/>
  <c r="BQ41" i="48" s="1"/>
  <c r="BJ122" i="48"/>
  <c r="BK122" i="48" s="1"/>
  <c r="BD122" i="48"/>
  <c r="BE122" i="48" s="1"/>
  <c r="BD44" i="48"/>
  <c r="BE44" i="48" s="1"/>
  <c r="BJ44" i="48"/>
  <c r="BK44" i="48" s="1"/>
  <c r="BQ44" i="48" s="1"/>
  <c r="BJ100" i="48"/>
  <c r="BK100" i="48" s="1"/>
  <c r="BD100" i="48"/>
  <c r="BE100" i="48" s="1"/>
  <c r="BQ100" i="48" s="1"/>
  <c r="BJ98" i="48"/>
  <c r="BK98" i="48" s="1"/>
  <c r="BD98" i="48"/>
  <c r="BE98" i="48" s="1"/>
  <c r="BJ26" i="48"/>
  <c r="BK26" i="48" s="1"/>
  <c r="BD26" i="48"/>
  <c r="BE26" i="48" s="1"/>
  <c r="BQ26" i="48" s="1"/>
  <c r="BD97" i="48"/>
  <c r="BE97" i="48" s="1"/>
  <c r="BJ97" i="48"/>
  <c r="BK97" i="48" s="1"/>
  <c r="BD25" i="48"/>
  <c r="BE25" i="48" s="1"/>
  <c r="BQ25" i="48" s="1"/>
  <c r="BJ25" i="48"/>
  <c r="BK25" i="48" s="1"/>
  <c r="BJ102" i="48"/>
  <c r="BK102" i="48" s="1"/>
  <c r="BD102" i="48"/>
  <c r="BE102" i="48" s="1"/>
  <c r="BQ102" i="48" s="1"/>
  <c r="BJ30" i="48"/>
  <c r="BK30" i="48" s="1"/>
  <c r="BD30" i="48"/>
  <c r="BE30" i="48" s="1"/>
  <c r="BQ30" i="48" s="1"/>
  <c r="BD107" i="48"/>
  <c r="BE107" i="48" s="1"/>
  <c r="BJ107" i="48"/>
  <c r="BK107" i="48" s="1"/>
  <c r="BD35" i="48"/>
  <c r="BE35" i="48" s="1"/>
  <c r="BJ35" i="48"/>
  <c r="BK35" i="48" s="1"/>
  <c r="BQ35" i="48" s="1"/>
  <c r="BD121" i="48"/>
  <c r="BE121" i="48" s="1"/>
  <c r="BJ121" i="48"/>
  <c r="BK121" i="48" s="1"/>
  <c r="BQ121" i="48" s="1"/>
  <c r="BD117" i="48"/>
  <c r="BE117" i="48" s="1"/>
  <c r="BJ117" i="48"/>
  <c r="BK117" i="48" s="1"/>
  <c r="BD29" i="48"/>
  <c r="BE29" i="48" s="1"/>
  <c r="BJ29" i="48"/>
  <c r="BK29" i="48" s="1"/>
  <c r="BQ29" i="48" s="1"/>
  <c r="BJ131" i="48"/>
  <c r="BK131" i="48" s="1"/>
  <c r="BD131" i="48"/>
  <c r="BE131" i="48" s="1"/>
  <c r="BQ131" i="48" s="1"/>
  <c r="BJ45" i="48"/>
  <c r="BK45" i="48" s="1"/>
  <c r="BD45" i="48"/>
  <c r="BE45" i="48" s="1"/>
  <c r="BD48" i="48"/>
  <c r="BE48" i="48" s="1"/>
  <c r="BJ48" i="48"/>
  <c r="BK48" i="48" s="1"/>
  <c r="BQ48" i="48" s="1"/>
  <c r="BJ28" i="48"/>
  <c r="BK28" i="48" s="1"/>
  <c r="BD28" i="48"/>
  <c r="BE28" i="48" s="1"/>
  <c r="BQ28" i="48" s="1"/>
  <c r="BD96" i="48"/>
  <c r="BE96" i="48" s="1"/>
  <c r="BJ96" i="48"/>
  <c r="BK96" i="48" s="1"/>
  <c r="BJ88" i="48"/>
  <c r="BK88" i="48" s="1"/>
  <c r="BD88" i="48"/>
  <c r="BE88" i="48" s="1"/>
  <c r="BQ88" i="48" s="1"/>
  <c r="BJ86" i="48"/>
  <c r="BK86" i="48" s="1"/>
  <c r="BD86" i="48"/>
  <c r="BE86" i="48" s="1"/>
  <c r="BQ86" i="48" s="1"/>
  <c r="BD13" i="48"/>
  <c r="BE13" i="48" s="1"/>
  <c r="BQ13" i="48" s="1"/>
  <c r="BJ13" i="48"/>
  <c r="BK13" i="48" s="1"/>
  <c r="BD90" i="48"/>
  <c r="BE90" i="48" s="1"/>
  <c r="BJ90" i="48"/>
  <c r="BK90" i="48" s="1"/>
  <c r="BQ90" i="48" s="1"/>
  <c r="BJ18" i="48"/>
  <c r="BK18" i="48" s="1"/>
  <c r="BD18" i="48"/>
  <c r="BE18" i="48" s="1"/>
  <c r="BQ18" i="48" s="1"/>
  <c r="BJ95" i="48"/>
  <c r="BK95" i="48" s="1"/>
  <c r="BD95" i="48"/>
  <c r="BE95" i="48" s="1"/>
  <c r="BD23" i="48"/>
  <c r="BE23" i="48" s="1"/>
  <c r="BJ23" i="48"/>
  <c r="BK23" i="48" s="1"/>
  <c r="BQ23" i="48" s="1"/>
  <c r="BJ87" i="48"/>
  <c r="BK87" i="48" s="1"/>
  <c r="BD87" i="48"/>
  <c r="BE87" i="48" s="1"/>
  <c r="BQ87" i="48" s="1"/>
  <c r="BJ14" i="48"/>
  <c r="BK14" i="48" s="1"/>
  <c r="BD14" i="48"/>
  <c r="BE14" i="48" s="1"/>
  <c r="BD153" i="48"/>
  <c r="BE153" i="48" s="1"/>
  <c r="BJ153" i="48"/>
  <c r="BK153" i="48" s="1"/>
  <c r="BQ153" i="48" s="1"/>
  <c r="BD152" i="48"/>
  <c r="BE152" i="48" s="1"/>
  <c r="BJ152" i="48"/>
  <c r="BK152" i="48" s="1"/>
  <c r="BQ152" i="48" s="1"/>
  <c r="BD80" i="48"/>
  <c r="BE80" i="48" s="1"/>
  <c r="BJ80" i="48"/>
  <c r="BK80" i="48" s="1"/>
  <c r="BD151" i="48"/>
  <c r="BE151" i="48" s="1"/>
  <c r="BJ151" i="48"/>
  <c r="BK151" i="48" s="1"/>
  <c r="BQ151" i="48" s="1"/>
  <c r="BJ79" i="48"/>
  <c r="BK79" i="48" s="1"/>
  <c r="BD79" i="48"/>
  <c r="BE79" i="48" s="1"/>
  <c r="BQ79" i="48" s="1"/>
  <c r="BJ156" i="48"/>
  <c r="BK156" i="48" s="1"/>
  <c r="BD156" i="48"/>
  <c r="BE156" i="48" s="1"/>
  <c r="BD84" i="48"/>
  <c r="BE84" i="48" s="1"/>
  <c r="BJ84" i="48"/>
  <c r="BK84" i="48" s="1"/>
  <c r="BQ84" i="48" s="1"/>
  <c r="BD12" i="48"/>
  <c r="BE12" i="48" s="1"/>
  <c r="BJ12" i="48"/>
  <c r="BK12" i="48" s="1"/>
  <c r="BQ12" i="48" s="1"/>
  <c r="BD89" i="48"/>
  <c r="BE89" i="48" s="1"/>
  <c r="BJ89" i="48"/>
  <c r="BK89" i="48" s="1"/>
  <c r="BD17" i="48"/>
  <c r="BE17" i="48" s="1"/>
  <c r="BJ17" i="48"/>
  <c r="BK17" i="48" s="1"/>
  <c r="BQ17" i="48" s="1"/>
  <c r="BJ123" i="48"/>
  <c r="BK123" i="48" s="1"/>
  <c r="BD123" i="48"/>
  <c r="BE123" i="48" s="1"/>
  <c r="BQ123" i="48" s="1"/>
  <c r="BD49" i="48"/>
  <c r="BE49" i="48" s="1"/>
  <c r="BJ49" i="48"/>
  <c r="BK49" i="48" s="1"/>
  <c r="BJ118" i="48"/>
  <c r="BK118" i="48" s="1"/>
  <c r="BD118" i="48"/>
  <c r="BE118" i="48" s="1"/>
  <c r="BQ118" i="48" s="1"/>
  <c r="BJ115" i="48"/>
  <c r="BK115" i="48" s="1"/>
  <c r="BD115" i="48"/>
  <c r="BE115" i="48" s="1"/>
  <c r="BQ115" i="48" s="1"/>
  <c r="BJ27" i="48"/>
  <c r="BK27" i="48" s="1"/>
  <c r="BD27" i="48"/>
  <c r="BE27" i="48" s="1"/>
  <c r="BJ22" i="48"/>
  <c r="BK22" i="48" s="1"/>
  <c r="BD22" i="48"/>
  <c r="BE22" i="48" s="1"/>
  <c r="BQ22" i="48" s="1"/>
  <c r="BD92" i="48"/>
  <c r="BE92" i="48" s="1"/>
  <c r="BJ92" i="48"/>
  <c r="BK92" i="48" s="1"/>
  <c r="BQ92" i="48" s="1"/>
  <c r="BD91" i="48"/>
  <c r="BE91" i="48" s="1"/>
  <c r="BJ91" i="48"/>
  <c r="BK91" i="48" s="1"/>
  <c r="BJ101" i="48"/>
  <c r="BK101" i="48" s="1"/>
  <c r="BD101" i="48"/>
  <c r="BE101" i="48" s="1"/>
  <c r="BQ101" i="48" s="1"/>
  <c r="BJ16" i="48"/>
  <c r="BK16" i="48" s="1"/>
  <c r="BD16" i="48"/>
  <c r="BE16" i="48" s="1"/>
  <c r="BQ16" i="48" s="1"/>
  <c r="BJ15" i="48"/>
  <c r="BK15" i="48" s="1"/>
  <c r="BD15" i="48"/>
  <c r="BE15" i="48" s="1"/>
  <c r="BD85" i="48"/>
  <c r="BE85" i="48" s="1"/>
  <c r="BJ85" i="48"/>
  <c r="BK85" i="48" s="1"/>
  <c r="BQ85" i="48" s="1"/>
  <c r="BD154" i="48"/>
  <c r="BE154" i="48" s="1"/>
  <c r="BJ154" i="48"/>
  <c r="BK154" i="48" s="1"/>
  <c r="BQ154" i="48" s="1"/>
  <c r="BD82" i="48"/>
  <c r="BE82" i="48" s="1"/>
  <c r="BJ82" i="48"/>
  <c r="BK82" i="48" s="1"/>
  <c r="BD81" i="48"/>
  <c r="BE81" i="48" s="1"/>
  <c r="BJ81" i="48"/>
  <c r="BK81" i="48" s="1"/>
  <c r="BQ81" i="48" s="1"/>
  <c r="BJ148" i="48"/>
  <c r="BK148" i="48" s="1"/>
  <c r="BD148" i="48"/>
  <c r="BE148" i="48" s="1"/>
  <c r="BQ148" i="48" s="1"/>
  <c r="BJ76" i="48"/>
  <c r="BK76" i="48" s="1"/>
  <c r="BD76" i="48"/>
  <c r="BE76" i="48" s="1"/>
  <c r="BD147" i="48"/>
  <c r="BE147" i="48" s="1"/>
  <c r="BJ147" i="48"/>
  <c r="BK147" i="48" s="1"/>
  <c r="BQ147" i="48" s="1"/>
  <c r="BJ75" i="48"/>
  <c r="BK75" i="48" s="1"/>
  <c r="BD75" i="48"/>
  <c r="BE75" i="48" s="1"/>
  <c r="BQ75" i="48" s="1"/>
  <c r="BD146" i="48"/>
  <c r="BE146" i="48" s="1"/>
  <c r="BJ146" i="48"/>
  <c r="BK146" i="48" s="1"/>
  <c r="BJ74" i="48"/>
  <c r="BK74" i="48" s="1"/>
  <c r="BD74" i="48"/>
  <c r="BE74" i="48" s="1"/>
  <c r="BQ74" i="48" s="1"/>
  <c r="BJ145" i="48"/>
  <c r="BK145" i="48" s="1"/>
  <c r="BD145" i="48"/>
  <c r="BE145" i="48" s="1"/>
  <c r="BQ145" i="48" s="1"/>
  <c r="BD73" i="48"/>
  <c r="BE73" i="48" s="1"/>
  <c r="BJ73" i="48"/>
  <c r="BK73" i="48" s="1"/>
  <c r="BJ150" i="48"/>
  <c r="BK150" i="48" s="1"/>
  <c r="BD150" i="48"/>
  <c r="BE150" i="48" s="1"/>
  <c r="BQ150" i="48" s="1"/>
  <c r="BJ78" i="48"/>
  <c r="BK78" i="48" s="1"/>
  <c r="BD78" i="48"/>
  <c r="BE78" i="48" s="1"/>
  <c r="BQ78" i="48" s="1"/>
  <c r="BJ155" i="48"/>
  <c r="BK155" i="48" s="1"/>
  <c r="BD155" i="48"/>
  <c r="BE155" i="48" s="1"/>
  <c r="BJ83" i="48"/>
  <c r="BK83" i="48" s="1"/>
  <c r="BD83" i="48"/>
  <c r="BE83" i="48" s="1"/>
  <c r="BQ83" i="48" s="1"/>
  <c r="BD157" i="48"/>
  <c r="BE157" i="48" s="1"/>
  <c r="BJ157" i="48"/>
  <c r="BK157" i="48" s="1"/>
  <c r="BQ157" i="48" s="1"/>
  <c r="BD20" i="48"/>
  <c r="BE20" i="48" s="1"/>
  <c r="BJ20" i="48"/>
  <c r="BK20" i="48" s="1"/>
  <c r="BD142" i="48"/>
  <c r="BE142" i="48" s="1"/>
  <c r="BJ142" i="48"/>
  <c r="BK142" i="48" s="1"/>
  <c r="BQ142" i="48" s="1"/>
  <c r="BD141" i="48"/>
  <c r="BE141" i="48" s="1"/>
  <c r="BJ141" i="48"/>
  <c r="BK141" i="48" s="1"/>
  <c r="BQ141" i="48" s="1"/>
  <c r="BJ140" i="48"/>
  <c r="BK140" i="48" s="1"/>
  <c r="BD140" i="48"/>
  <c r="BE140" i="48" s="1"/>
  <c r="BD68" i="48"/>
  <c r="BE68" i="48" s="1"/>
  <c r="BJ68" i="48"/>
  <c r="BK68" i="48" s="1"/>
  <c r="BQ68" i="48" s="1"/>
  <c r="BJ139" i="48"/>
  <c r="BK139" i="48" s="1"/>
  <c r="BD139" i="48"/>
  <c r="BE139" i="48" s="1"/>
  <c r="BQ139" i="48" s="1"/>
  <c r="BJ67" i="48"/>
  <c r="BK67" i="48" s="1"/>
  <c r="BD67" i="48"/>
  <c r="BE67" i="48" s="1"/>
  <c r="BJ144" i="48"/>
  <c r="BK144" i="48" s="1"/>
  <c r="BD144" i="48"/>
  <c r="BE144" i="48" s="1"/>
  <c r="BQ144" i="48" s="1"/>
  <c r="BD72" i="48"/>
  <c r="BE72" i="48" s="1"/>
  <c r="BJ72" i="48"/>
  <c r="BK72" i="48" s="1"/>
  <c r="BQ72" i="48" s="1"/>
  <c r="BD149" i="48"/>
  <c r="BE149" i="48" s="1"/>
  <c r="BJ149" i="48"/>
  <c r="BK149" i="48" s="1"/>
  <c r="BD77" i="48"/>
  <c r="BE77" i="48" s="1"/>
  <c r="BJ77" i="48"/>
  <c r="BK77" i="48" s="1"/>
  <c r="BQ77" i="48" s="1"/>
  <c r="BD160" i="48"/>
  <c r="BE160" i="48" s="1"/>
  <c r="BJ160" i="48"/>
  <c r="BK160" i="48" s="1"/>
  <c r="BD126" i="48"/>
  <c r="BE126" i="48" s="1"/>
  <c r="BJ126" i="48"/>
  <c r="BK126" i="48" s="1"/>
  <c r="BJ93" i="48"/>
  <c r="BK93" i="48" s="1"/>
  <c r="BD93" i="48"/>
  <c r="BE93" i="48" s="1"/>
  <c r="BQ93" i="48" s="1"/>
  <c r="BD24" i="48"/>
  <c r="BE24" i="48" s="1"/>
  <c r="BJ24" i="48"/>
  <c r="BK24" i="48" s="1"/>
  <c r="BQ24" i="48" s="1"/>
  <c r="BJ64" i="48"/>
  <c r="BK64" i="48" s="1"/>
  <c r="BD64" i="48"/>
  <c r="BE64" i="48" s="1"/>
  <c r="BD134" i="48"/>
  <c r="BE134" i="48" s="1"/>
  <c r="BJ134" i="48"/>
  <c r="BK134" i="48" s="1"/>
  <c r="BQ134" i="48" s="1"/>
  <c r="BJ133" i="48"/>
  <c r="BK133" i="48" s="1"/>
  <c r="BD133" i="48"/>
  <c r="BE133" i="48" s="1"/>
  <c r="BQ133" i="48" s="1"/>
  <c r="BJ138" i="48"/>
  <c r="BK138" i="48" s="1"/>
  <c r="BD138" i="48"/>
  <c r="BE138" i="48" s="1"/>
  <c r="BJ66" i="48"/>
  <c r="BK66" i="48" s="1"/>
  <c r="BD66" i="48"/>
  <c r="BE66" i="48" s="1"/>
  <c r="BQ66" i="48" s="1"/>
  <c r="BJ143" i="48"/>
  <c r="BK143" i="48" s="1"/>
  <c r="BD143" i="48"/>
  <c r="BE143" i="48" s="1"/>
  <c r="BQ143" i="48" s="1"/>
  <c r="BJ71" i="48"/>
  <c r="BK71" i="48" s="1"/>
  <c r="BD71" i="48"/>
  <c r="BE71" i="48" s="1"/>
  <c r="BJ159" i="48"/>
  <c r="BK159" i="48" s="1"/>
  <c r="BD159" i="48"/>
  <c r="BE159" i="48" s="1"/>
  <c r="BQ159" i="48" s="1"/>
  <c r="BJ51" i="48"/>
  <c r="BK51" i="48" s="1"/>
  <c r="BD51" i="48"/>
  <c r="BE51" i="48" s="1"/>
  <c r="BQ51" i="48" s="1"/>
  <c r="BD59" i="48"/>
  <c r="BE59" i="48" s="1"/>
  <c r="BJ59" i="48"/>
  <c r="BK59" i="48" s="1"/>
  <c r="BD116" i="48"/>
  <c r="BE116" i="48" s="1"/>
  <c r="BJ116" i="48"/>
  <c r="BK116" i="48" s="1"/>
  <c r="BQ116" i="48" s="1"/>
  <c r="BJ125" i="48"/>
  <c r="BK125" i="48" s="1"/>
  <c r="BD125" i="48"/>
  <c r="BE125" i="48" s="1"/>
  <c r="BQ125" i="48" s="1"/>
  <c r="BJ99" i="48"/>
  <c r="BK99" i="48" s="1"/>
  <c r="BD99" i="48"/>
  <c r="BE99" i="48" s="1"/>
  <c r="BJ94" i="48"/>
  <c r="BK94" i="48" s="1"/>
  <c r="BD94" i="48"/>
  <c r="BE94" i="48" s="1"/>
  <c r="BQ94" i="48" s="1"/>
  <c r="BJ21" i="48"/>
  <c r="BK21" i="48" s="1"/>
  <c r="BD21" i="48"/>
  <c r="BE21" i="48" s="1"/>
  <c r="BQ21" i="48" s="1"/>
  <c r="BJ19" i="48"/>
  <c r="BK19" i="48" s="1"/>
  <c r="BD19" i="48"/>
  <c r="BE19" i="48" s="1"/>
  <c r="BJ70" i="48"/>
  <c r="BK70" i="48" s="1"/>
  <c r="BD70" i="48"/>
  <c r="BE70" i="48" s="1"/>
  <c r="BQ70" i="48" s="1"/>
  <c r="BJ69" i="48"/>
  <c r="BK69" i="48" s="1"/>
  <c r="BD69" i="48"/>
  <c r="BE69" i="48" s="1"/>
  <c r="BQ69" i="48" s="1"/>
  <c r="BJ136" i="48"/>
  <c r="BK136" i="48" s="1"/>
  <c r="BD136" i="48"/>
  <c r="BE136" i="48" s="1"/>
  <c r="BJ135" i="48"/>
  <c r="BK135" i="48" s="1"/>
  <c r="BD135" i="48"/>
  <c r="BE135" i="48" s="1"/>
  <c r="BQ135" i="48" s="1"/>
  <c r="BJ63" i="48"/>
  <c r="BK63" i="48" s="1"/>
  <c r="BD63" i="48"/>
  <c r="BE63" i="48" s="1"/>
  <c r="BQ63" i="48" s="1"/>
  <c r="BJ62" i="48"/>
  <c r="BK62" i="48" s="1"/>
  <c r="BD62" i="48"/>
  <c r="BE62" i="48" s="1"/>
  <c r="BD61" i="48"/>
  <c r="BE61" i="48" s="1"/>
  <c r="BJ61" i="48"/>
  <c r="BK61" i="48" s="1"/>
  <c r="BQ61" i="48" s="1"/>
  <c r="BD130" i="48"/>
  <c r="BE130" i="48" s="1"/>
  <c r="BJ130" i="48"/>
  <c r="BK130" i="48" s="1"/>
  <c r="BQ130" i="48" s="1"/>
  <c r="BJ58" i="48"/>
  <c r="BK58" i="48" s="1"/>
  <c r="BD58" i="48"/>
  <c r="BE58" i="48" s="1"/>
  <c r="BD129" i="48"/>
  <c r="BE129" i="48" s="1"/>
  <c r="BJ129" i="48"/>
  <c r="BK129" i="48" s="1"/>
  <c r="BQ129" i="48" s="1"/>
  <c r="BJ57" i="48"/>
  <c r="BK57" i="48" s="1"/>
  <c r="BD57" i="48"/>
  <c r="BE57" i="48" s="1"/>
  <c r="BQ57" i="48" s="1"/>
  <c r="BD128" i="48"/>
  <c r="BE128" i="48" s="1"/>
  <c r="BJ128" i="48"/>
  <c r="BK128" i="48" s="1"/>
  <c r="BD56" i="48"/>
  <c r="BE56" i="48" s="1"/>
  <c r="BJ56" i="48"/>
  <c r="BK56" i="48" s="1"/>
  <c r="BQ56" i="48" s="1"/>
  <c r="BJ127" i="48"/>
  <c r="BK127" i="48" s="1"/>
  <c r="BD127" i="48"/>
  <c r="BE127" i="48" s="1"/>
  <c r="BQ127" i="48" s="1"/>
  <c r="BJ55" i="48"/>
  <c r="BK55" i="48" s="1"/>
  <c r="BD55" i="48"/>
  <c r="BE55" i="48" s="1"/>
  <c r="BJ132" i="48"/>
  <c r="BK132" i="48" s="1"/>
  <c r="BD132" i="48"/>
  <c r="BE132" i="48" s="1"/>
  <c r="BQ132" i="48" s="1"/>
  <c r="BD60" i="48"/>
  <c r="BE60" i="48" s="1"/>
  <c r="BJ60" i="48"/>
  <c r="BK60" i="48" s="1"/>
  <c r="BQ60" i="48" s="1"/>
  <c r="BD137" i="48"/>
  <c r="BE137" i="48" s="1"/>
  <c r="BJ137" i="48"/>
  <c r="BK137" i="48" s="1"/>
  <c r="BJ65" i="48"/>
  <c r="BK65" i="48" s="1"/>
  <c r="BD65" i="48"/>
  <c r="BE65" i="48" s="1"/>
  <c r="BQ65" i="48" s="1"/>
  <c r="BD158" i="48"/>
  <c r="BE158" i="48" s="1"/>
  <c r="BJ158" i="48"/>
  <c r="BK158" i="48" s="1"/>
  <c r="BQ158" i="48" s="1"/>
  <c r="BD11" i="48"/>
  <c r="BE11" i="48" s="1"/>
  <c r="BQ11" i="48" s="1"/>
  <c r="BQ55" i="48" l="1"/>
  <c r="BQ58" i="48"/>
  <c r="BQ136" i="48"/>
  <c r="BQ99" i="48"/>
  <c r="BQ71" i="48"/>
  <c r="BQ64" i="48"/>
  <c r="BR64" i="48" s="1"/>
  <c r="BQ149" i="48"/>
  <c r="BQ140" i="48"/>
  <c r="BQ155" i="48"/>
  <c r="BR155" i="48" s="1"/>
  <c r="BQ146" i="48"/>
  <c r="BR146" i="48" s="1"/>
  <c r="BQ82" i="48"/>
  <c r="BR82" i="48" s="1"/>
  <c r="BQ91" i="48"/>
  <c r="BQ49" i="48"/>
  <c r="BQ156" i="48"/>
  <c r="BQ14" i="48"/>
  <c r="BQ45" i="48"/>
  <c r="BQ107" i="48"/>
  <c r="BQ98" i="48"/>
  <c r="BR98" i="48" s="1"/>
  <c r="BQ36" i="48"/>
  <c r="BQ33" i="48"/>
  <c r="BR116" i="48" s="1"/>
  <c r="BQ124" i="48"/>
  <c r="BQ109" i="48"/>
  <c r="BR109" i="48" s="1"/>
  <c r="BQ112" i="48"/>
  <c r="BR112" i="48" s="1"/>
  <c r="BQ137" i="48"/>
  <c r="BQ128" i="48"/>
  <c r="BQ62" i="48"/>
  <c r="BQ19" i="48"/>
  <c r="BQ59" i="48"/>
  <c r="BQ138" i="48"/>
  <c r="BR138" i="48" s="1"/>
  <c r="BQ126" i="48"/>
  <c r="BQ67" i="48"/>
  <c r="BR67" i="48" s="1"/>
  <c r="BQ20" i="48"/>
  <c r="BR97" i="48" s="1"/>
  <c r="BQ73" i="48"/>
  <c r="BR73" i="48" s="1"/>
  <c r="BQ76" i="48"/>
  <c r="BR76" i="48" s="1"/>
  <c r="BQ15" i="48"/>
  <c r="BR158" i="48" s="1"/>
  <c r="BQ27" i="48"/>
  <c r="BQ89" i="48"/>
  <c r="BQ80" i="48"/>
  <c r="BQ95" i="48"/>
  <c r="BQ96" i="48"/>
  <c r="BQ117" i="48"/>
  <c r="BR117" i="48" s="1"/>
  <c r="BQ122" i="48"/>
  <c r="BQ103" i="48"/>
  <c r="BQ106" i="48"/>
  <c r="BR106" i="48" s="1"/>
  <c r="BQ42" i="48"/>
  <c r="BQ39" i="48"/>
  <c r="BR115" i="48" s="1"/>
  <c r="BQ46" i="48"/>
  <c r="BQ54" i="48"/>
  <c r="BQ160" i="48"/>
  <c r="BQ97" i="48"/>
  <c r="BQ120" i="48"/>
  <c r="BR120" i="48" s="1"/>
  <c r="BR42" i="48"/>
  <c r="BR17" i="48"/>
  <c r="BR136" i="48"/>
  <c r="BR110" i="48"/>
  <c r="BR66" i="48"/>
  <c r="BR148" i="48"/>
  <c r="BR139" i="48"/>
  <c r="BR37" i="48"/>
  <c r="BR105" i="48"/>
  <c r="BR103" i="48"/>
  <c r="BR14" i="48"/>
  <c r="BR144" i="48"/>
  <c r="BR94" i="48" l="1"/>
  <c r="BR29" i="48"/>
  <c r="BR45" i="48"/>
  <c r="BR57" i="48"/>
  <c r="BR100" i="48"/>
  <c r="BR12" i="48"/>
  <c r="BR93" i="48"/>
  <c r="BR90" i="48"/>
  <c r="BR35" i="48"/>
  <c r="BR55" i="48"/>
  <c r="BR113" i="48"/>
  <c r="BR74" i="48"/>
  <c r="BS74" i="48" s="1"/>
  <c r="BR89" i="48"/>
  <c r="BR15" i="48"/>
  <c r="BR23" i="48"/>
  <c r="BR128" i="48"/>
  <c r="BR107" i="48"/>
  <c r="BR18" i="48"/>
  <c r="BR121" i="48"/>
  <c r="BR127" i="48"/>
  <c r="BR142" i="48"/>
  <c r="BR140" i="48"/>
  <c r="BR51" i="48"/>
  <c r="BR65" i="48"/>
  <c r="BS65" i="48" s="1"/>
  <c r="BR135" i="48"/>
  <c r="BR108" i="48"/>
  <c r="BR129" i="48"/>
  <c r="BR87" i="48"/>
  <c r="BR99" i="48"/>
  <c r="BR58" i="48"/>
  <c r="BR151" i="48"/>
  <c r="BR54" i="48"/>
  <c r="BR62" i="48"/>
  <c r="BR154" i="48"/>
  <c r="BR47" i="48"/>
  <c r="BS47" i="48" s="1"/>
  <c r="BR33" i="48"/>
  <c r="BS33" i="48" s="1"/>
  <c r="BR30" i="48"/>
  <c r="BR137" i="48"/>
  <c r="BR61" i="48"/>
  <c r="BR152" i="48"/>
  <c r="BR118" i="48"/>
  <c r="BR72" i="48"/>
  <c r="BR21" i="48"/>
  <c r="BR159" i="48"/>
  <c r="BR46" i="48"/>
  <c r="BR60" i="48"/>
  <c r="BR20" i="48"/>
  <c r="BS20" i="48" s="1"/>
  <c r="BR153" i="48"/>
  <c r="BS153" i="48" s="1"/>
  <c r="BR63" i="48"/>
  <c r="BR123" i="48"/>
  <c r="BR36" i="48"/>
  <c r="BR130" i="48"/>
  <c r="BR13" i="48"/>
  <c r="BR92" i="48"/>
  <c r="BR85" i="48"/>
  <c r="BR75" i="48"/>
  <c r="BR134" i="48"/>
  <c r="BR119" i="48"/>
  <c r="BR125" i="48"/>
  <c r="BS125" i="48" s="1"/>
  <c r="BR41" i="48"/>
  <c r="BS41" i="48" s="1"/>
  <c r="BR111" i="48"/>
  <c r="BR77" i="48"/>
  <c r="BR68" i="48"/>
  <c r="BR59" i="48"/>
  <c r="BR150" i="48"/>
  <c r="BR80" i="48"/>
  <c r="BR124" i="48"/>
  <c r="BR44" i="48"/>
  <c r="BR79" i="48"/>
  <c r="BR83" i="48"/>
  <c r="BR156" i="48"/>
  <c r="BR28" i="48"/>
  <c r="BR78" i="48"/>
  <c r="BR11" i="48"/>
  <c r="BR145" i="48"/>
  <c r="BR32" i="48"/>
  <c r="BR122" i="48"/>
  <c r="BR104" i="48"/>
  <c r="BR84" i="48"/>
  <c r="BR149" i="48"/>
  <c r="BR160" i="48"/>
  <c r="BS160" i="48" s="1"/>
  <c r="BR19" i="48"/>
  <c r="BR25" i="48"/>
  <c r="BS25" i="48" s="1"/>
  <c r="BR53" i="48"/>
  <c r="BS14" i="48" s="1"/>
  <c r="BR91" i="48"/>
  <c r="BR52" i="48"/>
  <c r="BR88" i="48"/>
  <c r="BR24" i="48"/>
  <c r="BR31" i="48"/>
  <c r="BR132" i="48"/>
  <c r="BR38" i="48"/>
  <c r="BS38" i="48" s="1"/>
  <c r="BR101" i="48"/>
  <c r="BR27" i="48"/>
  <c r="BR143" i="48"/>
  <c r="BR26" i="48"/>
  <c r="BS26" i="48" s="1"/>
  <c r="BR16" i="48"/>
  <c r="BS45" i="48" s="1"/>
  <c r="BR133" i="48"/>
  <c r="BR34" i="48"/>
  <c r="BR56" i="48"/>
  <c r="BR102" i="48"/>
  <c r="BR141" i="48"/>
  <c r="BR48" i="48"/>
  <c r="BR43" i="48"/>
  <c r="BS43" i="48" s="1"/>
  <c r="BR49" i="48"/>
  <c r="BS49" i="48" s="1"/>
  <c r="BR81" i="48"/>
  <c r="BR114" i="48"/>
  <c r="BR86" i="48"/>
  <c r="BS86" i="48" s="1"/>
  <c r="BR131" i="48"/>
  <c r="BS131" i="48" s="1"/>
  <c r="BR39" i="48"/>
  <c r="BR126" i="48"/>
  <c r="BR96" i="48"/>
  <c r="BS96" i="48" s="1"/>
  <c r="BR71" i="48"/>
  <c r="BR147" i="48"/>
  <c r="BR70" i="48"/>
  <c r="BS70" i="48" s="1"/>
  <c r="BR22" i="48"/>
  <c r="BS22" i="48" s="1"/>
  <c r="BR40" i="48"/>
  <c r="BS40" i="48" s="1"/>
  <c r="BR69" i="48"/>
  <c r="BS69" i="48" s="1"/>
  <c r="BR95" i="48"/>
  <c r="BR50" i="48"/>
  <c r="BS50" i="48" s="1"/>
  <c r="BR157" i="48"/>
  <c r="BS136" i="48" s="1"/>
  <c r="BS120" i="48"/>
  <c r="BS109" i="48" l="1"/>
  <c r="BS29" i="48"/>
  <c r="BS56" i="48"/>
  <c r="BS52" i="48"/>
  <c r="BS32" i="48"/>
  <c r="BS46" i="48"/>
  <c r="BS104" i="48"/>
  <c r="BS18" i="48"/>
  <c r="BS142" i="48"/>
  <c r="BS151" i="48"/>
  <c r="BS23" i="48"/>
  <c r="BS143" i="48"/>
  <c r="BS66" i="48"/>
  <c r="BS63" i="48"/>
  <c r="BS72" i="48"/>
  <c r="BS53" i="48"/>
  <c r="BS130" i="48"/>
  <c r="BS113" i="48"/>
  <c r="BS59" i="48"/>
  <c r="BS133" i="48"/>
  <c r="BS61" i="48"/>
  <c r="BS39" i="48"/>
  <c r="BS147" i="48"/>
  <c r="BS13" i="48"/>
  <c r="BT69" i="48" s="1"/>
  <c r="BU69" i="48" s="1"/>
  <c r="BS94" i="48"/>
  <c r="BS156" i="48"/>
  <c r="BS100" i="48"/>
  <c r="BS28" i="48"/>
  <c r="BS81" i="48"/>
  <c r="BS88" i="48"/>
  <c r="BS91" i="48"/>
  <c r="BS114" i="48"/>
  <c r="BS119" i="48"/>
  <c r="BS83" i="48"/>
  <c r="BS152" i="48"/>
  <c r="BS110" i="48"/>
  <c r="BS82" i="48"/>
  <c r="BS129" i="48"/>
  <c r="BS150" i="48"/>
  <c r="BS121" i="48"/>
  <c r="BS89" i="48"/>
  <c r="BS105" i="48"/>
  <c r="BS102" i="48"/>
  <c r="BS118" i="48"/>
  <c r="BS99" i="48"/>
  <c r="BS111" i="48"/>
  <c r="BS157" i="48"/>
  <c r="BS51" i="48"/>
  <c r="BT18" i="48" s="1"/>
  <c r="BU18" i="48" s="1"/>
  <c r="N58" i="52" s="1"/>
  <c r="G58" i="52" s="1"/>
  <c r="BS127" i="48"/>
  <c r="BS139" i="48"/>
  <c r="BS155" i="48"/>
  <c r="BS97" i="48"/>
  <c r="BS87" i="48"/>
  <c r="BS146" i="48"/>
  <c r="BS154" i="48"/>
  <c r="BS55" i="48"/>
  <c r="BS140" i="48"/>
  <c r="BS85" i="48"/>
  <c r="BS77" i="48"/>
  <c r="BS128" i="48"/>
  <c r="BS90" i="48"/>
  <c r="BS93" i="48"/>
  <c r="BS21" i="48"/>
  <c r="BS122" i="48"/>
  <c r="BS107" i="48"/>
  <c r="BS12" i="48"/>
  <c r="BS71" i="48"/>
  <c r="BS68" i="48"/>
  <c r="BS79" i="48"/>
  <c r="BS36" i="48"/>
  <c r="BS19" i="48"/>
  <c r="BS78" i="48"/>
  <c r="BS31" i="48"/>
  <c r="BS117" i="48"/>
  <c r="BS95" i="48"/>
  <c r="BS57" i="48"/>
  <c r="BS126" i="48"/>
  <c r="BS27" i="48"/>
  <c r="BS124" i="48"/>
  <c r="BS137" i="48"/>
  <c r="BS144" i="48"/>
  <c r="BS116" i="48"/>
  <c r="BS58" i="48"/>
  <c r="BS37" i="48"/>
  <c r="BS115" i="48"/>
  <c r="BS76" i="48"/>
  <c r="BS34" i="48"/>
  <c r="BS135" i="48"/>
  <c r="BS101" i="48"/>
  <c r="BS132" i="48"/>
  <c r="BS84" i="48"/>
  <c r="BS48" i="48"/>
  <c r="BS103" i="48"/>
  <c r="BS92" i="48"/>
  <c r="BS145" i="48"/>
  <c r="BS64" i="48"/>
  <c r="BS148" i="48"/>
  <c r="BS42" i="48"/>
  <c r="BS11" i="48"/>
  <c r="BS108" i="48"/>
  <c r="BS138" i="48"/>
  <c r="BS73" i="48"/>
  <c r="BS60" i="48"/>
  <c r="BS75" i="48"/>
  <c r="BS141" i="48"/>
  <c r="BS158" i="48"/>
  <c r="BS98" i="48"/>
  <c r="BS149" i="48"/>
  <c r="BS16" i="48"/>
  <c r="BS30" i="48"/>
  <c r="BS17" i="48"/>
  <c r="BS106" i="48"/>
  <c r="BS54" i="48"/>
  <c r="BS112" i="48"/>
  <c r="BS159" i="48"/>
  <c r="BS62" i="48"/>
  <c r="BS67" i="48"/>
  <c r="BS35" i="48"/>
  <c r="BS44" i="48"/>
  <c r="BS123" i="48"/>
  <c r="BS80" i="48"/>
  <c r="BS24" i="48"/>
  <c r="BS134" i="48"/>
  <c r="BS15" i="48"/>
  <c r="BT57" i="48"/>
  <c r="BU57" i="48" s="1"/>
  <c r="BT26" i="48"/>
  <c r="BU26" i="48" s="1"/>
  <c r="BT13" i="48"/>
  <c r="BU13" i="48" s="1"/>
  <c r="N53" i="52" s="1"/>
  <c r="V53" i="52" s="1"/>
  <c r="BT66" i="48"/>
  <c r="BU66" i="48" s="1"/>
  <c r="BT145" i="48"/>
  <c r="BU145" i="48" s="1"/>
  <c r="BT142" i="48"/>
  <c r="BU142" i="48" s="1"/>
  <c r="BT53" i="48"/>
  <c r="BU53" i="48" s="1"/>
  <c r="BT50" i="48"/>
  <c r="BU50" i="48" s="1"/>
  <c r="BT17" i="48"/>
  <c r="BU17" i="48" s="1"/>
  <c r="N57" i="52" s="1"/>
  <c r="O57" i="52" s="1"/>
  <c r="BT27" i="48"/>
  <c r="BU27" i="48" s="1"/>
  <c r="BT144" i="48"/>
  <c r="BU144" i="48" s="1"/>
  <c r="BT51" i="48" l="1"/>
  <c r="BU51" i="48" s="1"/>
  <c r="BT11" i="48"/>
  <c r="BU11" i="48" s="1"/>
  <c r="N51" i="52" s="1"/>
  <c r="Q51" i="52" s="1"/>
  <c r="BT71" i="48"/>
  <c r="BU71" i="48" s="1"/>
  <c r="BT147" i="48"/>
  <c r="BU147" i="48" s="1"/>
  <c r="BT99" i="48"/>
  <c r="BU99" i="48" s="1"/>
  <c r="BT152" i="48"/>
  <c r="BU152" i="48" s="1"/>
  <c r="BT47" i="48"/>
  <c r="BU47" i="48" s="1"/>
  <c r="BT106" i="48"/>
  <c r="BU106" i="48" s="1"/>
  <c r="BT42" i="48"/>
  <c r="BU42" i="48" s="1"/>
  <c r="BT138" i="48"/>
  <c r="BU138" i="48" s="1"/>
  <c r="BT112" i="48"/>
  <c r="BU112" i="48" s="1"/>
  <c r="BT103" i="48"/>
  <c r="BU103" i="48" s="1"/>
  <c r="BT68" i="48"/>
  <c r="BU68" i="48" s="1"/>
  <c r="BT33" i="48"/>
  <c r="BU33" i="48" s="1"/>
  <c r="BT123" i="48"/>
  <c r="BU123" i="48" s="1"/>
  <c r="BT133" i="48"/>
  <c r="BU133" i="48" s="1"/>
  <c r="BT124" i="48"/>
  <c r="BU124" i="48" s="1"/>
  <c r="BT45" i="48"/>
  <c r="BU45" i="48" s="1"/>
  <c r="BT21" i="48"/>
  <c r="BU21" i="48" s="1"/>
  <c r="BT35" i="48"/>
  <c r="BU35" i="48" s="1"/>
  <c r="BT140" i="48"/>
  <c r="BU140" i="48" s="1"/>
  <c r="BT101" i="48"/>
  <c r="BU101" i="48" s="1"/>
  <c r="BT88" i="48"/>
  <c r="BU88" i="48" s="1"/>
  <c r="BT79" i="48"/>
  <c r="BU79" i="48" s="1"/>
  <c r="BT44" i="48"/>
  <c r="BU44" i="48" s="1"/>
  <c r="BT157" i="48"/>
  <c r="BU157" i="48" s="1"/>
  <c r="BT154" i="48"/>
  <c r="BU154" i="48" s="1"/>
  <c r="BT150" i="48"/>
  <c r="BU150" i="48" s="1"/>
  <c r="BT115" i="48"/>
  <c r="BU115" i="48" s="1"/>
  <c r="BT80" i="48"/>
  <c r="BU80" i="48" s="1"/>
  <c r="BT159" i="48"/>
  <c r="BU159" i="48" s="1"/>
  <c r="BT156" i="48"/>
  <c r="BU156" i="48" s="1"/>
  <c r="BT23" i="48"/>
  <c r="BU23" i="48" s="1"/>
  <c r="BT149" i="48"/>
  <c r="BU149" i="48" s="1"/>
  <c r="BT48" i="48"/>
  <c r="BU48" i="48" s="1"/>
  <c r="BT114" i="48"/>
  <c r="BU114" i="48" s="1"/>
  <c r="BT22" i="48"/>
  <c r="BU22" i="48" s="1"/>
  <c r="BT153" i="48"/>
  <c r="BU153" i="48" s="1"/>
  <c r="BT158" i="48"/>
  <c r="BU158" i="48" s="1"/>
  <c r="BT92" i="48"/>
  <c r="BU92" i="48" s="1"/>
  <c r="BT54" i="48"/>
  <c r="BU54" i="48" s="1"/>
  <c r="BT97" i="48"/>
  <c r="BU97" i="48" s="1"/>
  <c r="BT96" i="48"/>
  <c r="BU96" i="48" s="1"/>
  <c r="BT24" i="48"/>
  <c r="BU24" i="48" s="1"/>
  <c r="BT118" i="48"/>
  <c r="BU118" i="48" s="1"/>
  <c r="BT85" i="48"/>
  <c r="BU85" i="48" s="1"/>
  <c r="BT137" i="48"/>
  <c r="BU137" i="48" s="1"/>
  <c r="BT76" i="48"/>
  <c r="BU76" i="48" s="1"/>
  <c r="BT32" i="48"/>
  <c r="BU32" i="48" s="1"/>
  <c r="BT108" i="48"/>
  <c r="BU108" i="48" s="1"/>
  <c r="BT78" i="48"/>
  <c r="BU78" i="48" s="1"/>
  <c r="BT72" i="48"/>
  <c r="BU72" i="48" s="1"/>
  <c r="BT113" i="48"/>
  <c r="BU113" i="48" s="1"/>
  <c r="BT64" i="48"/>
  <c r="BU64" i="48" s="1"/>
  <c r="BT20" i="48"/>
  <c r="BU20" i="48" s="1"/>
  <c r="N60" i="52" s="1"/>
  <c r="P60" i="52" s="1"/>
  <c r="BT134" i="48"/>
  <c r="BU134" i="48" s="1"/>
  <c r="BT102" i="48"/>
  <c r="BU102" i="48" s="1"/>
  <c r="BT39" i="48"/>
  <c r="BU39" i="48" s="1"/>
  <c r="BT146" i="48"/>
  <c r="BU146" i="48" s="1"/>
  <c r="BT14" i="48"/>
  <c r="BU14" i="48" s="1"/>
  <c r="N54" i="52" s="1"/>
  <c r="AB54" i="52" s="1"/>
  <c r="BT25" i="48"/>
  <c r="BU25" i="48" s="1"/>
  <c r="BT107" i="48"/>
  <c r="BU107" i="48" s="1"/>
  <c r="BT58" i="48"/>
  <c r="BU58" i="48" s="1"/>
  <c r="BT52" i="48"/>
  <c r="BU52" i="48" s="1"/>
  <c r="BT43" i="48"/>
  <c r="BU43" i="48" s="1"/>
  <c r="BT117" i="48"/>
  <c r="BU117" i="48" s="1"/>
  <c r="BT160" i="48"/>
  <c r="BU160" i="48" s="1"/>
  <c r="BT119" i="48"/>
  <c r="BU119" i="48" s="1"/>
  <c r="BT139" i="48"/>
  <c r="BU139" i="48" s="1"/>
  <c r="BT126" i="48"/>
  <c r="BU126" i="48" s="1"/>
  <c r="BT90" i="48"/>
  <c r="BU90" i="48" s="1"/>
  <c r="BT87" i="48"/>
  <c r="BU87" i="48" s="1"/>
  <c r="BT75" i="48"/>
  <c r="BU75" i="48" s="1"/>
  <c r="BT70" i="48"/>
  <c r="BU70" i="48" s="1"/>
  <c r="BT67" i="48"/>
  <c r="BU67" i="48" s="1"/>
  <c r="BT84" i="48"/>
  <c r="BU84" i="48" s="1"/>
  <c r="BT65" i="48"/>
  <c r="BU65" i="48" s="1"/>
  <c r="BT59" i="48"/>
  <c r="BU59" i="48" s="1"/>
  <c r="BT61" i="48"/>
  <c r="BU61" i="48" s="1"/>
  <c r="BT55" i="48"/>
  <c r="BU55" i="48" s="1"/>
  <c r="BT143" i="48"/>
  <c r="BU143" i="48" s="1"/>
  <c r="BT122" i="48"/>
  <c r="BU122" i="48" s="1"/>
  <c r="BT141" i="48"/>
  <c r="BU141" i="48" s="1"/>
  <c r="BT36" i="48"/>
  <c r="BU36" i="48" s="1"/>
  <c r="BT155" i="48"/>
  <c r="BU155" i="48" s="1"/>
  <c r="BT128" i="48"/>
  <c r="BU128" i="48" s="1"/>
  <c r="BT120" i="48"/>
  <c r="BU120" i="48" s="1"/>
  <c r="BT148" i="48"/>
  <c r="BU148" i="48" s="1"/>
  <c r="BT98" i="48"/>
  <c r="BU98" i="48" s="1"/>
  <c r="BT49" i="48"/>
  <c r="BU49" i="48" s="1"/>
  <c r="BT40" i="48"/>
  <c r="BU40" i="48" s="1"/>
  <c r="BT31" i="48"/>
  <c r="BU31" i="48" s="1"/>
  <c r="BT105" i="48"/>
  <c r="BU105" i="48" s="1"/>
  <c r="BT127" i="48"/>
  <c r="BU127" i="48" s="1"/>
  <c r="BT91" i="48"/>
  <c r="BU91" i="48" s="1"/>
  <c r="BT135" i="48"/>
  <c r="BU135" i="48" s="1"/>
  <c r="BT15" i="48"/>
  <c r="BU15" i="48" s="1"/>
  <c r="N55" i="52" s="1"/>
  <c r="O55" i="52" s="1"/>
  <c r="BT83" i="48"/>
  <c r="BU83" i="48" s="1"/>
  <c r="BT136" i="48"/>
  <c r="BU136" i="48" s="1"/>
  <c r="BT46" i="48"/>
  <c r="BU46" i="48" s="1"/>
  <c r="BT28" i="48"/>
  <c r="BU28" i="48" s="1"/>
  <c r="BT19" i="48"/>
  <c r="BU19" i="48" s="1"/>
  <c r="N59" i="52" s="1"/>
  <c r="Q59" i="52" s="1"/>
  <c r="BT93" i="48"/>
  <c r="BU93" i="48" s="1"/>
  <c r="BT132" i="48"/>
  <c r="BU132" i="48" s="1"/>
  <c r="BT100" i="48"/>
  <c r="BU100" i="48" s="1"/>
  <c r="BT129" i="48"/>
  <c r="BU129" i="48" s="1"/>
  <c r="BT86" i="48"/>
  <c r="BU86" i="48" s="1"/>
  <c r="BT131" i="48"/>
  <c r="BU131" i="48" s="1"/>
  <c r="BT111" i="48"/>
  <c r="BU111" i="48" s="1"/>
  <c r="BT77" i="48"/>
  <c r="BU77" i="48" s="1"/>
  <c r="BT74" i="48"/>
  <c r="BU74" i="48" s="1"/>
  <c r="BT109" i="48"/>
  <c r="BU109" i="48" s="1"/>
  <c r="BT82" i="48"/>
  <c r="BU82" i="48" s="1"/>
  <c r="BT16" i="48"/>
  <c r="BU16" i="48" s="1"/>
  <c r="N56" i="52" s="1"/>
  <c r="T56" i="52" s="1"/>
  <c r="BT116" i="48"/>
  <c r="BU116" i="48" s="1"/>
  <c r="BT81" i="48"/>
  <c r="BU81" i="48" s="1"/>
  <c r="BT89" i="48"/>
  <c r="BU89" i="48" s="1"/>
  <c r="BT41" i="48"/>
  <c r="BU41" i="48" s="1"/>
  <c r="BT56" i="48"/>
  <c r="BU56" i="48" s="1"/>
  <c r="BT130" i="48"/>
  <c r="BU130" i="48" s="1"/>
  <c r="BT38" i="48"/>
  <c r="BU38" i="48" s="1"/>
  <c r="BT95" i="48"/>
  <c r="BU95" i="48" s="1"/>
  <c r="BT121" i="48"/>
  <c r="BU121" i="48" s="1"/>
  <c r="BT94" i="48"/>
  <c r="BU94" i="48" s="1"/>
  <c r="BT29" i="48"/>
  <c r="BU29" i="48" s="1"/>
  <c r="BT125" i="48"/>
  <c r="BU125" i="48" s="1"/>
  <c r="BT37" i="48"/>
  <c r="BU37" i="48" s="1"/>
  <c r="BT60" i="48"/>
  <c r="BU60" i="48" s="1"/>
  <c r="BT62" i="48"/>
  <c r="BU62" i="48" s="1"/>
  <c r="BT63" i="48"/>
  <c r="BU63" i="48" s="1"/>
  <c r="BT151" i="48"/>
  <c r="BU151" i="48" s="1"/>
  <c r="BT12" i="48"/>
  <c r="BU12" i="48" s="1"/>
  <c r="N52" i="52" s="1"/>
  <c r="K52" i="52" s="1"/>
  <c r="BT110" i="48"/>
  <c r="BU110" i="48" s="1"/>
  <c r="BT73" i="48"/>
  <c r="BU73" i="48" s="1"/>
  <c r="BT34" i="48"/>
  <c r="BU34" i="48" s="1"/>
  <c r="BT30" i="48"/>
  <c r="BU30" i="48" s="1"/>
  <c r="BT104" i="48"/>
  <c r="BU104" i="48" s="1"/>
  <c r="X56" i="52"/>
  <c r="I56" i="52"/>
  <c r="N57" i="59"/>
  <c r="CY57" i="59" s="1"/>
  <c r="W54" i="52"/>
  <c r="AA54" i="52"/>
  <c r="P52" i="52"/>
  <c r="I59" i="52"/>
  <c r="U59" i="52"/>
  <c r="Z54" i="52"/>
  <c r="U54" i="52"/>
  <c r="X54" i="52"/>
  <c r="K54" i="52"/>
  <c r="V59" i="52"/>
  <c r="P54" i="52"/>
  <c r="AB59" i="52"/>
  <c r="O54" i="52"/>
  <c r="G54" i="52"/>
  <c r="AA55" i="52"/>
  <c r="R54" i="52"/>
  <c r="S59" i="52"/>
  <c r="J54" i="52"/>
  <c r="T54" i="52"/>
  <c r="V56" i="52"/>
  <c r="S56" i="52"/>
  <c r="N56" i="59"/>
  <c r="CY56" i="59" s="1"/>
  <c r="O56" i="52"/>
  <c r="R56" i="52"/>
  <c r="J56" i="52"/>
  <c r="P56" i="52"/>
  <c r="AB56" i="52"/>
  <c r="L56" i="52"/>
  <c r="AA56" i="52"/>
  <c r="Z59" i="52"/>
  <c r="G56" i="52"/>
  <c r="R59" i="52"/>
  <c r="O59" i="52"/>
  <c r="AA59" i="52"/>
  <c r="T52" i="52"/>
  <c r="G52" i="52"/>
  <c r="J52" i="52"/>
  <c r="X52" i="52"/>
  <c r="I52" i="52"/>
  <c r="Z52" i="52"/>
  <c r="O60" i="52"/>
  <c r="Z60" i="52"/>
  <c r="K55" i="52"/>
  <c r="R55" i="52"/>
  <c r="AB55" i="52"/>
  <c r="N52" i="59"/>
  <c r="CY52" i="59" s="1"/>
  <c r="R58" i="52"/>
  <c r="R52" i="52"/>
  <c r="Q54" i="52"/>
  <c r="L54" i="52"/>
  <c r="W59" i="52"/>
  <c r="X59" i="52"/>
  <c r="U52" i="52"/>
  <c r="L53" i="52"/>
  <c r="N60" i="59"/>
  <c r="CY60" i="59" s="1"/>
  <c r="T57" i="52"/>
  <c r="AA51" i="52"/>
  <c r="R60" i="52"/>
  <c r="G60" i="52"/>
  <c r="L60" i="52"/>
  <c r="H54" i="52"/>
  <c r="Q60" i="52"/>
  <c r="T60" i="52"/>
  <c r="H56" i="52"/>
  <c r="K60" i="52"/>
  <c r="V60" i="52"/>
  <c r="I60" i="52"/>
  <c r="R57" i="52"/>
  <c r="S57" i="52"/>
  <c r="T51" i="52"/>
  <c r="I57" i="52"/>
  <c r="H53" i="52"/>
  <c r="J55" i="52"/>
  <c r="K57" i="52"/>
  <c r="O51" i="52"/>
  <c r="X53" i="52"/>
  <c r="P55" i="52"/>
  <c r="Q57" i="52"/>
  <c r="P57" i="52"/>
  <c r="G57" i="52"/>
  <c r="V51" i="52"/>
  <c r="I51" i="52"/>
  <c r="O53" i="52"/>
  <c r="W55" i="52"/>
  <c r="U57" i="52"/>
  <c r="V57" i="52"/>
  <c r="AB57" i="52"/>
  <c r="L59" i="52"/>
  <c r="G59" i="52"/>
  <c r="O52" i="52"/>
  <c r="X51" i="52"/>
  <c r="L51" i="52"/>
  <c r="W53" i="52"/>
  <c r="V55" i="52"/>
  <c r="X57" i="52"/>
  <c r="J57" i="52"/>
  <c r="AA57" i="52"/>
  <c r="J59" i="52"/>
  <c r="W52" i="52"/>
  <c r="H52" i="52"/>
  <c r="R51" i="52"/>
  <c r="U51" i="52"/>
  <c r="G53" i="52"/>
  <c r="I55" i="52"/>
  <c r="L57" i="52"/>
  <c r="Z57" i="52"/>
  <c r="Z51" i="52"/>
  <c r="W57" i="52"/>
  <c r="N51" i="59"/>
  <c r="CY51" i="59" s="1"/>
  <c r="Z53" i="52"/>
  <c r="H57" i="52"/>
  <c r="Q56" i="52"/>
  <c r="K56" i="52"/>
  <c r="Z58" i="52"/>
  <c r="AA58" i="52"/>
  <c r="U56" i="52"/>
  <c r="Z56" i="52"/>
  <c r="W56" i="52"/>
  <c r="S51" i="52"/>
  <c r="K51" i="52"/>
  <c r="Q53" i="52"/>
  <c r="I53" i="52"/>
  <c r="T53" i="52"/>
  <c r="N53" i="59"/>
  <c r="CY53" i="59" s="1"/>
  <c r="T55" i="52"/>
  <c r="X55" i="52"/>
  <c r="J53" i="52"/>
  <c r="AA53" i="52"/>
  <c r="K53" i="52"/>
  <c r="H51" i="52"/>
  <c r="P51" i="52"/>
  <c r="S60" i="52"/>
  <c r="Z55" i="52"/>
  <c r="I54" i="52"/>
  <c r="S54" i="52"/>
  <c r="T59" i="52"/>
  <c r="P59" i="52"/>
  <c r="K59" i="52"/>
  <c r="Q52" i="52"/>
  <c r="AB52" i="52"/>
  <c r="AB51" i="52"/>
  <c r="J51" i="52"/>
  <c r="X60" i="52"/>
  <c r="AB60" i="52"/>
  <c r="W60" i="52"/>
  <c r="S53" i="52"/>
  <c r="R53" i="52"/>
  <c r="Q55" i="52"/>
  <c r="U55" i="52"/>
  <c r="H55" i="52"/>
  <c r="H60" i="52"/>
  <c r="G51" i="52"/>
  <c r="U60" i="52"/>
  <c r="U53" i="52"/>
  <c r="P53" i="52"/>
  <c r="L55" i="52"/>
  <c r="G55" i="52"/>
  <c r="V54" i="52"/>
  <c r="N54" i="59"/>
  <c r="CY54" i="59" s="1"/>
  <c r="W58" i="52"/>
  <c r="N59" i="59"/>
  <c r="CY59" i="59" s="1"/>
  <c r="L52" i="52"/>
  <c r="S52" i="52"/>
  <c r="AA52" i="52"/>
  <c r="W51" i="52"/>
  <c r="AA60" i="52"/>
  <c r="J60" i="52"/>
  <c r="AB53" i="52"/>
  <c r="S55" i="52"/>
  <c r="N55" i="59"/>
  <c r="CY55" i="59" s="1"/>
  <c r="J58" i="52"/>
  <c r="I58" i="52"/>
  <c r="X58" i="52"/>
  <c r="P58" i="52"/>
  <c r="Q58" i="52"/>
  <c r="O58" i="52"/>
  <c r="U58" i="52"/>
  <c r="S58" i="52"/>
  <c r="K58" i="52"/>
  <c r="H59" i="52"/>
  <c r="N58" i="59"/>
  <c r="CY58" i="59" s="1"/>
  <c r="H58" i="52"/>
  <c r="T58" i="52"/>
  <c r="V58" i="52"/>
  <c r="AB58" i="52"/>
  <c r="L58" i="52"/>
  <c r="BA57" i="59"/>
  <c r="CA57" i="59"/>
  <c r="BQ57" i="59"/>
  <c r="BX57" i="59"/>
  <c r="AZ57" i="59"/>
  <c r="BZ57" i="59"/>
  <c r="BP57" i="59"/>
  <c r="AX57" i="59"/>
  <c r="BN57" i="59"/>
  <c r="AY57" i="59"/>
  <c r="BY57" i="59"/>
  <c r="BO57" i="59"/>
  <c r="CF57" i="59"/>
  <c r="BF57" i="59"/>
  <c r="BW57" i="59"/>
  <c r="CB57" i="59"/>
  <c r="BH57" i="59"/>
  <c r="BD57" i="59"/>
  <c r="BT57" i="59"/>
  <c r="BC57" i="59"/>
  <c r="CC57" i="59"/>
  <c r="BS57" i="59"/>
  <c r="BB57" i="59"/>
  <c r="BR57" i="59"/>
  <c r="T57" i="59"/>
  <c r="V52" i="52" l="1"/>
  <c r="BD51" i="59"/>
  <c r="AX51" i="59"/>
  <c r="AY51" i="59"/>
  <c r="BS56" i="59"/>
  <c r="BZ56" i="59"/>
  <c r="AX56" i="59"/>
  <c r="BO56" i="59"/>
  <c r="CB56" i="59"/>
  <c r="BD56" i="59"/>
  <c r="CC56" i="59"/>
  <c r="CF56" i="59"/>
  <c r="CJ56" i="59" s="1"/>
  <c r="BY56" i="59"/>
  <c r="BO52" i="59"/>
  <c r="BF56" i="59"/>
  <c r="BA56" i="59"/>
  <c r="BC56" i="59"/>
  <c r="AY56" i="59"/>
  <c r="BN52" i="59"/>
  <c r="CA56" i="59"/>
  <c r="BW56" i="59"/>
  <c r="BW52" i="59"/>
  <c r="BQ56" i="59"/>
  <c r="BH56" i="59"/>
  <c r="T56" i="59"/>
  <c r="Y56" i="59" s="1"/>
  <c r="BB56" i="59"/>
  <c r="BX56" i="59"/>
  <c r="BT56" i="59"/>
  <c r="BP56" i="59"/>
  <c r="BN56" i="59"/>
  <c r="BR56" i="59"/>
  <c r="AZ56" i="59"/>
  <c r="BQ52" i="59"/>
  <c r="BA52" i="59"/>
  <c r="BC52" i="59"/>
  <c r="CF52" i="59"/>
  <c r="CJ52" i="59" s="1"/>
  <c r="BY52" i="59"/>
  <c r="BD52" i="59"/>
  <c r="BZ52" i="59"/>
  <c r="CB52" i="59"/>
  <c r="BS52" i="59"/>
  <c r="AY52" i="59"/>
  <c r="BH52" i="59"/>
  <c r="BT51" i="59"/>
  <c r="BN51" i="59"/>
  <c r="BW51" i="59"/>
  <c r="BX51" i="59"/>
  <c r="BC51" i="59"/>
  <c r="BZ51" i="59"/>
  <c r="BR54" i="59"/>
  <c r="CC53" i="59"/>
  <c r="CA52" i="59"/>
  <c r="BT52" i="59"/>
  <c r="BB60" i="59"/>
  <c r="BR52" i="59"/>
  <c r="AX52" i="59"/>
  <c r="BS60" i="59"/>
  <c r="BW54" i="59"/>
  <c r="BT60" i="59"/>
  <c r="BW58" i="59"/>
  <c r="BD55" i="59"/>
  <c r="BN54" i="59"/>
  <c r="CC60" i="59"/>
  <c r="T52" i="59"/>
  <c r="Y52" i="59" s="1"/>
  <c r="BD54" i="59"/>
  <c r="BS54" i="59"/>
  <c r="CC52" i="59"/>
  <c r="AZ52" i="59"/>
  <c r="CA60" i="59"/>
  <c r="BF60" i="59"/>
  <c r="BY60" i="59"/>
  <c r="AZ54" i="59"/>
  <c r="BQ60" i="59"/>
  <c r="AX60" i="59"/>
  <c r="BP52" i="59"/>
  <c r="BO54" i="59"/>
  <c r="CC54" i="59"/>
  <c r="BB52" i="59"/>
  <c r="BF52" i="59"/>
  <c r="BX52" i="59"/>
  <c r="BC60" i="59"/>
  <c r="AY60" i="59"/>
  <c r="BA60" i="59"/>
  <c r="T54" i="59"/>
  <c r="AK54" i="59" s="1"/>
  <c r="BY54" i="59"/>
  <c r="BA54" i="59"/>
  <c r="BR60" i="59"/>
  <c r="BH60" i="59"/>
  <c r="CF60" i="59"/>
  <c r="CJ60" i="59" s="1"/>
  <c r="AX54" i="59"/>
  <c r="CB60" i="59"/>
  <c r="BN60" i="59"/>
  <c r="BD60" i="59"/>
  <c r="BX60" i="59"/>
  <c r="T60" i="59"/>
  <c r="Y60" i="59" s="1"/>
  <c r="CA54" i="59"/>
  <c r="BT54" i="59"/>
  <c r="BP60" i="59"/>
  <c r="AZ60" i="59"/>
  <c r="BB51" i="59"/>
  <c r="CA51" i="59"/>
  <c r="AZ51" i="59"/>
  <c r="BX54" i="59"/>
  <c r="BZ54" i="59"/>
  <c r="BY51" i="59"/>
  <c r="BF51" i="59"/>
  <c r="CF51" i="59"/>
  <c r="CJ51" i="59" s="1"/>
  <c r="AZ53" i="59"/>
  <c r="BZ60" i="59"/>
  <c r="BW60" i="59"/>
  <c r="BO60" i="59"/>
  <c r="BO51" i="59"/>
  <c r="BH51" i="59"/>
  <c r="CB51" i="59"/>
  <c r="BF58" i="59"/>
  <c r="BP51" i="59"/>
  <c r="CC51" i="59"/>
  <c r="BS51" i="59"/>
  <c r="CB58" i="59"/>
  <c r="T51" i="59"/>
  <c r="AK51" i="59" s="1"/>
  <c r="CF54" i="59"/>
  <c r="CJ54" i="59" s="1"/>
  <c r="AY54" i="59"/>
  <c r="BH54" i="59"/>
  <c r="BQ51" i="59"/>
  <c r="BR51" i="59"/>
  <c r="BA51" i="59"/>
  <c r="BD53" i="59"/>
  <c r="BF53" i="59"/>
  <c r="BZ53" i="59"/>
  <c r="BB53" i="59"/>
  <c r="AY53" i="59"/>
  <c r="BQ53" i="59"/>
  <c r="BO53" i="59"/>
  <c r="CF53" i="59"/>
  <c r="CJ53" i="59" s="1"/>
  <c r="BX53" i="59"/>
  <c r="BA53" i="59"/>
  <c r="BC53" i="59"/>
  <c r="CB53" i="59"/>
  <c r="BN53" i="59"/>
  <c r="AX53" i="59"/>
  <c r="BS53" i="59"/>
  <c r="BY53" i="59"/>
  <c r="AX55" i="59"/>
  <c r="T53" i="59"/>
  <c r="Y53" i="59" s="1"/>
  <c r="BR53" i="59"/>
  <c r="BW53" i="59"/>
  <c r="BH53" i="59"/>
  <c r="T55" i="59"/>
  <c r="AK55" i="59" s="1"/>
  <c r="BA55" i="59"/>
  <c r="BT53" i="59"/>
  <c r="BP53" i="59"/>
  <c r="CA53" i="59"/>
  <c r="BN55" i="59"/>
  <c r="BB55" i="59"/>
  <c r="CB59" i="59"/>
  <c r="CC55" i="59"/>
  <c r="AY55" i="59"/>
  <c r="AY58" i="59"/>
  <c r="AX59" i="59"/>
  <c r="BN59" i="59"/>
  <c r="BA59" i="59"/>
  <c r="BZ58" i="59"/>
  <c r="BZ55" i="59"/>
  <c r="BC54" i="59"/>
  <c r="BF54" i="59"/>
  <c r="CB54" i="59"/>
  <c r="BX59" i="59"/>
  <c r="BB58" i="59"/>
  <c r="BR58" i="59"/>
  <c r="BZ59" i="59"/>
  <c r="CF55" i="59"/>
  <c r="CJ55" i="59" s="1"/>
  <c r="BB54" i="59"/>
  <c r="BQ54" i="59"/>
  <c r="BP54" i="59"/>
  <c r="BD59" i="59"/>
  <c r="BX58" i="59"/>
  <c r="BS58" i="59"/>
  <c r="T58" i="59"/>
  <c r="Y58" i="59" s="1"/>
  <c r="BQ59" i="59"/>
  <c r="BO58" i="59"/>
  <c r="BA58" i="59"/>
  <c r="AY59" i="59"/>
  <c r="BY58" i="59"/>
  <c r="BX55" i="59"/>
  <c r="CA59" i="59"/>
  <c r="BC58" i="59"/>
  <c r="AZ58" i="59"/>
  <c r="BY55" i="59"/>
  <c r="BQ55" i="59"/>
  <c r="AZ55" i="59"/>
  <c r="BY59" i="59"/>
  <c r="BF59" i="59"/>
  <c r="BT59" i="59"/>
  <c r="BT58" i="59"/>
  <c r="BQ58" i="59"/>
  <c r="BP58" i="59"/>
  <c r="BO55" i="59"/>
  <c r="BT55" i="59"/>
  <c r="BO59" i="59"/>
  <c r="BH59" i="59"/>
  <c r="BH58" i="59"/>
  <c r="T59" i="59"/>
  <c r="Y59" i="59" s="1"/>
  <c r="BC55" i="59"/>
  <c r="CA55" i="59"/>
  <c r="BR55" i="59"/>
  <c r="BC59" i="59"/>
  <c r="BR59" i="59"/>
  <c r="AZ59" i="59"/>
  <c r="BN58" i="59"/>
  <c r="CA58" i="59"/>
  <c r="AX58" i="59"/>
  <c r="BF55" i="59"/>
  <c r="BS59" i="59"/>
  <c r="BH55" i="59"/>
  <c r="CB55" i="59"/>
  <c r="BB59" i="59"/>
  <c r="CF59" i="59"/>
  <c r="CJ59" i="59" s="1"/>
  <c r="BP55" i="59"/>
  <c r="BS55" i="59"/>
  <c r="BW55" i="59"/>
  <c r="BP59" i="59"/>
  <c r="CC59" i="59"/>
  <c r="BW59" i="59"/>
  <c r="BD58" i="59"/>
  <c r="CF58" i="59"/>
  <c r="CJ58" i="59" s="1"/>
  <c r="CC58" i="59"/>
  <c r="CJ57" i="59"/>
  <c r="BU57" i="59"/>
  <c r="AE57" i="59"/>
  <c r="Y57" i="59"/>
  <c r="AK57" i="59"/>
  <c r="CD57" i="59"/>
  <c r="AK56" i="59" l="1"/>
  <c r="AE56" i="59"/>
  <c r="AF56" i="59" s="1"/>
  <c r="CD56" i="59"/>
  <c r="BU56" i="59"/>
  <c r="CL56" i="59" s="1"/>
  <c r="AE52" i="59"/>
  <c r="AD52" i="59" s="1"/>
  <c r="Y54" i="59"/>
  <c r="X54" i="59" s="1"/>
  <c r="AK53" i="59"/>
  <c r="AL53" i="59" s="1"/>
  <c r="BU60" i="59"/>
  <c r="CL60" i="59" s="1"/>
  <c r="AK60" i="59"/>
  <c r="AJ60" i="59" s="1"/>
  <c r="Y51" i="59"/>
  <c r="AQ51" i="59" s="1"/>
  <c r="BG51" i="59" s="1"/>
  <c r="BI51" i="59" s="1"/>
  <c r="AK59" i="59"/>
  <c r="AJ59" i="59" s="1"/>
  <c r="AE54" i="59"/>
  <c r="AD54" i="59" s="1"/>
  <c r="AE60" i="59"/>
  <c r="AD60" i="59" s="1"/>
  <c r="AE53" i="59"/>
  <c r="AF53" i="59" s="1"/>
  <c r="AE51" i="59"/>
  <c r="AF51" i="59" s="1"/>
  <c r="BU52" i="59"/>
  <c r="CL52" i="59" s="1"/>
  <c r="CD52" i="59"/>
  <c r="AK52" i="59"/>
  <c r="AL52" i="59" s="1"/>
  <c r="AK58" i="59"/>
  <c r="AL58" i="59" s="1"/>
  <c r="AE58" i="59"/>
  <c r="AD58" i="59" s="1"/>
  <c r="AE59" i="59"/>
  <c r="AF59" i="59" s="1"/>
  <c r="BU51" i="59"/>
  <c r="CL51" i="59" s="1"/>
  <c r="CD60" i="59"/>
  <c r="CD51" i="59"/>
  <c r="BU54" i="59"/>
  <c r="CL54" i="59" s="1"/>
  <c r="CD54" i="59"/>
  <c r="CD53" i="59"/>
  <c r="BU55" i="59"/>
  <c r="CL55" i="59" s="1"/>
  <c r="BU58" i="59"/>
  <c r="CL58" i="59" s="1"/>
  <c r="BU53" i="59"/>
  <c r="CL53" i="59" s="1"/>
  <c r="AE55" i="59"/>
  <c r="AF55" i="59" s="1"/>
  <c r="Y55" i="59"/>
  <c r="Z55" i="59" s="1"/>
  <c r="CD58" i="59"/>
  <c r="CD59" i="59"/>
  <c r="CD55" i="59"/>
  <c r="BU59" i="59"/>
  <c r="CL59" i="59" s="1"/>
  <c r="CL57" i="59"/>
  <c r="Z52" i="59"/>
  <c r="X52" i="59"/>
  <c r="AQ52" i="59"/>
  <c r="BG52" i="59" s="1"/>
  <c r="BI52" i="59" s="1"/>
  <c r="Z59" i="59"/>
  <c r="AQ59" i="59"/>
  <c r="BG59" i="59" s="1"/>
  <c r="BI59" i="59" s="1"/>
  <c r="X59" i="59"/>
  <c r="Z53" i="59"/>
  <c r="X53" i="59"/>
  <c r="AQ53" i="59"/>
  <c r="BG53" i="59" s="1"/>
  <c r="BI53" i="59" s="1"/>
  <c r="Z54" i="59"/>
  <c r="AD57" i="59"/>
  <c r="AF57" i="59"/>
  <c r="AQ56" i="59"/>
  <c r="BG56" i="59" s="1"/>
  <c r="BI56" i="59" s="1"/>
  <c r="Z56" i="59"/>
  <c r="X56" i="59"/>
  <c r="AL56" i="59"/>
  <c r="AJ56" i="59"/>
  <c r="AJ54" i="59"/>
  <c r="AL54" i="59"/>
  <c r="Z58" i="59"/>
  <c r="AQ58" i="59"/>
  <c r="BG58" i="59" s="1"/>
  <c r="BI58" i="59" s="1"/>
  <c r="X58" i="59"/>
  <c r="Z60" i="59"/>
  <c r="X60" i="59"/>
  <c r="AQ60" i="59"/>
  <c r="BG60" i="59" s="1"/>
  <c r="BI60" i="59" s="1"/>
  <c r="AD56" i="59"/>
  <c r="AJ51" i="59"/>
  <c r="AL51" i="59"/>
  <c r="AL57" i="59"/>
  <c r="AJ57" i="59"/>
  <c r="AL55" i="59"/>
  <c r="AJ55" i="59"/>
  <c r="AQ57" i="59"/>
  <c r="BG57" i="59" s="1"/>
  <c r="BI57" i="59" s="1"/>
  <c r="X57" i="59"/>
  <c r="Z57" i="59"/>
  <c r="AF52" i="59" l="1"/>
  <c r="AQ54" i="59"/>
  <c r="BG54" i="59" s="1"/>
  <c r="BI54" i="59" s="1"/>
  <c r="AD59" i="59"/>
  <c r="AL60" i="59"/>
  <c r="AF54" i="59"/>
  <c r="AL59" i="59"/>
  <c r="AJ53" i="59"/>
  <c r="AJ58" i="59"/>
  <c r="AD51" i="59"/>
  <c r="AF60" i="59"/>
  <c r="Z51" i="59"/>
  <c r="AR51" i="59" s="1"/>
  <c r="CP51" i="59" s="1"/>
  <c r="X51" i="59"/>
  <c r="AP51" i="59" s="1"/>
  <c r="AJ52" i="59"/>
  <c r="AD55" i="59"/>
  <c r="AD53" i="59"/>
  <c r="AF58" i="59"/>
  <c r="X55" i="59"/>
  <c r="AP55" i="59" s="1"/>
  <c r="AQ55" i="59"/>
  <c r="BG55" i="59" s="1"/>
  <c r="BI55" i="59" s="1"/>
  <c r="AR57" i="59"/>
  <c r="CP57" i="59" s="1"/>
  <c r="AP57" i="59"/>
  <c r="AR55" i="59"/>
  <c r="CP55" i="59" s="1"/>
  <c r="AR60" i="59"/>
  <c r="CP60" i="59" s="1"/>
  <c r="AP54" i="59"/>
  <c r="AR56" i="59"/>
  <c r="CP56" i="59" s="1"/>
  <c r="AR54" i="59"/>
  <c r="CP54" i="59" s="1"/>
  <c r="AR59" i="59"/>
  <c r="CP59" i="59" s="1"/>
  <c r="AP58" i="59"/>
  <c r="AR58" i="59"/>
  <c r="CP58" i="59" s="1"/>
  <c r="AP53" i="59"/>
  <c r="AR53" i="59"/>
  <c r="CP53" i="59" s="1"/>
  <c r="AP52" i="59"/>
  <c r="AP60" i="59"/>
  <c r="AP56" i="59"/>
  <c r="AP59" i="59"/>
  <c r="AR52" i="59"/>
  <c r="CP52" i="59" s="1"/>
  <c r="CN57" i="59" l="1"/>
  <c r="DA57" i="59" s="1"/>
  <c r="DE57" i="59" s="1"/>
  <c r="DI57" i="59" s="1"/>
  <c r="DM57" i="59" s="1"/>
  <c r="DB57" i="59" s="1"/>
  <c r="DF57" i="59" s="1"/>
  <c r="DJ57" i="59" s="1"/>
  <c r="DN57" i="59" s="1"/>
  <c r="DC57" i="59" s="1"/>
  <c r="DG57" i="59" s="1"/>
  <c r="DK57" i="59" s="1"/>
  <c r="DO57" i="59" s="1"/>
  <c r="DD57" i="59" s="1"/>
  <c r="DH57" i="59" s="1"/>
  <c r="DT57" i="59" s="1"/>
  <c r="CN55" i="59"/>
  <c r="CN51" i="59"/>
  <c r="CN60" i="59"/>
  <c r="CN53" i="59"/>
  <c r="CN54" i="59"/>
  <c r="CN56" i="59"/>
  <c r="CN58" i="59"/>
  <c r="CN52" i="59"/>
  <c r="CN59" i="59"/>
  <c r="CS51" i="59" l="1"/>
  <c r="CS57" i="59"/>
  <c r="CS53" i="59"/>
  <c r="DA55" i="59"/>
  <c r="DE55" i="59" s="1"/>
  <c r="DI55" i="59" s="1"/>
  <c r="DM55" i="59" s="1"/>
  <c r="DB55" i="59" s="1"/>
  <c r="DF55" i="59" s="1"/>
  <c r="DJ55" i="59" s="1"/>
  <c r="DN55" i="59" s="1"/>
  <c r="DC55" i="59" s="1"/>
  <c r="DG55" i="59" s="1"/>
  <c r="DK55" i="59" s="1"/>
  <c r="DO55" i="59" s="1"/>
  <c r="DD55" i="59" s="1"/>
  <c r="DH55" i="59" s="1"/>
  <c r="DT55" i="59" s="1"/>
  <c r="CS55" i="59"/>
  <c r="DA54" i="59"/>
  <c r="DE54" i="59" s="1"/>
  <c r="DI54" i="59" s="1"/>
  <c r="DM54" i="59" s="1"/>
  <c r="DB54" i="59" s="1"/>
  <c r="DF54" i="59" s="1"/>
  <c r="DJ54" i="59" s="1"/>
  <c r="DN54" i="59" s="1"/>
  <c r="DC54" i="59" s="1"/>
  <c r="DG54" i="59" s="1"/>
  <c r="DK54" i="59" s="1"/>
  <c r="DO54" i="59" s="1"/>
  <c r="DD54" i="59" s="1"/>
  <c r="DH54" i="59" s="1"/>
  <c r="DT54" i="59" s="1"/>
  <c r="DL57" i="59"/>
  <c r="DP57" i="59" s="1"/>
  <c r="DR57" i="59" s="1"/>
  <c r="DS57" i="59" s="1"/>
  <c r="CS60" i="59"/>
  <c r="DA60" i="59"/>
  <c r="DE60" i="59" s="1"/>
  <c r="DI60" i="59" s="1"/>
  <c r="DM60" i="59" s="1"/>
  <c r="DB60" i="59" s="1"/>
  <c r="DF60" i="59" s="1"/>
  <c r="DJ60" i="59" s="1"/>
  <c r="DN60" i="59" s="1"/>
  <c r="DC60" i="59" s="1"/>
  <c r="DG60" i="59" s="1"/>
  <c r="DK60" i="59" s="1"/>
  <c r="DO60" i="59" s="1"/>
  <c r="DD60" i="59" s="1"/>
  <c r="DH60" i="59" s="1"/>
  <c r="DA53" i="59"/>
  <c r="DE53" i="59" s="1"/>
  <c r="DI53" i="59" s="1"/>
  <c r="DM53" i="59" s="1"/>
  <c r="DB53" i="59" s="1"/>
  <c r="DF53" i="59" s="1"/>
  <c r="DJ53" i="59" s="1"/>
  <c r="DN53" i="59" s="1"/>
  <c r="DC53" i="59" s="1"/>
  <c r="DG53" i="59" s="1"/>
  <c r="DK53" i="59" s="1"/>
  <c r="DO53" i="59" s="1"/>
  <c r="DD53" i="59" s="1"/>
  <c r="DH53" i="59" s="1"/>
  <c r="DA51" i="59"/>
  <c r="DE51" i="59" s="1"/>
  <c r="DI51" i="59" s="1"/>
  <c r="DM51" i="59" s="1"/>
  <c r="DB51" i="59" s="1"/>
  <c r="DF51" i="59" s="1"/>
  <c r="DJ51" i="59" s="1"/>
  <c r="DN51" i="59" s="1"/>
  <c r="DC51" i="59" s="1"/>
  <c r="DG51" i="59" s="1"/>
  <c r="DK51" i="59" s="1"/>
  <c r="DO51" i="59" s="1"/>
  <c r="DD51" i="59" s="1"/>
  <c r="DH51" i="59" s="1"/>
  <c r="CS54" i="59"/>
  <c r="CS56" i="59"/>
  <c r="DA56" i="59"/>
  <c r="DE56" i="59" s="1"/>
  <c r="DI56" i="59" s="1"/>
  <c r="DM56" i="59" s="1"/>
  <c r="DB56" i="59" s="1"/>
  <c r="DF56" i="59" s="1"/>
  <c r="DJ56" i="59" s="1"/>
  <c r="DN56" i="59" s="1"/>
  <c r="DC56" i="59" s="1"/>
  <c r="DG56" i="59" s="1"/>
  <c r="DK56" i="59" s="1"/>
  <c r="DO56" i="59" s="1"/>
  <c r="DD56" i="59" s="1"/>
  <c r="DH56" i="59" s="1"/>
  <c r="DT56" i="59" s="1"/>
  <c r="CS52" i="59"/>
  <c r="DA52" i="59"/>
  <c r="DE52" i="59" s="1"/>
  <c r="DI52" i="59" s="1"/>
  <c r="DM52" i="59" s="1"/>
  <c r="DB52" i="59" s="1"/>
  <c r="DF52" i="59" s="1"/>
  <c r="DJ52" i="59" s="1"/>
  <c r="DN52" i="59" s="1"/>
  <c r="DC52" i="59" s="1"/>
  <c r="DG52" i="59" s="1"/>
  <c r="DK52" i="59" s="1"/>
  <c r="DO52" i="59" s="1"/>
  <c r="DD52" i="59" s="1"/>
  <c r="DH52" i="59" s="1"/>
  <c r="DA58" i="59"/>
  <c r="DE58" i="59" s="1"/>
  <c r="DI58" i="59" s="1"/>
  <c r="DM58" i="59" s="1"/>
  <c r="DB58" i="59" s="1"/>
  <c r="DF58" i="59" s="1"/>
  <c r="DJ58" i="59" s="1"/>
  <c r="DN58" i="59" s="1"/>
  <c r="DC58" i="59" s="1"/>
  <c r="DG58" i="59" s="1"/>
  <c r="DK58" i="59" s="1"/>
  <c r="DO58" i="59" s="1"/>
  <c r="DD58" i="59" s="1"/>
  <c r="DH58" i="59" s="1"/>
  <c r="CS58" i="59"/>
  <c r="CS59" i="59"/>
  <c r="DA59" i="59"/>
  <c r="DE59" i="59" s="1"/>
  <c r="DI59" i="59" s="1"/>
  <c r="DM59" i="59" s="1"/>
  <c r="DB59" i="59" s="1"/>
  <c r="DF59" i="59" s="1"/>
  <c r="DJ59" i="59" s="1"/>
  <c r="DN59" i="59" s="1"/>
  <c r="DC59" i="59" s="1"/>
  <c r="DG59" i="59" s="1"/>
  <c r="DK59" i="59" s="1"/>
  <c r="DO59" i="59" s="1"/>
  <c r="DD59" i="59" s="1"/>
  <c r="DH59" i="59" s="1"/>
  <c r="DL55" i="59" l="1"/>
  <c r="DP55" i="59" s="1"/>
  <c r="DR55" i="59" s="1"/>
  <c r="DL54" i="59"/>
  <c r="DP54" i="59" s="1"/>
  <c r="DR54" i="59" s="1"/>
  <c r="DL51" i="59"/>
  <c r="DP51" i="59" s="1"/>
  <c r="DR51" i="59" s="1"/>
  <c r="DT51" i="59"/>
  <c r="DT53" i="59"/>
  <c r="DL53" i="59"/>
  <c r="DP53" i="59" s="1"/>
  <c r="DR53" i="59" s="1"/>
  <c r="DL60" i="59"/>
  <c r="DP60" i="59" s="1"/>
  <c r="DR60" i="59" s="1"/>
  <c r="DT60" i="59"/>
  <c r="DL56" i="59"/>
  <c r="DP56" i="59" s="1"/>
  <c r="DR56" i="59" s="1"/>
  <c r="DT58" i="59"/>
  <c r="DL58" i="59"/>
  <c r="DP58" i="59" s="1"/>
  <c r="DR58" i="59" s="1"/>
  <c r="DT52" i="59"/>
  <c r="DL52" i="59"/>
  <c r="DP52" i="59" s="1"/>
  <c r="DR52" i="59" s="1"/>
  <c r="DT59" i="59"/>
  <c r="DL59" i="59"/>
  <c r="DP59" i="59" s="1"/>
  <c r="DR59" i="59" s="1"/>
  <c r="DS55" i="59" l="1"/>
  <c r="DS54" i="59"/>
  <c r="DS60" i="59"/>
  <c r="DS53" i="59"/>
  <c r="DS51" i="59"/>
  <c r="DS56" i="59"/>
  <c r="DS59" i="59"/>
  <c r="DS58" i="59"/>
  <c r="DS52"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7061432</author>
  </authors>
  <commentList>
    <comment ref="F6" authorId="0" shapeId="0" xr:uid="{00000000-0006-0000-0300-000001000000}">
      <text>
        <r>
          <rPr>
            <sz val="9"/>
            <color indexed="81"/>
            <rFont val="Arial Unicode MS"/>
            <family val="3"/>
            <charset val="128"/>
          </rPr>
          <t>Paste (or type) PNs below to make your selection list.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7061432</author>
    <author>IDE HIROKI (井手 博樹)</author>
    <author>全社標準PC</author>
    <author>tc={409CF2E7-8158-46F5-9F3C-9D52F29BEDAA}</author>
    <author>tc={31E2572E-4881-4397-A6A3-547F7ED54013}</author>
  </authors>
  <commentList>
    <comment ref="BQ10" authorId="0" shapeId="0" xr:uid="{09D93777-DBB0-4FB5-902A-85365C7EC6BA}">
      <text>
        <r>
          <rPr>
            <b/>
            <sz val="9"/>
            <color indexed="81"/>
            <rFont val="ＭＳ Ｐゴシック"/>
            <family val="3"/>
            <charset val="128"/>
          </rPr>
          <t>2015/9/10 Cの係数を2から10に変えた。
2017/1/7  ﾘﾌﾟﾙと高さが空欄の時に再判定を省くようにした。</t>
        </r>
      </text>
    </comment>
    <comment ref="BR10" authorId="0" shapeId="0" xr:uid="{EEF80CEF-842D-49CD-BA88-E6D7D4B99DE9}">
      <text>
        <r>
          <rPr>
            <b/>
            <sz val="9"/>
            <color indexed="81"/>
            <rFont val="ＭＳ Ｐゴシック"/>
            <family val="3"/>
            <charset val="128"/>
          </rPr>
          <t>通常同一値なら順位も同じ値になるが、それでは正常ﾘｽﾄ表示されないため、同一値でも登場順に連続順位を振るように処理している。
また、検索品番がﾘｽﾄに表示されないよう、を除外している。=検索品番と等しければ空欄と処理することで。</t>
        </r>
      </text>
    </comment>
    <comment ref="BS10" authorId="0" shapeId="0" xr:uid="{0632C723-E353-4D4D-8A61-81F6C30A3C81}">
      <text>
        <r>
          <rPr>
            <b/>
            <sz val="9"/>
            <color indexed="81"/>
            <rFont val="ＭＳ Ｐゴシック"/>
            <family val="3"/>
            <charset val="128"/>
          </rPr>
          <t>左の列で検索品番を除外したことで、欠番が出て歯抜けﾘｽﾄ表示になってしまうので、ので、再Rankし連番に。</t>
        </r>
      </text>
    </comment>
    <comment ref="X37" authorId="1" shapeId="0" xr:uid="{037440AF-06CC-47F6-B677-BA9F1809DA7D}">
      <text>
        <r>
          <rPr>
            <b/>
            <sz val="9"/>
            <color indexed="81"/>
            <rFont val="MS P ゴシック"/>
            <family val="2"/>
          </rPr>
          <t>19.7</t>
        </r>
        <r>
          <rPr>
            <b/>
            <sz val="9"/>
            <color indexed="81"/>
            <rFont val="ＭＳ Ｐゴシック"/>
            <family val="3"/>
            <charset val="128"/>
          </rPr>
          <t>から更新</t>
        </r>
      </text>
    </comment>
    <comment ref="V45" authorId="2" shapeId="0" xr:uid="{389F5A04-9809-46E5-BE80-507C4AA8E52E}">
      <text>
        <r>
          <rPr>
            <b/>
            <sz val="9"/>
            <color indexed="81"/>
            <rFont val="ＭＳ Ｐゴシック"/>
            <family val="3"/>
            <charset val="128"/>
          </rPr>
          <t>DCR TypにDCR 10%を加味するとDCR Max。つまり1.1を掛ける。</t>
        </r>
      </text>
    </comment>
    <comment ref="Q94" authorId="1" shapeId="0" xr:uid="{D42FCDD3-94C9-4024-BC8F-3A355A6E25C3}">
      <text>
        <r>
          <rPr>
            <b/>
            <sz val="9"/>
            <color indexed="81"/>
            <rFont val="ＭＳ Ｐゴシック"/>
            <family val="3"/>
            <charset val="128"/>
          </rPr>
          <t>元は15だった</t>
        </r>
      </text>
    </comment>
    <comment ref="X94" authorId="1" shapeId="0" xr:uid="{57CF5939-64DF-4FF3-BD7C-50DAD4CDF85E}">
      <text>
        <r>
          <rPr>
            <b/>
            <sz val="9"/>
            <color indexed="81"/>
            <rFont val="ＭＳ Ｐゴシック"/>
            <family val="3"/>
            <charset val="128"/>
          </rPr>
          <t>元は7.8だった</t>
        </r>
      </text>
    </comment>
    <comment ref="W120" authorId="0" shapeId="0" xr:uid="{A0996C49-E7FE-43C1-8FEE-F88152AC6D3E}">
      <text>
        <r>
          <rPr>
            <b/>
            <sz val="9"/>
            <color indexed="81"/>
            <rFont val="ＭＳ Ｐゴシック"/>
            <family val="3"/>
            <charset val="128"/>
          </rPr>
          <t>?</t>
        </r>
      </text>
    </comment>
    <comment ref="X120" authorId="3" shapeId="0" xr:uid="{409CF2E7-8158-46F5-9F3C-9D52F29BEDAA}">
      <text>
        <r>
          <rPr>
            <sz val="10"/>
            <rFont val="ＭＳ Ｐゴシック"/>
            <family val="3"/>
            <charset val="128"/>
          </rPr>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 になっていたが、文字を入れると、小差順位がエラーになるので、空欄にした。
</t>
        </r>
      </text>
    </comment>
    <comment ref="Z120" authorId="4" shapeId="0" xr:uid="{31E2572E-4881-4397-A6A3-547F7ED54013}">
      <text>
        <r>
          <rPr>
            <sz val="10"/>
            <rFont val="ＭＳ Ｐゴシック"/>
            <family val="3"/>
            <charset val="128"/>
          </rPr>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 になっていたが、文字を入れると、小差順位がエラーになるので、空欄にした。</t>
        </r>
      </text>
    </comment>
    <comment ref="AA151" authorId="1" shapeId="0" xr:uid="{5F5229A1-6CAE-49A1-BA46-7463776D673E}">
      <text>
        <r>
          <rPr>
            <b/>
            <sz val="9"/>
            <color indexed="81"/>
            <rFont val="ＭＳ Ｐゴシック"/>
            <family val="3"/>
            <charset val="128"/>
          </rPr>
          <t>グラフより読み取り</t>
        </r>
      </text>
    </comment>
    <comment ref="X172" authorId="1" shapeId="0" xr:uid="{1F60FB8E-B712-4171-A4CC-56A36A772A0E}">
      <text>
        <r>
          <rPr>
            <b/>
            <sz val="9"/>
            <color indexed="81"/>
            <rFont val="MS P ゴシック"/>
            <family val="2"/>
          </rPr>
          <t xml:space="preserve">2021/10/11 </t>
        </r>
        <r>
          <rPr>
            <b/>
            <sz val="9"/>
            <color indexed="81"/>
            <rFont val="ＭＳ Ｐゴシック"/>
            <family val="3"/>
            <charset val="128"/>
          </rPr>
          <t>馬場さんに確認済み。</t>
        </r>
      </text>
    </comment>
    <comment ref="X173" authorId="1" shapeId="0" xr:uid="{63C88E0F-1D29-4AD5-B00A-6BD73A8AB6C4}">
      <text>
        <r>
          <rPr>
            <b/>
            <sz val="9"/>
            <color indexed="81"/>
            <rFont val="MS P ゴシック"/>
            <family val="2"/>
          </rPr>
          <t xml:space="preserve">2021/10/11 </t>
        </r>
        <r>
          <rPr>
            <b/>
            <sz val="9"/>
            <color indexed="81"/>
            <rFont val="ＭＳ Ｐゴシック"/>
            <family val="3"/>
            <charset val="128"/>
          </rPr>
          <t>馬場さんに確認済み。</t>
        </r>
      </text>
    </comment>
    <comment ref="X174" authorId="1" shapeId="0" xr:uid="{77C66606-7570-4A49-A945-4E2C302C605A}">
      <text>
        <r>
          <rPr>
            <b/>
            <sz val="9"/>
            <color indexed="81"/>
            <rFont val="MS P ゴシック"/>
            <family val="2"/>
          </rPr>
          <t xml:space="preserve">2021/10/11 </t>
        </r>
        <r>
          <rPr>
            <b/>
            <sz val="9"/>
            <color indexed="81"/>
            <rFont val="ＭＳ Ｐゴシック"/>
            <family val="3"/>
            <charset val="128"/>
          </rPr>
          <t>馬場さんに確認済み。</t>
        </r>
      </text>
    </comment>
    <comment ref="Z186" authorId="1" shapeId="0" xr:uid="{7C1473B7-E376-4E9A-8685-FF9D09FA9181}">
      <text>
        <r>
          <rPr>
            <b/>
            <sz val="9"/>
            <color indexed="81"/>
            <rFont val="MS P ゴシック"/>
            <family val="2"/>
          </rPr>
          <t xml:space="preserve">2021/10/11 </t>
        </r>
        <r>
          <rPr>
            <b/>
            <sz val="9"/>
            <color indexed="81"/>
            <rFont val="ＭＳ Ｐゴシック"/>
            <family val="3"/>
            <charset val="128"/>
          </rPr>
          <t>馬場さんに確認済み。</t>
        </r>
      </text>
    </comment>
    <comment ref="AA186" authorId="2" shapeId="0" xr:uid="{35B2E76D-A9E8-4FAA-93DC-1BD2D58FEBB9}">
      <text>
        <r>
          <rPr>
            <b/>
            <sz val="9"/>
            <color indexed="81"/>
            <rFont val="MS P ゴシック"/>
            <family val="2"/>
          </rPr>
          <t>4/25</t>
        </r>
        <r>
          <rPr>
            <b/>
            <sz val="9"/>
            <color indexed="81"/>
            <rFont val="ＭＳ Ｐゴシック"/>
            <family val="3"/>
            <charset val="128"/>
          </rPr>
          <t>高木さん修正</t>
        </r>
        <r>
          <rPr>
            <sz val="9"/>
            <color indexed="81"/>
            <rFont val="MS P ゴシック"/>
            <family val="2"/>
          </rPr>
          <t xml:space="preserve">
49</t>
        </r>
        <r>
          <rPr>
            <sz val="9"/>
            <color indexed="81"/>
            <rFont val="ＭＳ Ｐゴシック"/>
            <family val="3"/>
            <charset val="128"/>
          </rPr>
          <t>→26A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7061432</author>
  </authors>
  <commentList>
    <comment ref="E6" authorId="0" shapeId="0" xr:uid="{00000000-0006-0000-0000-000001000000}">
      <text>
        <r>
          <rPr>
            <sz val="9"/>
            <color indexed="81"/>
            <rFont val="Meiryo UI"/>
            <family val="3"/>
            <charset val="128"/>
          </rPr>
          <t>Vlookupの近似一致が、以上の値を拾うので以下の表示に合わせるには、</t>
        </r>
        <r>
          <rPr>
            <b/>
            <sz val="9"/>
            <color indexed="81"/>
            <rFont val="Meiryo UI"/>
            <family val="3"/>
            <charset val="128"/>
          </rPr>
          <t>≤0.2</t>
        </r>
        <r>
          <rPr>
            <sz val="9"/>
            <color indexed="81"/>
            <rFont val="Meiryo UI"/>
            <family val="3"/>
            <charset val="128"/>
          </rPr>
          <t>表示の時は</t>
        </r>
        <r>
          <rPr>
            <b/>
            <sz val="9"/>
            <color indexed="81"/>
            <rFont val="Meiryo UI"/>
            <family val="3"/>
            <charset val="128"/>
          </rPr>
          <t>0.11以上</t>
        </r>
        <r>
          <rPr>
            <sz val="9"/>
            <color indexed="81"/>
            <rFont val="Meiryo UI"/>
            <family val="3"/>
            <charset val="128"/>
          </rPr>
          <t>0.2以下となる。</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futureMetadata>
  <futureMetadata name="XLDAPR" count="1">
    <bk>
      <extLst>
        <ext uri="{bdbb8cdc-fa1e-496e-a857-3c3f30c029c3}">
          <xda:dynamicArrayProperties fDynamic="1" fCollapsed="0"/>
        </ext>
      </extLst>
    </bk>
  </futureMetadata>
  <cellMetadata count="1">
    <bk>
      <rc t="2" v="0"/>
    </bk>
  </cellMetadata>
  <valueMetadata count="15">
    <bk>
      <rc t="1" v="0"/>
    </bk>
    <bk>
      <rc t="1" v="1"/>
    </bk>
    <bk>
      <rc t="1" v="2"/>
    </bk>
    <bk>
      <rc t="1" v="3"/>
    </bk>
    <bk>
      <rc t="1" v="4"/>
    </bk>
    <bk>
      <rc t="1" v="5"/>
    </bk>
    <bk>
      <rc t="1" v="6"/>
    </bk>
    <bk>
      <rc t="1" v="7"/>
    </bk>
    <bk>
      <rc t="1" v="8"/>
    </bk>
    <bk>
      <rc t="1" v="9"/>
    </bk>
    <bk>
      <rc t="1" v="10"/>
    </bk>
    <bk>
      <rc t="1" v="11"/>
    </bk>
    <bk>
      <rc t="1" v="12"/>
    </bk>
    <bk>
      <rc t="1" v="13"/>
    </bk>
    <bk>
      <rc t="1" v="14"/>
    </bk>
  </valueMetadata>
</metadata>
</file>

<file path=xl/sharedStrings.xml><?xml version="1.0" encoding="utf-8"?>
<sst xmlns="http://schemas.openxmlformats.org/spreadsheetml/2006/main" count="4752" uniqueCount="1091">
  <si>
    <t>Panasonic Automotive Inductor Quick Search</t>
    <phoneticPr fontId="13"/>
  </si>
  <si>
    <t>Please select parameters below to find the capacitors to match your requirements.</t>
  </si>
  <si>
    <t>Filters</t>
    <phoneticPr fontId="13"/>
  </si>
  <si>
    <t>Output</t>
    <phoneticPr fontId="13"/>
  </si>
  <si>
    <t>(uH)</t>
  </si>
  <si>
    <t>Tol. 
(%)</t>
  </si>
  <si>
    <t>Method B typ (A)</t>
  </si>
  <si>
    <t>Method A typ (A)</t>
  </si>
  <si>
    <t>⊿L=-30% 
typ (A)</t>
  </si>
  <si>
    <t>⊿L=-20% 
typ (A)</t>
  </si>
  <si>
    <t>Typ (mOhm)</t>
  </si>
  <si>
    <t>Max (mOhm)</t>
  </si>
  <si>
    <t>Size 
(mm)</t>
  </si>
  <si>
    <t>Max Height 
(mm)</t>
  </si>
  <si>
    <t>Temp Range (deg.C)</t>
  </si>
  <si>
    <t>Automotive Grade</t>
  </si>
  <si>
    <t>Status</t>
  </si>
  <si>
    <t>Part Number</t>
  </si>
  <si>
    <t>URL</t>
  </si>
  <si>
    <t>Feature</t>
    <phoneticPr fontId="13"/>
  </si>
  <si>
    <t>URL</t>
    <phoneticPr fontId="13"/>
  </si>
  <si>
    <t>10.9  x  10</t>
  </si>
  <si>
    <t>Yes</t>
  </si>
  <si>
    <t>MP</t>
  </si>
  <si>
    <t>ETQP5MR33YLC</t>
  </si>
  <si>
    <t>12.6  x  13.2</t>
  </si>
  <si>
    <t>5.5  x  5</t>
  </si>
  <si>
    <t>15.6  x  17.2</t>
  </si>
  <si>
    <t>6.5  x  6</t>
  </si>
  <si>
    <t>ETQP5MR68YLC</t>
  </si>
  <si>
    <t>ETQP8MR68JFA</t>
  </si>
  <si>
    <t>ETQP3MR68KVP</t>
  </si>
  <si>
    <t>6.4  x  6</t>
  </si>
  <si>
    <t>ETQP3MR68KVN</t>
  </si>
  <si>
    <t>8.5  x  8</t>
  </si>
  <si>
    <t>ETQP4MR68KVK</t>
  </si>
  <si>
    <t>ETQP5MR68YSC</t>
  </si>
  <si>
    <t>ETQP3M1R0YFN</t>
  </si>
  <si>
    <t>ETQP5M1R0YLC</t>
  </si>
  <si>
    <t>ETQP8M1R0JFA</t>
  </si>
  <si>
    <t>ETQP3M1R0KVP</t>
  </si>
  <si>
    <t>ETQP3M1R0KVN</t>
  </si>
  <si>
    <t>ETQP4M1R0KVK</t>
  </si>
  <si>
    <t>10.7  x  10</t>
  </si>
  <si>
    <t>ETQP4M1R0KVC</t>
  </si>
  <si>
    <t>ETQP5M1R5YFC</t>
  </si>
  <si>
    <t>ETQP6M1R5YLC</t>
  </si>
  <si>
    <t>ETQP8M1R5JFA</t>
  </si>
  <si>
    <t>ETQP3M1R5KVP</t>
  </si>
  <si>
    <t>ETQP3M1R5KVN</t>
  </si>
  <si>
    <t>ETQP4M1R5KVK</t>
  </si>
  <si>
    <t>ETQP4M1R5KVC</t>
  </si>
  <si>
    <t>ETQP5M2R0YLC</t>
  </si>
  <si>
    <t>ETQP3M2R2KVP</t>
  </si>
  <si>
    <t>ETQP3M2R2KVN</t>
  </si>
  <si>
    <t>ETQP4M2R2KVK</t>
  </si>
  <si>
    <t>ETQP4M2R2KVC</t>
  </si>
  <si>
    <t>ETQP5M2R5YFC</t>
  </si>
  <si>
    <t>ETQP5M2R5YFK</t>
  </si>
  <si>
    <t>ETQP6M2R5YLC</t>
  </si>
  <si>
    <t>ETQP8M2R5JFA</t>
  </si>
  <si>
    <t>ETQP4M3R3YFN</t>
  </si>
  <si>
    <t>ETQP3M3R3YFP</t>
  </si>
  <si>
    <t>ETQP5M3R3YFC</t>
  </si>
  <si>
    <t>ETQP6M3R3YLC</t>
  </si>
  <si>
    <t>12.6  x  13.1</t>
  </si>
  <si>
    <t>ETQP8M3R3JFA</t>
  </si>
  <si>
    <t>ETQP3M3R3KVP</t>
  </si>
  <si>
    <t>ETQP3M3R3KVN</t>
  </si>
  <si>
    <t>ETQP4M3R3KVK</t>
  </si>
  <si>
    <t>ETQP4M3R3KVC</t>
  </si>
  <si>
    <t>ETQP4M3R3KFN</t>
  </si>
  <si>
    <t>7.5  x  7</t>
  </si>
  <si>
    <t>ETQP4M4R7YFP</t>
  </si>
  <si>
    <t>ETQP5M4R7YFC</t>
  </si>
  <si>
    <t>ETQP5M4R7YFM</t>
  </si>
  <si>
    <t>ETQP6M4R7YLC</t>
  </si>
  <si>
    <t>ETQP8M4R7JFA</t>
  </si>
  <si>
    <t>ETQP3M4R7KVP</t>
  </si>
  <si>
    <t>ETQP3M4R7KVN</t>
  </si>
  <si>
    <t>ETQP4M4R7KVK</t>
  </si>
  <si>
    <t>ETQP4M4R7KVC</t>
  </si>
  <si>
    <t>ETQP4M4R7KFN</t>
  </si>
  <si>
    <t>7.4  x  7</t>
  </si>
  <si>
    <t>ETQP4M4R7KFM</t>
  </si>
  <si>
    <t>ETQP4M6R8YFN</t>
  </si>
  <si>
    <t>ETQP3M6R8KVN</t>
  </si>
  <si>
    <t>ETQP5M6R8YFM</t>
  </si>
  <si>
    <t>ETQP4M6R8KVK</t>
  </si>
  <si>
    <t>ETQP3M6R8KVP</t>
  </si>
  <si>
    <t>ETQP4M6R8KVC</t>
  </si>
  <si>
    <t>ETQP4M100KFN</t>
  </si>
  <si>
    <t>ETQP4M100KVK</t>
  </si>
  <si>
    <t>ETQP4M100YFN</t>
  </si>
  <si>
    <t>ETQP3M100KVP</t>
  </si>
  <si>
    <t>ETQP5M100YFC</t>
  </si>
  <si>
    <t>ETQP3M100KVN</t>
  </si>
  <si>
    <t>ETQP5M100YFK</t>
  </si>
  <si>
    <t>ETQP5M100YFM</t>
  </si>
  <si>
    <t>ETQP3M100HFN</t>
  </si>
  <si>
    <t>ETQP4M100KVC</t>
  </si>
  <si>
    <t>ETQP4M100KFM</t>
  </si>
  <si>
    <t>ETQP6M150KLC</t>
  </si>
  <si>
    <t>ETQP4M150KVK</t>
  </si>
  <si>
    <t>ETQP5M150YFC</t>
  </si>
  <si>
    <t>ETQP4M150KFN</t>
  </si>
  <si>
    <t>ETQP5M150YFK</t>
  </si>
  <si>
    <t>ETQP4M150KVC</t>
  </si>
  <si>
    <t>ETQP3M150KVN</t>
  </si>
  <si>
    <t>ETQP4M220YFN</t>
  </si>
  <si>
    <t>ETQP3M220HFN</t>
  </si>
  <si>
    <t>ETQP4M220KVC</t>
  </si>
  <si>
    <t>ETQP5M220YFK</t>
  </si>
  <si>
    <t>ETQP4M220YFP</t>
  </si>
  <si>
    <t>ETQP3M220KVN</t>
  </si>
  <si>
    <t>ETQP5M220YFM</t>
  </si>
  <si>
    <t>ETQP4M220KVK</t>
  </si>
  <si>
    <t>ETQP4M220KFM</t>
  </si>
  <si>
    <t>ETQP4M330YFN</t>
  </si>
  <si>
    <t>ETQP5M330YFC</t>
  </si>
  <si>
    <t>ETQP4M330KVC</t>
  </si>
  <si>
    <t>ETQP3M330KVN</t>
  </si>
  <si>
    <t>ETQP5M330YFM</t>
  </si>
  <si>
    <t>ETQP4M330KVK</t>
  </si>
  <si>
    <t>-</t>
  </si>
  <si>
    <t>14  x  14</t>
  </si>
  <si>
    <t>ETQPDH240DTV</t>
  </si>
  <si>
    <t>ETQP4M470KFM</t>
  </si>
  <si>
    <t>ETQP4M470YFN</t>
  </si>
  <si>
    <t>ETQP5M470YFC</t>
  </si>
  <si>
    <t>ETQP4M470KVC</t>
  </si>
  <si>
    <t>ETQP5M470YFM</t>
  </si>
  <si>
    <t>ETQP5M470YFK</t>
  </si>
  <si>
    <t>ETQP5M680YFC</t>
  </si>
  <si>
    <t>ETQP5M101YGM</t>
  </si>
  <si>
    <t>ETQP5M101YGC</t>
  </si>
  <si>
    <t>ETQP5M101YGK</t>
  </si>
  <si>
    <t>Panasonic Non-Automotive Inductor Quick Search</t>
    <phoneticPr fontId="13"/>
  </si>
  <si>
    <t>-</t>
    <phoneticPr fontId="13"/>
  </si>
  <si>
    <t>Status</t>
    <phoneticPr fontId="13"/>
  </si>
  <si>
    <t>Lo (uH)</t>
    <phoneticPr fontId="13"/>
  </si>
  <si>
    <t>Lo Tol. (%)</t>
    <phoneticPr fontId="13"/>
  </si>
  <si>
    <t>Method B 
typ (A)</t>
    <phoneticPr fontId="13"/>
  </si>
  <si>
    <t>Method A typ (A)</t>
    <phoneticPr fontId="16"/>
  </si>
  <si>
    <r>
      <rPr>
        <sz val="9"/>
        <color theme="0"/>
        <rFont val="ＭＳ Ｐゴシック"/>
        <family val="3"/>
        <charset val="128"/>
      </rPr>
      <t>⊿</t>
    </r>
    <r>
      <rPr>
        <sz val="9"/>
        <color theme="0"/>
        <rFont val="Arial"/>
        <family val="2"/>
      </rPr>
      <t>L=-30% 
typ (A)</t>
    </r>
    <phoneticPr fontId="13"/>
  </si>
  <si>
    <r>
      <rPr>
        <sz val="9"/>
        <color theme="0"/>
        <rFont val="ＭＳ Ｐゴシック"/>
        <family val="3"/>
        <charset val="128"/>
      </rPr>
      <t>⊿</t>
    </r>
    <r>
      <rPr>
        <sz val="9"/>
        <color theme="0"/>
        <rFont val="Arial"/>
        <family val="2"/>
      </rPr>
      <t>L=-20% 
typ (A)</t>
    </r>
    <phoneticPr fontId="13"/>
  </si>
  <si>
    <t>DCR Typ (mOhm)</t>
    <phoneticPr fontId="13"/>
  </si>
  <si>
    <t>DCR Max (mOhm)</t>
    <phoneticPr fontId="13"/>
  </si>
  <si>
    <t>Size (mm)</t>
    <phoneticPr fontId="13"/>
  </si>
  <si>
    <t>Max Height (mm)</t>
    <phoneticPr fontId="13"/>
  </si>
  <si>
    <t>Temp Range (deg.C)</t>
    <phoneticPr fontId="13"/>
  </si>
  <si>
    <t>Automotive Grade</t>
    <phoneticPr fontId="16"/>
  </si>
  <si>
    <t>L1 (uH)</t>
    <phoneticPr fontId="16"/>
  </si>
  <si>
    <t>MP</t>
    <phoneticPr fontId="13"/>
  </si>
  <si>
    <r>
      <t xml:space="preserve">0.614 </t>
    </r>
    <r>
      <rPr>
        <sz val="9"/>
        <rFont val="Arial"/>
        <family val="2"/>
      </rPr>
      <t>(+/-7%)</t>
    </r>
    <phoneticPr fontId="13"/>
  </si>
  <si>
    <t>8.7  x  7</t>
    <phoneticPr fontId="13"/>
  </si>
  <si>
    <t>-40 to +130</t>
    <phoneticPr fontId="13"/>
  </si>
  <si>
    <t>No</t>
  </si>
  <si>
    <t>ETQP3LR15CFM</t>
  </si>
  <si>
    <t>https://industrial.panasonic.com/ww/products/pt/inductors-for-consumer/models/ETQP3LR15CFM</t>
  </si>
  <si>
    <r>
      <t xml:space="preserve">0.66 </t>
    </r>
    <r>
      <rPr>
        <sz val="9"/>
        <rFont val="Arial"/>
        <family val="2"/>
      </rPr>
      <t>(+/-7%)</t>
    </r>
    <phoneticPr fontId="13"/>
  </si>
  <si>
    <t>ETQP4LR15AFM</t>
    <phoneticPr fontId="13"/>
  </si>
  <si>
    <t>https://industrial.panasonic.com/ww/products/pt/inductors-for-consumer/models/ETQP4LR15AFM</t>
  </si>
  <si>
    <r>
      <t xml:space="preserve">0.41 </t>
    </r>
    <r>
      <rPr>
        <sz val="9"/>
        <rFont val="Arial"/>
        <family val="2"/>
      </rPr>
      <t>(+/-7%)</t>
    </r>
    <phoneticPr fontId="13"/>
  </si>
  <si>
    <t>11.7  x  10</t>
    <phoneticPr fontId="13"/>
  </si>
  <si>
    <t>ETQP4LR15AFC</t>
    <phoneticPr fontId="13"/>
  </si>
  <si>
    <t>https://industrial.panasonic.com/ww/products/pt/inductors-for-consumer/models/ETQP4LR15AFC</t>
  </si>
  <si>
    <r>
      <t xml:space="preserve">0.7 </t>
    </r>
    <r>
      <rPr>
        <sz val="9"/>
        <rFont val="Arial"/>
        <family val="2"/>
      </rPr>
      <t>(+/-10%)</t>
    </r>
    <phoneticPr fontId="13"/>
  </si>
  <si>
    <t>11.5  x  10</t>
    <phoneticPr fontId="13"/>
  </si>
  <si>
    <t>ETQP4LR19WFC</t>
  </si>
  <si>
    <t>https://industrial.panasonic.com/ww/products/pt/inductors-for-consumer/models/ETQP4LR19WFC</t>
  </si>
  <si>
    <r>
      <t xml:space="preserve">1.12 </t>
    </r>
    <r>
      <rPr>
        <sz val="9"/>
        <rFont val="Arial"/>
        <family val="2"/>
      </rPr>
      <t>(+/-7%)</t>
    </r>
    <phoneticPr fontId="13"/>
  </si>
  <si>
    <t>ETQP3LR24CFM</t>
  </si>
  <si>
    <t>https://industrial.panasonic.com/ww/products/pt/inductors-for-consumer/models/ETQP3LR24CFM</t>
  </si>
  <si>
    <r>
      <t xml:space="preserve">1 </t>
    </r>
    <r>
      <rPr>
        <sz val="9"/>
        <rFont val="Arial"/>
        <family val="2"/>
      </rPr>
      <t>(+/-7%)</t>
    </r>
    <phoneticPr fontId="13"/>
  </si>
  <si>
    <t>ETQP4LR24AFM</t>
  </si>
  <si>
    <t>https://industrial.panasonic.com/ww/products/pt/inductors-for-consumer/models/ETQP4LR24AFM</t>
  </si>
  <si>
    <r>
      <t xml:space="preserve">1.35 </t>
    </r>
    <r>
      <rPr>
        <sz val="9"/>
        <rFont val="Arial"/>
        <family val="2"/>
      </rPr>
      <t>(+/-7%)</t>
    </r>
    <phoneticPr fontId="13"/>
  </si>
  <si>
    <t>ETQP4LR36AFM</t>
  </si>
  <si>
    <t>https://industrial.panasonic.com/ww/products/pt/inductors-for-consumer/models/ETQP4LR36AFM</t>
  </si>
  <si>
    <r>
      <t xml:space="preserve">0.76 </t>
    </r>
    <r>
      <rPr>
        <sz val="9"/>
        <rFont val="Arial"/>
        <family val="2"/>
      </rPr>
      <t>(+/-5%)</t>
    </r>
    <phoneticPr fontId="13"/>
  </si>
  <si>
    <t>ETQP4LR36AFC</t>
  </si>
  <si>
    <t>https://industrial.panasonic.com/ww/products/pt/inductors-for-consumer/models/ETQP4LR36AFC</t>
  </si>
  <si>
    <r>
      <t xml:space="preserve">1.1 </t>
    </r>
    <r>
      <rPr>
        <sz val="9"/>
        <rFont val="Arial"/>
        <family val="2"/>
      </rPr>
      <t>(+/-5%)</t>
    </r>
    <phoneticPr fontId="13"/>
  </si>
  <si>
    <t>ETQP4LR36WFC</t>
  </si>
  <si>
    <t>https://industrial.panasonic.com/ww/products/pt/inductors-for-consumer/models/ETQP4LR36WFC</t>
  </si>
  <si>
    <r>
      <t xml:space="preserve">1.5 </t>
    </r>
    <r>
      <rPr>
        <sz val="9"/>
        <rFont val="Arial"/>
        <family val="2"/>
      </rPr>
      <t>(+/-7%)</t>
    </r>
    <phoneticPr fontId="13"/>
  </si>
  <si>
    <t>ETQP4LR42AFM</t>
  </si>
  <si>
    <t>https://industrial.panasonic.com/ww/products/pt/inductors-for-consumer/models/ETQP4LR42AFM</t>
  </si>
  <si>
    <t>+20%, -25%</t>
  </si>
  <si>
    <t>1.1 (+/-5%)</t>
  </si>
  <si>
    <t>11.5  x  10</t>
  </si>
  <si>
    <t>-40 to +130</t>
  </si>
  <si>
    <t>ETQP4LR45XFC</t>
  </si>
  <si>
    <t>https://industrial.panasonic.com/ww/products/pt/inductors-for-consumer/models/ETQP4LR45XFC</t>
  </si>
  <si>
    <t>NRND</t>
    <phoneticPr fontId="13"/>
  </si>
  <si>
    <t>42  (-10%)</t>
    <phoneticPr fontId="13"/>
  </si>
  <si>
    <r>
      <t xml:space="preserve">0.80 </t>
    </r>
    <r>
      <rPr>
        <sz val="9"/>
        <rFont val="Arial"/>
        <family val="2"/>
      </rPr>
      <t>(+/-7%)</t>
    </r>
    <phoneticPr fontId="13"/>
  </si>
  <si>
    <t>14.5 x 12.5</t>
    <phoneticPr fontId="13"/>
  </si>
  <si>
    <t>ETQP5LR50XFA</t>
    <phoneticPr fontId="13"/>
  </si>
  <si>
    <t>https://industrial.panasonic.com/jp/products/pt/inductors-for-consumer/models/ETQP5LR50XFA</t>
  </si>
  <si>
    <r>
      <t xml:space="preserve">1.56 </t>
    </r>
    <r>
      <rPr>
        <sz val="9"/>
        <rFont val="Arial"/>
        <family val="2"/>
      </rPr>
      <t>(+/-5%)</t>
    </r>
    <phoneticPr fontId="13"/>
  </si>
  <si>
    <t>ETQP4LR56WFC</t>
  </si>
  <si>
    <t>https://industrial.panasonic.com/ww/products/pt/inductors-for-consumer/models/ETQP4LR56WFC</t>
  </si>
  <si>
    <t>54  (-10%)</t>
    <phoneticPr fontId="13"/>
  </si>
  <si>
    <r>
      <t xml:space="preserve">1.10 </t>
    </r>
    <r>
      <rPr>
        <sz val="9"/>
        <rFont val="Arial"/>
        <family val="2"/>
      </rPr>
      <t>(+/-5%)</t>
    </r>
    <phoneticPr fontId="13"/>
  </si>
  <si>
    <t>ETQP5LR60XFA</t>
    <phoneticPr fontId="13"/>
  </si>
  <si>
    <t>https://industrial.panasonic.com/jp/products/pt/inductors-for-consumer/models/ETQP5LR60XFA</t>
  </si>
  <si>
    <r>
      <t xml:space="preserve">1.58 </t>
    </r>
    <r>
      <rPr>
        <sz val="9"/>
        <rFont val="Arial"/>
        <family val="2"/>
      </rPr>
      <t>(+/-5%)</t>
    </r>
    <phoneticPr fontId="13"/>
  </si>
  <si>
    <t>ETQP4LR68XFC</t>
  </si>
  <si>
    <t>https://industrial.panasonic.com/ww/products/pt/inductors-for-consumer/models/ETQP4LR68XFC</t>
  </si>
  <si>
    <t>Panasonic Inductor Quick Search</t>
    <phoneticPr fontId="13"/>
  </si>
  <si>
    <t>v</t>
    <phoneticPr fontId="13"/>
  </si>
  <si>
    <t>check</t>
    <phoneticPr fontId="13"/>
  </si>
  <si>
    <t>Status</t>
    <phoneticPr fontId="16"/>
  </si>
  <si>
    <t>#</t>
    <phoneticPr fontId="16"/>
  </si>
  <si>
    <t>Part Number</t>
    <phoneticPr fontId="16"/>
  </si>
  <si>
    <t>Lo (uH)</t>
  </si>
  <si>
    <t>Size (mm)</t>
  </si>
  <si>
    <t>Height (mm)</t>
    <phoneticPr fontId="13"/>
  </si>
  <si>
    <r>
      <rPr>
        <b/>
        <sz val="11"/>
        <color theme="0" tint="-0.499984740745262"/>
        <rFont val="Arial"/>
        <family val="2"/>
      </rPr>
      <t xml:space="preserve">I </t>
    </r>
    <r>
      <rPr>
        <b/>
        <sz val="9"/>
        <color theme="0"/>
        <rFont val="Arial"/>
        <family val="2"/>
      </rPr>
      <t xml:space="preserve">Method </t>
    </r>
    <r>
      <rPr>
        <b/>
        <sz val="14"/>
        <color theme="0"/>
        <rFont val="Arial"/>
        <family val="2"/>
      </rPr>
      <t>B</t>
    </r>
    <r>
      <rPr>
        <b/>
        <sz val="9"/>
        <color theme="0"/>
        <rFont val="Arial"/>
        <family val="2"/>
      </rPr>
      <t xml:space="preserve"> typ (A)</t>
    </r>
    <phoneticPr fontId="13"/>
  </si>
  <si>
    <r>
      <rPr>
        <b/>
        <sz val="11"/>
        <color theme="0" tint="-0.499984740745262"/>
        <rFont val="Arial"/>
        <family val="2"/>
      </rPr>
      <t xml:space="preserve">I </t>
    </r>
    <r>
      <rPr>
        <b/>
        <sz val="9"/>
        <color theme="0"/>
        <rFont val="Arial"/>
        <family val="2"/>
      </rPr>
      <t xml:space="preserve">Method </t>
    </r>
    <r>
      <rPr>
        <b/>
        <sz val="14"/>
        <color theme="0"/>
        <rFont val="Arial"/>
        <family val="2"/>
      </rPr>
      <t>A</t>
    </r>
    <r>
      <rPr>
        <b/>
        <sz val="9"/>
        <color theme="0"/>
        <rFont val="Arial"/>
        <family val="2"/>
      </rPr>
      <t xml:space="preserve"> typ (A)</t>
    </r>
    <phoneticPr fontId="13"/>
  </si>
  <si>
    <r>
      <rPr>
        <b/>
        <sz val="8"/>
        <color theme="0" tint="-0.499984740745262"/>
        <rFont val="Arial"/>
        <family val="2"/>
      </rPr>
      <t xml:space="preserve">Isat </t>
    </r>
    <r>
      <rPr>
        <b/>
        <sz val="8"/>
        <color theme="0"/>
        <rFont val="ＭＳ Ｐゴシック"/>
        <family val="3"/>
        <charset val="128"/>
      </rPr>
      <t>⊿</t>
    </r>
    <r>
      <rPr>
        <b/>
        <sz val="8"/>
        <color theme="0"/>
        <rFont val="Arial"/>
        <family val="2"/>
      </rPr>
      <t xml:space="preserve">L=-30% </t>
    </r>
    <r>
      <rPr>
        <b/>
        <sz val="8"/>
        <color theme="0" tint="-0.499984740745262"/>
        <rFont val="Arial"/>
        <family val="2"/>
      </rPr>
      <t xml:space="preserve">
</t>
    </r>
    <r>
      <rPr>
        <b/>
        <sz val="8"/>
        <color theme="0"/>
        <rFont val="Arial"/>
        <family val="2"/>
      </rPr>
      <t xml:space="preserve">typ (A) </t>
    </r>
    <phoneticPr fontId="13"/>
  </si>
  <si>
    <r>
      <rPr>
        <b/>
        <sz val="8"/>
        <color theme="0" tint="-0.499984740745262"/>
        <rFont val="Arial"/>
        <family val="2"/>
      </rPr>
      <t xml:space="preserve">Isat </t>
    </r>
    <r>
      <rPr>
        <b/>
        <sz val="8"/>
        <color theme="0"/>
        <rFont val="ＭＳ Ｐゴシック"/>
        <family val="3"/>
        <charset val="128"/>
      </rPr>
      <t>⊿</t>
    </r>
    <r>
      <rPr>
        <b/>
        <sz val="8"/>
        <color theme="0"/>
        <rFont val="Arial"/>
        <family val="2"/>
      </rPr>
      <t xml:space="preserve">L=-20% </t>
    </r>
    <r>
      <rPr>
        <b/>
        <sz val="8"/>
        <color theme="0" tint="-0.499984740745262"/>
        <rFont val="Arial"/>
        <family val="2"/>
      </rPr>
      <t xml:space="preserve">
</t>
    </r>
    <r>
      <rPr>
        <b/>
        <sz val="8"/>
        <color theme="0"/>
        <rFont val="Arial"/>
        <family val="2"/>
      </rPr>
      <t xml:space="preserve">typ (A) </t>
    </r>
    <phoneticPr fontId="13"/>
  </si>
  <si>
    <r>
      <rPr>
        <b/>
        <sz val="8"/>
        <color theme="0" tint="-0.499984740745262"/>
        <rFont val="Arial"/>
        <family val="2"/>
      </rPr>
      <t>DCR</t>
    </r>
    <r>
      <rPr>
        <b/>
        <sz val="8"/>
        <color theme="0"/>
        <rFont val="Arial"/>
        <family val="2"/>
      </rPr>
      <t xml:space="preserve"> 
typ (mΩ)</t>
    </r>
    <phoneticPr fontId="13"/>
  </si>
  <si>
    <r>
      <rPr>
        <b/>
        <sz val="8"/>
        <color theme="0" tint="-0.499984740745262"/>
        <rFont val="Arial"/>
        <family val="2"/>
      </rPr>
      <t xml:space="preserve">DCR </t>
    </r>
    <r>
      <rPr>
        <b/>
        <sz val="8"/>
        <color theme="0"/>
        <rFont val="Arial"/>
        <family val="2"/>
      </rPr>
      <t xml:space="preserve">
max (mΩ)</t>
    </r>
    <phoneticPr fontId="13"/>
  </si>
  <si>
    <t>Temp. Range</t>
    <phoneticPr fontId="13"/>
  </si>
  <si>
    <t>Core</t>
    <phoneticPr fontId="13"/>
  </si>
  <si>
    <t>Panasonic Automotive Inductor Quick Search with DC/DC Conditions</t>
    <phoneticPr fontId="13"/>
  </si>
  <si>
    <t>Conditions</t>
    <phoneticPr fontId="13"/>
  </si>
  <si>
    <t>Diagrams</t>
    <phoneticPr fontId="13"/>
  </si>
  <si>
    <t/>
  </si>
  <si>
    <t>Select or enter values↓</t>
    <phoneticPr fontId="13"/>
  </si>
  <si>
    <t xml:space="preserve">  Vin</t>
    <phoneticPr fontId="13"/>
  </si>
  <si>
    <t>V</t>
    <phoneticPr fontId="13"/>
  </si>
  <si>
    <t>ADAS(High power)</t>
  </si>
  <si>
    <t>Iout</t>
    <phoneticPr fontId="13"/>
  </si>
  <si>
    <t>Vout</t>
    <phoneticPr fontId="13"/>
  </si>
  <si>
    <t>Vin</t>
    <phoneticPr fontId="13"/>
  </si>
  <si>
    <t>Fsw</t>
    <phoneticPr fontId="13"/>
  </si>
  <si>
    <t xml:space="preserve">  Vout</t>
    <phoneticPr fontId="13"/>
  </si>
  <si>
    <t xml:space="preserve">  Mode</t>
    <phoneticPr fontId="13"/>
  </si>
  <si>
    <t xml:space="preserve">  Iout</t>
    <phoneticPr fontId="13"/>
  </si>
  <si>
    <t>A</t>
    <phoneticPr fontId="13"/>
  </si>
  <si>
    <t>Margin</t>
    <phoneticPr fontId="13"/>
  </si>
  <si>
    <t>%</t>
    <phoneticPr fontId="13"/>
  </si>
  <si>
    <t xml:space="preserve">  Fsw</t>
    <phoneticPr fontId="13"/>
  </si>
  <si>
    <t>kHz</t>
    <phoneticPr fontId="13"/>
  </si>
  <si>
    <t xml:space="preserve">  Phase</t>
    <phoneticPr fontId="13"/>
  </si>
  <si>
    <t>ph</t>
    <phoneticPr fontId="13"/>
  </si>
  <si>
    <t xml:space="preserve">  Ripple</t>
    <phoneticPr fontId="13"/>
  </si>
  <si>
    <t xml:space="preserve">  L</t>
    <phoneticPr fontId="13"/>
  </si>
  <si>
    <t>uH</t>
    <phoneticPr fontId="13"/>
  </si>
  <si>
    <t>Consider sat.(x1.3)</t>
  </si>
  <si>
    <t>*130% default</t>
    <phoneticPr fontId="13"/>
  </si>
  <si>
    <t>*70% default</t>
    <phoneticPr fontId="13"/>
  </si>
  <si>
    <t xml:space="preserve">  Temp.</t>
  </si>
  <si>
    <t>℃</t>
  </si>
  <si>
    <t>*LxW x ph</t>
    <phoneticPr fontId="13"/>
  </si>
  <si>
    <t>Panasonic Inductor Proposals</t>
    <phoneticPr fontId="13"/>
  </si>
  <si>
    <t>Size Rough (mm)</t>
  </si>
  <si>
    <t>#</t>
    <phoneticPr fontId="13"/>
  </si>
  <si>
    <t>■</t>
    <phoneticPr fontId="13"/>
  </si>
  <si>
    <t>pcs</t>
    <phoneticPr fontId="13"/>
  </si>
  <si>
    <t>列1</t>
  </si>
  <si>
    <r>
      <t>Total Area* (mm</t>
    </r>
    <r>
      <rPr>
        <b/>
        <vertAlign val="superscript"/>
        <sz val="9"/>
        <color theme="0"/>
        <rFont val="Arial"/>
        <family val="2"/>
      </rPr>
      <t>2</t>
    </r>
    <r>
      <rPr>
        <b/>
        <sz val="9"/>
        <color theme="0"/>
        <rFont val="Arial"/>
        <family val="2"/>
      </rPr>
      <t>)</t>
    </r>
    <phoneticPr fontId="13"/>
  </si>
  <si>
    <t>LxW (mm)</t>
    <phoneticPr fontId="13"/>
  </si>
  <si>
    <t>Method B typ (A)</t>
    <phoneticPr fontId="13"/>
  </si>
  <si>
    <t>Method A typ (A)</t>
    <phoneticPr fontId="13"/>
  </si>
  <si>
    <t xml:space="preserve">
L=-30% 
typ (A) </t>
    <phoneticPr fontId="13"/>
  </si>
  <si>
    <t xml:space="preserve">
L=-20% 
typ (A) </t>
    <phoneticPr fontId="13"/>
  </si>
  <si>
    <t xml:space="preserve">
typ (mΩ)
</t>
    <phoneticPr fontId="13"/>
  </si>
  <si>
    <t xml:space="preserve">
max (mΩ)
</t>
    <phoneticPr fontId="13"/>
  </si>
  <si>
    <t>~</t>
  </si>
  <si>
    <t>Feature</t>
  </si>
  <si>
    <t>列2</t>
  </si>
  <si>
    <t>Ref: http://www4.hcmut.edu.vn/~ndtuyen/Dowload/slva535a.pdf</t>
  </si>
  <si>
    <t>L Value Range List</t>
  </si>
  <si>
    <t>App Picture List</t>
  </si>
  <si>
    <t>閾値</t>
    <rPh sb="0" eb="2">
      <t>シキイチ</t>
    </rPh>
    <phoneticPr fontId="13"/>
  </si>
  <si>
    <t>表示</t>
    <rPh sb="0" eb="2">
      <t>ヒョウジ</t>
    </rPh>
    <phoneticPr fontId="13"/>
  </si>
  <si>
    <t>App Img Lookup</t>
  </si>
  <si>
    <t>Din Info Lookup</t>
  </si>
  <si>
    <t>Din Img Lookup</t>
  </si>
  <si>
    <t>App</t>
  </si>
  <si>
    <t>App Img (Offline)</t>
  </si>
  <si>
    <t>App Info</t>
  </si>
  <si>
    <t>App Img</t>
  </si>
  <si>
    <t>App Info2</t>
  </si>
  <si>
    <t>App Img2</t>
  </si>
  <si>
    <t>Din Info</t>
  </si>
  <si>
    <t>Din Img</t>
  </si>
  <si>
    <t>Din Info2</t>
  </si>
  <si>
    <t>Din img2</t>
  </si>
  <si>
    <t>FYI URL</t>
  </si>
  <si>
    <t>Design</t>
  </si>
  <si>
    <t>Vin</t>
  </si>
  <si>
    <t>Vout</t>
  </si>
  <si>
    <t>Iout</t>
  </si>
  <si>
    <t>Fsw</t>
  </si>
  <si>
    <t>Ph</t>
  </si>
  <si>
    <t>≤    0.1</t>
  </si>
  <si>
    <t>(Select here)</t>
  </si>
  <si>
    <t>https://industrial.panasonic.com/content/data/CP/pictures/custom_made_xev_01.jpg</t>
  </si>
  <si>
    <t>https://industrial.panasonic.com/content/data/CC/pictures/en_pcc_car1.png</t>
  </si>
  <si>
    <t>https://industrial.panasonic.com/ww/products/pt/automotive-inductors</t>
  </si>
  <si>
    <t>≤    0.2</t>
  </si>
  <si>
    <t>https://industrial.panasonic.com/content/data/common/ss-files/tech60-00.png</t>
  </si>
  <si>
    <t>https://upload.wikimedia.org/wikipedia/commons/thumb/e/e7/Tesla_Autopilot_Engaged_in_Model_X.jpg/1280px-Tesla_Autopilot_Engaged_in_Model_X.jpg</t>
  </si>
  <si>
    <t>https://industrial.panasonic.com/jp/ss/technical/ap1</t>
  </si>
  <si>
    <t>≤    0.3</t>
  </si>
  <si>
    <t>ADAS(Low power)</t>
  </si>
  <si>
    <t>https://industrial.panasonic.com/content/data/common/ss-files/tech62-top.jpg</t>
  </si>
  <si>
    <t>https://vayyar.com/auto/technology/60ghz/</t>
  </si>
  <si>
    <t>https://vayyar.com/wp-content/uploads/2021/08/New_Front_2-1024x865.png</t>
  </si>
  <si>
    <t>Rough Size (mm)</t>
  </si>
  <si>
    <t>データの個数 / Maker</t>
  </si>
  <si>
    <t>≤    0.4</t>
  </si>
  <si>
    <t>Infotainment</t>
  </si>
  <si>
    <t>https://industrial.panasonic.com/content/data/ID/pictures/appli_automotive_caravsystem_rwd.jpg</t>
  </si>
  <si>
    <t>https://www.onsemi.jp/design/tools-software/evaluation-board/str-adas-preregulator-gevk</t>
  </si>
  <si>
    <t>https://www.ti.com/tool/PMP30059</t>
  </si>
  <si>
    <t>https://www.ti.com/content/dam/ticom/images/products/design-boards/systems/pds-ace-europe/PMP30059-design-board.JPG:large</t>
  </si>
  <si>
    <t>PMP10594</t>
  </si>
  <si>
    <t>10 x 10</t>
  </si>
  <si>
    <t>≤    0.5</t>
  </si>
  <si>
    <t>Primary DCDC</t>
  </si>
  <si>
    <t>https://industrial.panasonic.com/content/data/common/ss-files/tech53-02_ww.png</t>
  </si>
  <si>
    <t>https://www.renesas.com/us/en/products/automotive-products/automotive-power-management/automotive-multiple-output-controllers/isl78263-automotive-42v-dual-synchronous-boost-and-low-iq-buck-controllers-integrated-drivers</t>
    <phoneticPr fontId="1"/>
  </si>
  <si>
    <t>https://www.mouser.cn/images/marketingid/2020/img/108757013.png</t>
  </si>
  <si>
    <t>https://www.digikey.fi/en/products/detail/analog-devices-inc/DC2738A/9809406?</t>
  </si>
  <si>
    <t>https://industrial.panasonic.com/ww/ss/technical/lc5</t>
  </si>
  <si>
    <t>ISL78263EVAL1Z</t>
  </si>
  <si>
    <t>≤    0.6</t>
  </si>
  <si>
    <t>USB PD</t>
  </si>
  <si>
    <t>https://industrial.panasonic.com/content/data/common/ss-files/tech35-10.png</t>
  </si>
  <si>
    <t>https://media.rs-online.com/t_large/R1859636-01.jpg</t>
  </si>
  <si>
    <t>https://www.onsemi.jp/design/tools-software/evaluation-board/str-usbc-2port-100w-evk</t>
  </si>
  <si>
    <t>https://www.onsemi.jp/site/images/STR-USBC-2PORT-100W-EVK.gif</t>
  </si>
  <si>
    <t>https://industrial.panasonic.com/jp/ss/technical/p5</t>
  </si>
  <si>
    <t>STR-USBC-2PORT-100W-EVK</t>
  </si>
  <si>
    <t>12 x 12</t>
  </si>
  <si>
    <t>≤    0.7</t>
  </si>
  <si>
    <t>LED</t>
  </si>
  <si>
    <t>https://encrypted-tbn0.gstatic.com/images?q=tbn:ANd9GcSMZlEXv7IM3HZ1_qdbP2OIpmkb2lKs6WvZCg&amp;usqp=CAU</t>
  </si>
  <si>
    <t>https://industrial.panasonic.com/content/data/CP/pictures/almi-app01-01b.jpg</t>
  </si>
  <si>
    <t>https://www.ti.com/tool/en-us/LM3414HVSDEVAL</t>
  </si>
  <si>
    <t>https://www.ti.com/content/dam/ticom/images/products/ic/power-management/led-driver/boards/lm3414hvsdevalnopb-top.png</t>
  </si>
  <si>
    <t>LM3414HVSDEVAL</t>
  </si>
  <si>
    <t>≤    0.8</t>
  </si>
  <si>
    <t>14 x 14</t>
  </si>
  <si>
    <t>≤    0.9</t>
  </si>
  <si>
    <t>_5 x 5</t>
  </si>
  <si>
    <t>≤   1</t>
  </si>
  <si>
    <t>_6 x 6</t>
  </si>
  <si>
    <t>≤   2</t>
  </si>
  <si>
    <t>↓ここから3桁目0以下切り捨て</t>
    <rPh sb="6" eb="7">
      <t>ケタ</t>
    </rPh>
    <rPh sb="7" eb="8">
      <t>メ</t>
    </rPh>
    <rPh sb="9" eb="11">
      <t>イカ</t>
    </rPh>
    <rPh sb="11" eb="12">
      <t>キ</t>
    </rPh>
    <rPh sb="13" eb="14">
      <t>ス</t>
    </rPh>
    <phoneticPr fontId="13"/>
  </si>
  <si>
    <t>≤   3</t>
  </si>
  <si>
    <t>_8 x 8</t>
  </si>
  <si>
    <t>≤   4</t>
  </si>
  <si>
    <t>_7 x 7</t>
  </si>
  <si>
    <t>≤   5</t>
  </si>
  <si>
    <t>≤   6</t>
  </si>
  <si>
    <t>15 x 15</t>
  </si>
  <si>
    <t>≤   7</t>
  </si>
  <si>
    <t>総計</t>
  </si>
  <si>
    <t>≤   8</t>
  </si>
  <si>
    <t>≤   9</t>
  </si>
  <si>
    <t>≤  10</t>
  </si>
  <si>
    <t>≤  20</t>
  </si>
  <si>
    <t>≤  30</t>
  </si>
  <si>
    <t>≤  40</t>
  </si>
  <si>
    <t>≤  50</t>
  </si>
  <si>
    <t>≤  60</t>
  </si>
  <si>
    <t>≤  70</t>
  </si>
  <si>
    <t>≤  80</t>
  </si>
  <si>
    <t>≤  90</t>
  </si>
  <si>
    <t>≤ 100</t>
    <phoneticPr fontId="13"/>
  </si>
  <si>
    <t>≤ 200</t>
    <phoneticPr fontId="13"/>
  </si>
  <si>
    <t>≤ 300</t>
    <phoneticPr fontId="13"/>
  </si>
  <si>
    <t>≤ 400</t>
    <phoneticPr fontId="13"/>
  </si>
  <si>
    <t>≤ 500</t>
    <phoneticPr fontId="13"/>
  </si>
  <si>
    <t>≤ 600</t>
    <phoneticPr fontId="13"/>
  </si>
  <si>
    <t>≤ 700</t>
    <phoneticPr fontId="13"/>
  </si>
  <si>
    <t>≤ 800</t>
    <phoneticPr fontId="13"/>
  </si>
  <si>
    <t>≤ 900</t>
    <phoneticPr fontId="13"/>
  </si>
  <si>
    <t>≤1000</t>
    <phoneticPr fontId="13"/>
  </si>
  <si>
    <t>≤2000</t>
    <phoneticPr fontId="13"/>
  </si>
  <si>
    <t>≤3000</t>
    <phoneticPr fontId="13"/>
  </si>
  <si>
    <t>&lt;Display&gt;</t>
  </si>
  <si>
    <t>＜電流波形グラフ＞</t>
    <rPh sb="1" eb="3">
      <t>デンリュウ</t>
    </rPh>
    <rPh sb="3" eb="5">
      <t>ハケイ</t>
    </rPh>
    <phoneticPr fontId="1"/>
  </si>
  <si>
    <t>リンクされた図として凡例的にグラフ内に配置</t>
  </si>
  <si>
    <t>↓</t>
  </si>
  <si>
    <t>Calc L value</t>
  </si>
  <si>
    <t>Topo</t>
  </si>
  <si>
    <t>Duty</t>
  </si>
  <si>
    <t>fIpeak</t>
  </si>
  <si>
    <t>Idc</t>
  </si>
  <si>
    <t>Iac</t>
  </si>
  <si>
    <t>Iac rms</t>
  </si>
  <si>
    <t>Ipeak</t>
  </si>
  <si>
    <t>Δt=1/swf</t>
    <phoneticPr fontId="1"/>
  </si>
  <si>
    <t>t [us]</t>
    <phoneticPr fontId="1"/>
  </si>
  <si>
    <t>1.Buck</t>
  </si>
  <si>
    <t>2.Boost</t>
  </si>
  <si>
    <t>3.Buck-boost</t>
  </si>
  <si>
    <t>Selected Topology</t>
  </si>
  <si>
    <t>1or2or3</t>
  </si>
  <si>
    <t>&lt;Filtered PNs&gt;</t>
  </si>
  <si>
    <t>&lt;Filtered PNs Current Caluc&gt;</t>
  </si>
  <si>
    <t>＜鉄損計算＞</t>
  </si>
  <si>
    <t>＜銅損計算＞</t>
    <rPh sb="1" eb="2">
      <t>ドウ</t>
    </rPh>
    <rPh sb="2" eb="3">
      <t>ソン</t>
    </rPh>
    <rPh sb="3" eb="5">
      <t>ケイサン</t>
    </rPh>
    <phoneticPr fontId="1"/>
  </si>
  <si>
    <t>＜トータル損計算＞</t>
  </si>
  <si>
    <t>＜温度上昇＞</t>
    <rPh sb="1" eb="3">
      <t>オンド</t>
    </rPh>
    <rPh sb="3" eb="5">
      <t>ジョウショウ</t>
    </rPh>
    <phoneticPr fontId="1"/>
  </si>
  <si>
    <t>・部品品番と項目(鉄損係数6次など)を使用して、INDEX，MATCH関数でデータライブラリより各係数値を検索して、計算に使用</t>
    <rPh sb="1" eb="3">
      <t>ブヒン</t>
    </rPh>
    <rPh sb="3" eb="5">
      <t>ヒンバン</t>
    </rPh>
    <rPh sb="6" eb="8">
      <t>コウモク</t>
    </rPh>
    <rPh sb="9" eb="10">
      <t>テツ</t>
    </rPh>
    <rPh sb="10" eb="11">
      <t>ソン</t>
    </rPh>
    <rPh sb="11" eb="13">
      <t>ケイスウ</t>
    </rPh>
    <rPh sb="14" eb="15">
      <t>ジ</t>
    </rPh>
    <rPh sb="19" eb="21">
      <t>シヨウ</t>
    </rPh>
    <rPh sb="35" eb="37">
      <t>カンスウ</t>
    </rPh>
    <rPh sb="48" eb="49">
      <t>カク</t>
    </rPh>
    <rPh sb="49" eb="51">
      <t>ケイスウ</t>
    </rPh>
    <rPh sb="51" eb="52">
      <t>チ</t>
    </rPh>
    <rPh sb="53" eb="55">
      <t>ケンサク</t>
    </rPh>
    <rPh sb="58" eb="60">
      <t>ケイサン</t>
    </rPh>
    <rPh sb="61" eb="63">
      <t>シヨウ</t>
    </rPh>
    <phoneticPr fontId="1"/>
  </si>
  <si>
    <t>・部品品番と項目(銅損係数6次など)を使用して、INDEX，MATCH関数でデータライブラリより各係数値を検索して、計算に使用</t>
    <rPh sb="1" eb="3">
      <t>ブヒン</t>
    </rPh>
    <rPh sb="3" eb="5">
      <t>ヒンバン</t>
    </rPh>
    <rPh sb="6" eb="8">
      <t>コウモク</t>
    </rPh>
    <rPh sb="9" eb="10">
      <t>ドウ</t>
    </rPh>
    <rPh sb="10" eb="11">
      <t>ソン</t>
    </rPh>
    <rPh sb="11" eb="13">
      <t>ケイスウ</t>
    </rPh>
    <rPh sb="14" eb="15">
      <t>ジ</t>
    </rPh>
    <rPh sb="19" eb="21">
      <t>シヨウ</t>
    </rPh>
    <rPh sb="35" eb="37">
      <t>カンスウ</t>
    </rPh>
    <rPh sb="48" eb="49">
      <t>カク</t>
    </rPh>
    <rPh sb="49" eb="51">
      <t>ケイスウ</t>
    </rPh>
    <rPh sb="51" eb="52">
      <t>チ</t>
    </rPh>
    <rPh sb="53" eb="55">
      <t>ケンサク</t>
    </rPh>
    <rPh sb="58" eb="60">
      <t>ケイサン</t>
    </rPh>
    <rPh sb="61" eb="63">
      <t>シヨウ</t>
    </rPh>
    <phoneticPr fontId="1"/>
  </si>
  <si>
    <t>・IF関数を使用して、入力されたSW周波数に応じて選択したRを選択し、Rdc分を減算</t>
    <rPh sb="3" eb="5">
      <t>カンスウ</t>
    </rPh>
    <rPh sb="6" eb="8">
      <t>シヨウ</t>
    </rPh>
    <rPh sb="11" eb="13">
      <t>ニュウリョク</t>
    </rPh>
    <rPh sb="18" eb="21">
      <t>シュウハスウ</t>
    </rPh>
    <rPh sb="22" eb="23">
      <t>オウ</t>
    </rPh>
    <rPh sb="25" eb="27">
      <t>センタク</t>
    </rPh>
    <rPh sb="31" eb="33">
      <t>センタク</t>
    </rPh>
    <rPh sb="38" eb="39">
      <t>ブン</t>
    </rPh>
    <rPh sb="40" eb="42">
      <t>ゲンサン</t>
    </rPh>
    <phoneticPr fontId="1"/>
  </si>
  <si>
    <t>・下記の式で銅損電力を計算</t>
    <phoneticPr fontId="1"/>
  </si>
  <si>
    <t>・上記の式で損出による温度上昇を計算</t>
    <rPh sb="1" eb="3">
      <t>ジョウキ</t>
    </rPh>
    <rPh sb="4" eb="5">
      <t>シキ</t>
    </rPh>
    <rPh sb="6" eb="7">
      <t>ソン</t>
    </rPh>
    <rPh sb="7" eb="8">
      <t>シュツ</t>
    </rPh>
    <rPh sb="11" eb="13">
      <t>オンド</t>
    </rPh>
    <rPh sb="13" eb="15">
      <t>ジョウショウ</t>
    </rPh>
    <rPh sb="16" eb="18">
      <t>ケイサン</t>
    </rPh>
    <phoneticPr fontId="1"/>
  </si>
  <si>
    <t>・swfが600kHz以上と、600kHz未満の両方を計算</t>
    <rPh sb="11" eb="13">
      <t>イジョウ</t>
    </rPh>
    <rPh sb="21" eb="23">
      <t>ミマン</t>
    </rPh>
    <rPh sb="24" eb="26">
      <t>リョウホウ</t>
    </rPh>
    <rPh sb="27" eb="29">
      <t>ケイサン</t>
    </rPh>
    <phoneticPr fontId="1"/>
  </si>
  <si>
    <t>・表の黄色にハイライトした内容を｢入力条件&amp;結果表示｣sheetに結果として表示</t>
    <rPh sb="1" eb="2">
      <t>ヒョウ</t>
    </rPh>
    <rPh sb="3" eb="5">
      <t>キイロ</t>
    </rPh>
    <rPh sb="13" eb="15">
      <t>ナイヨウ</t>
    </rPh>
    <rPh sb="33" eb="35">
      <t>ケッカ</t>
    </rPh>
    <rPh sb="38" eb="40">
      <t>ヒョウジ</t>
    </rPh>
    <phoneticPr fontId="1"/>
  </si>
  <si>
    <t>Temp. rise = (Pcore + Pdc + Pac) * 温度係数(4層 t=1.6)</t>
    <rPh sb="35" eb="37">
      <t>オンド</t>
    </rPh>
    <rPh sb="37" eb="39">
      <t>ケイスウ</t>
    </rPh>
    <rPh sb="41" eb="42">
      <t>ソウ</t>
    </rPh>
    <phoneticPr fontId="1"/>
  </si>
  <si>
    <t>Pcore=(鉄損係数⑥*Duty^6 + 鉄損係数⑤*Duty^5 + 鉄損係数④*Duty^4 + 鉄損係数③*Duty^3 + 鉄損係数②*Duty^2 + 鉄損係数①*Duty + 鉄損係数)*fsw^f係数 * Iac^ΔI係数</t>
    <rPh sb="7" eb="8">
      <t>テツ</t>
    </rPh>
    <rPh sb="8" eb="9">
      <t>ソン</t>
    </rPh>
    <rPh sb="9" eb="11">
      <t>ケイスウ</t>
    </rPh>
    <rPh sb="22" eb="23">
      <t>テツ</t>
    </rPh>
    <rPh sb="23" eb="24">
      <t>ソン</t>
    </rPh>
    <rPh sb="24" eb="26">
      <t>ケイスウ</t>
    </rPh>
    <rPh sb="37" eb="38">
      <t>テツ</t>
    </rPh>
    <rPh sb="38" eb="39">
      <t>ソン</t>
    </rPh>
    <rPh sb="39" eb="41">
      <t>ケイスウ</t>
    </rPh>
    <rPh sb="52" eb="53">
      <t>テツ</t>
    </rPh>
    <rPh sb="53" eb="54">
      <t>ソン</t>
    </rPh>
    <rPh sb="54" eb="56">
      <t>ケイスウ</t>
    </rPh>
    <rPh sb="67" eb="68">
      <t>テツ</t>
    </rPh>
    <rPh sb="68" eb="69">
      <t>ソン</t>
    </rPh>
    <rPh sb="69" eb="71">
      <t>ケイスウ</t>
    </rPh>
    <rPh sb="82" eb="83">
      <t>テツ</t>
    </rPh>
    <rPh sb="83" eb="84">
      <t>ソン</t>
    </rPh>
    <rPh sb="84" eb="86">
      <t>ケイスウ</t>
    </rPh>
    <rPh sb="95" eb="96">
      <t>テツ</t>
    </rPh>
    <rPh sb="96" eb="97">
      <t>ソン</t>
    </rPh>
    <rPh sb="97" eb="99">
      <t>ケイスウ</t>
    </rPh>
    <rPh sb="106" eb="108">
      <t>ケイスウ</t>
    </rPh>
    <rPh sb="117" eb="119">
      <t>ケイスウ</t>
    </rPh>
    <phoneticPr fontId="1"/>
  </si>
  <si>
    <t>R=銅損係数⑥*swf^6 + 銅損係数⑤*swf^5 + 銅損係数④*swf^4 + 銅損係数③*swf^3 + 銅損係数②*swf^2 + 銅損係数①*swfy + 銅損係数</t>
    <rPh sb="2" eb="3">
      <t>ドウ</t>
    </rPh>
    <rPh sb="3" eb="4">
      <t>ソン</t>
    </rPh>
    <rPh sb="4" eb="6">
      <t>ケイスウ</t>
    </rPh>
    <rPh sb="16" eb="17">
      <t>ドウ</t>
    </rPh>
    <rPh sb="17" eb="18">
      <t>ソン</t>
    </rPh>
    <rPh sb="18" eb="20">
      <t>ケイスウ</t>
    </rPh>
    <rPh sb="30" eb="31">
      <t>ドウ</t>
    </rPh>
    <rPh sb="31" eb="32">
      <t>ソン</t>
    </rPh>
    <rPh sb="32" eb="34">
      <t>ケイスウ</t>
    </rPh>
    <rPh sb="44" eb="45">
      <t>ドウ</t>
    </rPh>
    <rPh sb="45" eb="46">
      <t>ソン</t>
    </rPh>
    <rPh sb="46" eb="48">
      <t>ケイスウ</t>
    </rPh>
    <rPh sb="58" eb="59">
      <t>ドウ</t>
    </rPh>
    <rPh sb="59" eb="60">
      <t>ソン</t>
    </rPh>
    <rPh sb="60" eb="62">
      <t>ケイスウ</t>
    </rPh>
    <rPh sb="72" eb="73">
      <t>ドウ</t>
    </rPh>
    <rPh sb="73" eb="74">
      <t>ソン</t>
    </rPh>
    <rPh sb="74" eb="76">
      <t>ケイスウ</t>
    </rPh>
    <rPh sb="85" eb="86">
      <t>ドウ</t>
    </rPh>
    <rPh sb="86" eb="87">
      <t>ソン</t>
    </rPh>
    <rPh sb="87" eb="89">
      <t>ケイスウ</t>
    </rPh>
    <phoneticPr fontId="1"/>
  </si>
  <si>
    <t>Rdc=Rdc@20*(1+0.00393*(周囲温度-20))</t>
    <rPh sb="23" eb="25">
      <t>シュウイ</t>
    </rPh>
    <rPh sb="25" eb="27">
      <t>オンド</t>
    </rPh>
    <phoneticPr fontId="1"/>
  </si>
  <si>
    <t>swfで選択したR - Rdc分</t>
    <rPh sb="4" eb="6">
      <t>センタク</t>
    </rPh>
    <rPh sb="15" eb="16">
      <t>ブン</t>
    </rPh>
    <phoneticPr fontId="1"/>
  </si>
  <si>
    <t>Pdc=Rdc*(Idc+Iac rms)^2</t>
    <phoneticPr fontId="1"/>
  </si>
  <si>
    <t>Pac=Rac*Iac rms^2</t>
    <phoneticPr fontId="1"/>
  </si>
  <si>
    <t>Ptotal=Pcore+Pdc+Pac</t>
    <phoneticPr fontId="1"/>
  </si>
  <si>
    <t>Rdc of surface temp.=Rdc@20degC*(1+0.00393*(surface temp.-20))</t>
    <phoneticPr fontId="1"/>
  </si>
  <si>
    <t>Pdc of surface Temp.= Rdc of surface temp. * (Idc+Iac rms)^2</t>
    <phoneticPr fontId="1"/>
  </si>
  <si>
    <t>1</t>
  </si>
  <si>
    <t>2</t>
  </si>
  <si>
    <t>3</t>
  </si>
  <si>
    <t>Topology選択によって違う</t>
  </si>
  <si>
    <t>Real L value</t>
  </si>
  <si>
    <t>Buck</t>
  </si>
  <si>
    <t>Boost</t>
  </si>
  <si>
    <t>Buck-boost</t>
  </si>
  <si>
    <t>swf：600kHz以上</t>
    <rPh sb="10" eb="12">
      <t>イジョウ</t>
    </rPh>
    <phoneticPr fontId="1"/>
  </si>
  <si>
    <t>swf：600kHz未満</t>
    <rPh sb="10" eb="12">
      <t>ミマン</t>
    </rPh>
    <phoneticPr fontId="1"/>
  </si>
  <si>
    <t>Temp. rise</t>
  </si>
  <si>
    <t>Surface
Temp.</t>
  </si>
  <si>
    <t>Rdc of 
surface
temp.</t>
  </si>
  <si>
    <t>Pdc of
surface
tepm.</t>
  </si>
  <si>
    <t>Duty Buck</t>
  </si>
  <si>
    <t>fIpeak Buck</t>
  </si>
  <si>
    <t>Idc Buck</t>
  </si>
  <si>
    <t>Iac Buck</t>
  </si>
  <si>
    <t>Iac rms Buck</t>
  </si>
  <si>
    <t>Duty Boost</t>
  </si>
  <si>
    <t>fIpeak Boost</t>
  </si>
  <si>
    <t>Idc Boost</t>
  </si>
  <si>
    <t>Iac Boost</t>
  </si>
  <si>
    <t>Iac rms Boost</t>
  </si>
  <si>
    <t>Duty B-B</t>
  </si>
  <si>
    <t>fIpeak B-B</t>
  </si>
  <si>
    <t>Idc B-B</t>
  </si>
  <si>
    <t>Iac B-B</t>
  </si>
  <si>
    <t>Iac rms B-B</t>
  </si>
  <si>
    <t>Duty</t>
    <phoneticPr fontId="1"/>
  </si>
  <si>
    <t>鉄損係数6次</t>
    <rPh sb="0" eb="1">
      <t>テツ</t>
    </rPh>
    <rPh sb="1" eb="2">
      <t>ソン</t>
    </rPh>
    <rPh sb="2" eb="4">
      <t>ケイスウ</t>
    </rPh>
    <rPh sb="5" eb="6">
      <t>ジ</t>
    </rPh>
    <phoneticPr fontId="1"/>
  </si>
  <si>
    <t>鉄損係数5次</t>
    <rPh sb="0" eb="1">
      <t>テツ</t>
    </rPh>
    <rPh sb="1" eb="2">
      <t>ソン</t>
    </rPh>
    <rPh sb="2" eb="4">
      <t>ケイスウ</t>
    </rPh>
    <rPh sb="5" eb="6">
      <t>ジ</t>
    </rPh>
    <phoneticPr fontId="1"/>
  </si>
  <si>
    <t>鉄損係数4次</t>
    <rPh sb="0" eb="1">
      <t>テツ</t>
    </rPh>
    <rPh sb="1" eb="2">
      <t>ソン</t>
    </rPh>
    <rPh sb="2" eb="4">
      <t>ケイスウ</t>
    </rPh>
    <rPh sb="5" eb="6">
      <t>ジ</t>
    </rPh>
    <phoneticPr fontId="1"/>
  </si>
  <si>
    <t>鉄損係数3次</t>
    <rPh sb="0" eb="1">
      <t>テツ</t>
    </rPh>
    <rPh sb="1" eb="2">
      <t>ソン</t>
    </rPh>
    <rPh sb="2" eb="4">
      <t>ケイスウ</t>
    </rPh>
    <rPh sb="5" eb="6">
      <t>ジ</t>
    </rPh>
    <phoneticPr fontId="1"/>
  </si>
  <si>
    <t>鉄損係数2次</t>
    <rPh sb="0" eb="1">
      <t>テツ</t>
    </rPh>
    <rPh sb="1" eb="2">
      <t>ソン</t>
    </rPh>
    <rPh sb="2" eb="4">
      <t>ケイスウ</t>
    </rPh>
    <rPh sb="5" eb="6">
      <t>ジ</t>
    </rPh>
    <phoneticPr fontId="1"/>
  </si>
  <si>
    <t>鉄損係数1次</t>
    <rPh sb="0" eb="1">
      <t>テツ</t>
    </rPh>
    <rPh sb="1" eb="2">
      <t>ソン</t>
    </rPh>
    <rPh sb="2" eb="4">
      <t>ケイスウ</t>
    </rPh>
    <rPh sb="5" eb="6">
      <t>ジ</t>
    </rPh>
    <phoneticPr fontId="1"/>
  </si>
  <si>
    <t>鉄損係数0次</t>
    <rPh sb="0" eb="1">
      <t>テツ</t>
    </rPh>
    <rPh sb="1" eb="2">
      <t>ソン</t>
    </rPh>
    <rPh sb="2" eb="4">
      <t>ケイスウ</t>
    </rPh>
    <rPh sb="5" eb="6">
      <t>ジ</t>
    </rPh>
    <phoneticPr fontId="1"/>
  </si>
  <si>
    <t>ｆ</t>
    <phoneticPr fontId="1"/>
  </si>
  <si>
    <t>f係数</t>
    <rPh sb="1" eb="3">
      <t>ケイスウ</t>
    </rPh>
    <phoneticPr fontId="1"/>
  </si>
  <si>
    <t>Iac</t>
    <phoneticPr fontId="1"/>
  </si>
  <si>
    <t>Iac係数</t>
    <rPh sb="3" eb="5">
      <t>ケイスウ</t>
    </rPh>
    <phoneticPr fontId="1"/>
  </si>
  <si>
    <t>Pcore</t>
    <phoneticPr fontId="1"/>
  </si>
  <si>
    <t>swf</t>
    <phoneticPr fontId="1"/>
  </si>
  <si>
    <t>銅損係数6次</t>
    <rPh sb="0" eb="1">
      <t>ドウ</t>
    </rPh>
    <rPh sb="1" eb="2">
      <t>ソン</t>
    </rPh>
    <rPh sb="2" eb="4">
      <t>ケイスウ</t>
    </rPh>
    <rPh sb="5" eb="6">
      <t>ジ</t>
    </rPh>
    <phoneticPr fontId="1"/>
  </si>
  <si>
    <t>銅損係数5次</t>
    <rPh sb="0" eb="1">
      <t>ドウ</t>
    </rPh>
    <rPh sb="1" eb="2">
      <t>ソン</t>
    </rPh>
    <rPh sb="2" eb="4">
      <t>ケイスウ</t>
    </rPh>
    <rPh sb="5" eb="6">
      <t>ジ</t>
    </rPh>
    <phoneticPr fontId="1"/>
  </si>
  <si>
    <t>銅損係数4次</t>
    <rPh sb="0" eb="1">
      <t>ドウ</t>
    </rPh>
    <rPh sb="1" eb="2">
      <t>ソン</t>
    </rPh>
    <rPh sb="2" eb="4">
      <t>ケイスウ</t>
    </rPh>
    <rPh sb="5" eb="6">
      <t>ジ</t>
    </rPh>
    <phoneticPr fontId="1"/>
  </si>
  <si>
    <t>銅損係数3次</t>
    <rPh sb="0" eb="1">
      <t>ドウ</t>
    </rPh>
    <rPh sb="1" eb="2">
      <t>ソン</t>
    </rPh>
    <rPh sb="2" eb="4">
      <t>ケイスウ</t>
    </rPh>
    <rPh sb="5" eb="6">
      <t>ジ</t>
    </rPh>
    <phoneticPr fontId="1"/>
  </si>
  <si>
    <t>銅損係数2次</t>
    <rPh sb="0" eb="1">
      <t>ドウ</t>
    </rPh>
    <rPh sb="1" eb="2">
      <t>ソン</t>
    </rPh>
    <rPh sb="2" eb="4">
      <t>ケイスウ</t>
    </rPh>
    <rPh sb="5" eb="6">
      <t>ジ</t>
    </rPh>
    <phoneticPr fontId="1"/>
  </si>
  <si>
    <t>銅損係数1次</t>
    <rPh sb="0" eb="1">
      <t>ドウ</t>
    </rPh>
    <rPh sb="1" eb="2">
      <t>ソン</t>
    </rPh>
    <rPh sb="2" eb="4">
      <t>ケイスウ</t>
    </rPh>
    <rPh sb="5" eb="6">
      <t>ジ</t>
    </rPh>
    <phoneticPr fontId="1"/>
  </si>
  <si>
    <t>銅損係数0次</t>
    <rPh sb="0" eb="1">
      <t>ドウ</t>
    </rPh>
    <rPh sb="1" eb="2">
      <t>ソン</t>
    </rPh>
    <rPh sb="2" eb="4">
      <t>ケイスウ</t>
    </rPh>
    <rPh sb="5" eb="6">
      <t>ジ</t>
    </rPh>
    <phoneticPr fontId="1"/>
  </si>
  <si>
    <t>R：swf 600kHz以上</t>
    <rPh sb="12" eb="14">
      <t>イジョウ</t>
    </rPh>
    <phoneticPr fontId="1"/>
  </si>
  <si>
    <t>R：swf 600kHz未満</t>
    <rPh sb="12" eb="14">
      <t>ミマン</t>
    </rPh>
    <phoneticPr fontId="1"/>
  </si>
  <si>
    <t>Rdc@20degC</t>
  </si>
  <si>
    <t>周囲温度</t>
    <rPh sb="0" eb="2">
      <t>シュウイ</t>
    </rPh>
    <rPh sb="2" eb="4">
      <t>オンド</t>
    </rPh>
    <phoneticPr fontId="1"/>
  </si>
  <si>
    <t>Rdc@周囲温度</t>
    <rPh sb="4" eb="6">
      <t>シュウイ</t>
    </rPh>
    <rPh sb="6" eb="8">
      <t>オンド</t>
    </rPh>
    <phoneticPr fontId="1"/>
  </si>
  <si>
    <t>Rac</t>
    <phoneticPr fontId="1"/>
  </si>
  <si>
    <t>Pdc</t>
    <phoneticPr fontId="1"/>
  </si>
  <si>
    <t>Pac</t>
    <phoneticPr fontId="1"/>
  </si>
  <si>
    <t>Ptotal</t>
    <phoneticPr fontId="1"/>
  </si>
  <si>
    <t>温度係数(4層_t=1.6)</t>
    <rPh sb="0" eb="2">
      <t>オンド</t>
    </rPh>
    <rPh sb="2" eb="4">
      <t>ケイスウ</t>
    </rPh>
    <rPh sb="6" eb="7">
      <t>ソウ</t>
    </rPh>
    <phoneticPr fontId="1"/>
  </si>
  <si>
    <t>step1</t>
  </si>
  <si>
    <t>step2</t>
  </si>
  <si>
    <t>step3</t>
  </si>
  <si>
    <t>step4</t>
  </si>
  <si>
    <t>Ptotal (after Temp rise)</t>
  </si>
  <si>
    <t>Temp rise</t>
    <phoneticPr fontId="1"/>
  </si>
  <si>
    <t>Surface Temp.</t>
    <phoneticPr fontId="1"/>
  </si>
  <si>
    <t>ohm</t>
    <phoneticPr fontId="1"/>
  </si>
  <si>
    <t>新 (全ての品番に共通するようになっていた)↓下記$AO$2で関数参照する。</t>
    <rPh sb="0" eb="1">
      <t>シン</t>
    </rPh>
    <rPh sb="3" eb="4">
      <t>スベ</t>
    </rPh>
    <rPh sb="6" eb="8">
      <t>ヒンバン</t>
    </rPh>
    <rPh sb="9" eb="11">
      <t>キョウツウ</t>
    </rPh>
    <rPh sb="23" eb="25">
      <t>カキ</t>
    </rPh>
    <rPh sb="31" eb="33">
      <t>カンスウ</t>
    </rPh>
    <rPh sb="33" eb="35">
      <t>サンショウ</t>
    </rPh>
    <phoneticPr fontId="13"/>
  </si>
  <si>
    <t>https://industrial.panasonic.com/ww/products/inductors/automotive-inductors/automotive-inductors/models/</t>
    <phoneticPr fontId="13"/>
  </si>
  <si>
    <r>
      <t>L</t>
    </r>
    <r>
      <rPr>
        <sz val="11"/>
        <color theme="1"/>
        <rFont val="ＭＳ ゴシック"/>
        <family val="3"/>
        <charset val="128"/>
      </rPr>
      <t>範囲と</t>
    </r>
    <r>
      <rPr>
        <sz val="11"/>
        <color theme="1"/>
        <rFont val="Arial"/>
        <family val="2"/>
      </rPr>
      <t>I</t>
    </r>
    <r>
      <rPr>
        <sz val="11"/>
        <color theme="1"/>
        <rFont val="ＭＳ ゴシック"/>
        <family val="3"/>
        <charset val="128"/>
      </rPr>
      <t>範囲で表示絞る</t>
    </r>
    <r>
      <rPr>
        <sz val="11"/>
        <color theme="1"/>
        <rFont val="Arial"/>
        <family val="3"/>
      </rPr>
      <t xml:space="preserve"> </t>
    </r>
    <r>
      <rPr>
        <sz val="11"/>
        <color theme="1"/>
        <rFont val="ＭＳ ゴシック"/>
        <family val="3"/>
        <charset val="128"/>
      </rPr>
      <t>…却下。</t>
    </r>
    <r>
      <rPr>
        <sz val="11"/>
        <color theme="1"/>
        <rFont val="Arial"/>
        <family val="2"/>
      </rPr>
      <t>L</t>
    </r>
    <r>
      <rPr>
        <sz val="11"/>
        <color theme="1"/>
        <rFont val="ＭＳ ゴシック"/>
        <family val="3"/>
        <charset val="128"/>
      </rPr>
      <t>値が何も出ないと気付きが得られない。条件書式設定で</t>
    </r>
    <r>
      <rPr>
        <sz val="11"/>
        <color theme="1"/>
        <rFont val="Arial"/>
        <family val="2"/>
      </rPr>
      <t>NG</t>
    </r>
    <r>
      <rPr>
        <sz val="11"/>
        <color theme="1"/>
        <rFont val="ＭＳ ゴシック"/>
        <family val="3"/>
        <charset val="128"/>
      </rPr>
      <t>を示す。</t>
    </r>
    <rPh sb="1" eb="3">
      <t>ハンイ</t>
    </rPh>
    <rPh sb="5" eb="7">
      <t>ハンイ</t>
    </rPh>
    <rPh sb="8" eb="11">
      <t>ヒョウジシボ</t>
    </rPh>
    <rPh sb="14" eb="16">
      <t>キャッカ</t>
    </rPh>
    <rPh sb="18" eb="19">
      <t>チ</t>
    </rPh>
    <rPh sb="20" eb="21">
      <t>ナニ</t>
    </rPh>
    <rPh sb="22" eb="23">
      <t>デ</t>
    </rPh>
    <rPh sb="26" eb="28">
      <t>キヅ</t>
    </rPh>
    <rPh sb="30" eb="31">
      <t>エ</t>
    </rPh>
    <rPh sb="36" eb="38">
      <t>ジョウケン</t>
    </rPh>
    <rPh sb="38" eb="42">
      <t>ショシキセッテイ</t>
    </rPh>
    <rPh sb="46" eb="47">
      <t>シメ</t>
    </rPh>
    <phoneticPr fontId="13"/>
  </si>
  <si>
    <t>Mode</t>
    <phoneticPr fontId="13"/>
  </si>
  <si>
    <t>=IF(Q11&gt;='DCDC Ref'!$J$29*'DCDC Ref'!$J$30/100,0,
IF(Q11&lt;='DCDC Ref'!$J$29*'DCDC Ref'!$J$31/100,0,
IF(X11&lt;('DCDC Ref'!$J$24/'DCDC Ref'!$J$27)*'DCDC Ref'!$J$25/100,0,1)))</t>
    <phoneticPr fontId="13"/>
  </si>
  <si>
    <r>
      <t>I</t>
    </r>
    <r>
      <rPr>
        <sz val="11"/>
        <color theme="1"/>
        <rFont val="ＭＳ Ｐゴシック"/>
        <family val="2"/>
        <charset val="128"/>
      </rPr>
      <t>範囲で表示絞る</t>
    </r>
    <r>
      <rPr>
        <sz val="11"/>
        <color theme="1"/>
        <rFont val="Arial"/>
        <family val="2"/>
      </rPr>
      <t xml:space="preserve"> </t>
    </r>
    <r>
      <rPr>
        <sz val="11"/>
        <color theme="1"/>
        <rFont val="ＭＳ Ｐゴシック"/>
        <family val="2"/>
        <charset val="128"/>
      </rPr>
      <t>…適用中。多少</t>
    </r>
    <r>
      <rPr>
        <sz val="11"/>
        <color theme="1"/>
        <rFont val="Arial"/>
        <family val="2"/>
      </rPr>
      <t>L</t>
    </r>
    <r>
      <rPr>
        <sz val="11"/>
        <color theme="1"/>
        <rFont val="ＭＳ Ｐゴシック"/>
        <family val="2"/>
        <charset val="128"/>
      </rPr>
      <t>ずれてもいいが、電流値は必須要件。</t>
    </r>
    <rPh sb="1" eb="3">
      <t>ハンイ</t>
    </rPh>
    <rPh sb="4" eb="7">
      <t>ヒョウジシボ</t>
    </rPh>
    <rPh sb="10" eb="13">
      <t>テキヨウチュウ</t>
    </rPh>
    <rPh sb="14" eb="16">
      <t>タショウ</t>
    </rPh>
    <rPh sb="25" eb="28">
      <t>デンリュウチ</t>
    </rPh>
    <rPh sb="29" eb="31">
      <t>ヒッス</t>
    </rPh>
    <rPh sb="31" eb="33">
      <t>ヨウケン</t>
    </rPh>
    <phoneticPr fontId="13"/>
  </si>
  <si>
    <t>=IF(X11&lt;('DCDC Ref'!$J$24/'DCDC Ref'!$J$27)*'DCDC Ref'!$J$25/100,0,1)</t>
    <phoneticPr fontId="13"/>
  </si>
  <si>
    <t>L Weight</t>
    <phoneticPr fontId="13"/>
  </si>
  <si>
    <t>Phase</t>
    <phoneticPr fontId="13"/>
  </si>
  <si>
    <t>o</t>
    <phoneticPr fontId="13"/>
  </si>
  <si>
    <t>x</t>
    <phoneticPr fontId="13"/>
  </si>
  <si>
    <t>I1,I2 Weight</t>
    <phoneticPr fontId="13"/>
  </si>
  <si>
    <t>Ripple</t>
    <phoneticPr fontId="13"/>
  </si>
  <si>
    <r>
      <rPr>
        <sz val="11"/>
        <color theme="1"/>
        <rFont val="ＭＳ Ｐゴシック"/>
        <family val="2"/>
        <charset val="128"/>
      </rPr>
      <t>上記から</t>
    </r>
    <r>
      <rPr>
        <sz val="11"/>
        <color theme="1"/>
        <rFont val="Arial"/>
        <family val="2"/>
      </rPr>
      <t>csv</t>
    </r>
    <r>
      <rPr>
        <sz val="11"/>
        <color theme="1"/>
        <rFont val="ＭＳ Ｐゴシック"/>
        <family val="2"/>
        <charset val="128"/>
      </rPr>
      <t>で</t>
    </r>
    <r>
      <rPr>
        <sz val="11"/>
        <color theme="1"/>
        <rFont val="Arial"/>
        <family val="2"/>
      </rPr>
      <t>Web</t>
    </r>
    <r>
      <rPr>
        <sz val="11"/>
        <color theme="1"/>
        <rFont val="ＭＳ Ｐゴシック"/>
        <family val="2"/>
        <charset val="128"/>
      </rPr>
      <t>公開品</t>
    </r>
    <r>
      <rPr>
        <sz val="11"/>
        <color theme="1"/>
        <rFont val="Arial"/>
        <family val="2"/>
      </rPr>
      <t>(</t>
    </r>
    <r>
      <rPr>
        <sz val="11"/>
        <color theme="1"/>
        <rFont val="ＭＳ Ｐゴシック"/>
        <family val="2"/>
        <charset val="128"/>
      </rPr>
      <t>カタログ品</t>
    </r>
    <r>
      <rPr>
        <sz val="11"/>
        <color theme="1"/>
        <rFont val="Arial"/>
        <family val="2"/>
      </rPr>
      <t>)</t>
    </r>
    <r>
      <rPr>
        <sz val="11"/>
        <color theme="1"/>
        <rFont val="ＭＳ Ｐゴシック"/>
        <family val="2"/>
        <charset val="128"/>
      </rPr>
      <t>の品番リストを</t>
    </r>
    <r>
      <rPr>
        <sz val="11"/>
        <color theme="1"/>
        <rFont val="Arial"/>
        <family val="2"/>
      </rPr>
      <t>DL</t>
    </r>
    <r>
      <rPr>
        <sz val="11"/>
        <color theme="1"/>
        <rFont val="ＭＳ Ｐゴシック"/>
        <family val="2"/>
        <charset val="128"/>
      </rPr>
      <t>し、</t>
    </r>
    <r>
      <rPr>
        <sz val="11"/>
        <color theme="1"/>
        <rFont val="Arial"/>
        <family val="2"/>
      </rPr>
      <t>Part Number</t>
    </r>
    <r>
      <rPr>
        <sz val="11"/>
        <color theme="1"/>
        <rFont val="ＭＳ Ｐゴシック"/>
        <family val="2"/>
        <charset val="128"/>
      </rPr>
      <t>列の最下に貼り付け氏、重複条件付き書式でカタログ品のみへフィルタリングした。</t>
    </r>
    <rPh sb="0" eb="2">
      <t>ジョウキ</t>
    </rPh>
    <rPh sb="11" eb="14">
      <t>コウカイヒン</t>
    </rPh>
    <rPh sb="19" eb="20">
      <t>ヒン</t>
    </rPh>
    <rPh sb="22" eb="24">
      <t>ヒンバン</t>
    </rPh>
    <rPh sb="43" eb="44">
      <t>レツ</t>
    </rPh>
    <rPh sb="45" eb="47">
      <t>サイカ</t>
    </rPh>
    <rPh sb="48" eb="49">
      <t>ハ</t>
    </rPh>
    <rPh sb="50" eb="51">
      <t>ツ</t>
    </rPh>
    <rPh sb="52" eb="53">
      <t>シ</t>
    </rPh>
    <rPh sb="54" eb="56">
      <t>チョウフク</t>
    </rPh>
    <rPh sb="56" eb="59">
      <t>ジョウケンツ</t>
    </rPh>
    <rPh sb="60" eb="62">
      <t>ショシキ</t>
    </rPh>
    <rPh sb="67" eb="68">
      <t>ヒン</t>
    </rPh>
    <phoneticPr fontId="13"/>
  </si>
  <si>
    <t>DCR</t>
    <phoneticPr fontId="16"/>
  </si>
  <si>
    <r>
      <t>I (</t>
    </r>
    <r>
      <rPr>
        <sz val="11"/>
        <color theme="1"/>
        <rFont val="ＭＳ Ｐゴシック"/>
        <family val="3"/>
        <charset val="128"/>
      </rPr>
      <t>⊿</t>
    </r>
    <r>
      <rPr>
        <sz val="11"/>
        <color theme="1"/>
        <rFont val="Arial"/>
        <family val="2"/>
      </rPr>
      <t>T)</t>
    </r>
    <phoneticPr fontId="13"/>
  </si>
  <si>
    <r>
      <t>I (</t>
    </r>
    <r>
      <rPr>
        <sz val="11"/>
        <color theme="1"/>
        <rFont val="ＭＳ Ｐゴシック"/>
        <family val="2"/>
        <charset val="128"/>
      </rPr>
      <t>⊿</t>
    </r>
    <r>
      <rPr>
        <sz val="11"/>
        <color theme="1"/>
        <rFont val="Arial"/>
        <family val="2"/>
      </rPr>
      <t>T)</t>
    </r>
    <phoneticPr fontId="16"/>
  </si>
  <si>
    <r>
      <t xml:space="preserve">Isat </t>
    </r>
    <r>
      <rPr>
        <sz val="11"/>
        <color theme="1"/>
        <rFont val="ＭＳ Ｐゴシック"/>
        <family val="2"/>
        <charset val="128"/>
      </rPr>
      <t>⊿</t>
    </r>
    <r>
      <rPr>
        <sz val="11"/>
        <color theme="1"/>
        <rFont val="Arial"/>
        <family val="2"/>
      </rPr>
      <t>L=-30%</t>
    </r>
    <phoneticPr fontId="16"/>
  </si>
  <si>
    <r>
      <t xml:space="preserve">Isat </t>
    </r>
    <r>
      <rPr>
        <sz val="11"/>
        <color theme="1"/>
        <rFont val="ＭＳ Ｐゴシック"/>
        <family val="2"/>
        <charset val="128"/>
      </rPr>
      <t>⊿</t>
    </r>
    <r>
      <rPr>
        <sz val="11"/>
        <color theme="1"/>
        <rFont val="Arial"/>
        <family val="2"/>
      </rPr>
      <t>L=-20%</t>
    </r>
    <phoneticPr fontId="16"/>
  </si>
  <si>
    <t>Max Operating Voltage (V)</t>
  </si>
  <si>
    <t>Dimmension (mm)</t>
    <phoneticPr fontId="13"/>
  </si>
  <si>
    <t>Vibration</t>
  </si>
  <si>
    <t>L1(at Ir) *Consumer product only</t>
    <phoneticPr fontId="16"/>
  </si>
  <si>
    <r>
      <rPr>
        <sz val="11"/>
        <color theme="1"/>
        <rFont val="MS UI Gothic"/>
        <family val="2"/>
        <charset val="1"/>
      </rPr>
      <t>※</t>
    </r>
    <r>
      <rPr>
        <sz val="11"/>
        <color theme="1"/>
        <rFont val="Arial"/>
        <family val="2"/>
      </rPr>
      <t>Isat(-30%)</t>
    </r>
    <r>
      <rPr>
        <sz val="11"/>
        <color theme="1"/>
        <rFont val="ＭＳ Ｐゴシック"/>
        <family val="2"/>
        <charset val="128"/>
      </rPr>
      <t>選択中</t>
    </r>
    <phoneticPr fontId="13"/>
  </si>
  <si>
    <t>L</t>
    <phoneticPr fontId="13"/>
  </si>
  <si>
    <t>I1</t>
    <phoneticPr fontId="13"/>
  </si>
  <si>
    <t>I2</t>
    <phoneticPr fontId="13"/>
  </si>
  <si>
    <t>↓</t>
    <phoneticPr fontId="13"/>
  </si>
  <si>
    <t xml:space="preserve">Part Number </t>
    <phoneticPr fontId="16"/>
  </si>
  <si>
    <t>L(uH)</t>
    <phoneticPr fontId="16"/>
  </si>
  <si>
    <t>%</t>
    <phoneticPr fontId="16"/>
  </si>
  <si>
    <t>typ(mΩ)</t>
    <phoneticPr fontId="16"/>
  </si>
  <si>
    <t>max(mΩ)</t>
    <phoneticPr fontId="16"/>
  </si>
  <si>
    <t>Tol. (%)</t>
    <phoneticPr fontId="13"/>
  </si>
  <si>
    <t>method B</t>
    <phoneticPr fontId="16"/>
  </si>
  <si>
    <t>method A</t>
    <phoneticPr fontId="16"/>
  </si>
  <si>
    <t>typ(A)</t>
    <phoneticPr fontId="16"/>
  </si>
  <si>
    <t>at Ir</t>
    <phoneticPr fontId="16"/>
  </si>
  <si>
    <r>
      <t>L</t>
    </r>
    <r>
      <rPr>
        <sz val="11"/>
        <color theme="1"/>
        <rFont val="ＭＳ Ｐゴシック"/>
        <family val="2"/>
        <charset val="128"/>
      </rPr>
      <t>値</t>
    </r>
    <rPh sb="1" eb="2">
      <t>チ</t>
    </rPh>
    <phoneticPr fontId="13"/>
  </si>
  <si>
    <r>
      <t>I rated</t>
    </r>
    <r>
      <rPr>
        <sz val="11"/>
        <color theme="1"/>
        <rFont val="ＭＳ Ｐゴシック"/>
        <family val="2"/>
        <charset val="128"/>
      </rPr>
      <t xml:space="preserve">値 </t>
    </r>
    <r>
      <rPr>
        <sz val="11"/>
        <color theme="1"/>
        <rFont val="Arial"/>
        <family val="2"/>
      </rPr>
      <t>(Method B)</t>
    </r>
    <rPh sb="7" eb="8">
      <t>チ</t>
    </rPh>
    <phoneticPr fontId="13"/>
  </si>
  <si>
    <r>
      <t>Isat</t>
    </r>
    <r>
      <rPr>
        <sz val="11"/>
        <color theme="1"/>
        <rFont val="ＭＳ Ｐゴシック"/>
        <family val="2"/>
        <charset val="128"/>
      </rPr>
      <t>値</t>
    </r>
    <r>
      <rPr>
        <sz val="11"/>
        <color theme="1"/>
        <rFont val="Arial"/>
        <family val="2"/>
      </rPr>
      <t xml:space="preserve"> (-30%)</t>
    </r>
    <rPh sb="4" eb="5">
      <t>チ</t>
    </rPh>
    <phoneticPr fontId="13"/>
  </si>
  <si>
    <t>Original Order</t>
    <phoneticPr fontId="13"/>
  </si>
  <si>
    <t>カタログ品</t>
    <rPh sb="4" eb="5">
      <t>ヒン</t>
    </rPh>
    <phoneticPr fontId="13"/>
  </si>
  <si>
    <t>確認メモ</t>
    <rPh sb="0" eb="2">
      <t>カクニン</t>
    </rPh>
    <phoneticPr fontId="13"/>
  </si>
  <si>
    <t>Check</t>
    <phoneticPr fontId="13"/>
  </si>
  <si>
    <t>Renewal Date</t>
    <phoneticPr fontId="13"/>
  </si>
  <si>
    <t>Maker</t>
  </si>
  <si>
    <t>Type</t>
  </si>
  <si>
    <t>Category</t>
  </si>
  <si>
    <t>Series</t>
    <phoneticPr fontId="13"/>
  </si>
  <si>
    <t>Series (Size)</t>
    <phoneticPr fontId="13"/>
  </si>
  <si>
    <r>
      <rPr>
        <sz val="9"/>
        <color theme="1"/>
        <rFont val="ＭＳ Ｐゴシック"/>
        <family val="3"/>
        <charset val="128"/>
      </rPr>
      <t>仮</t>
    </r>
    <r>
      <rPr>
        <sz val="9"/>
        <color theme="1"/>
        <rFont val="Arial"/>
        <family val="2"/>
      </rPr>
      <t>1</t>
    </r>
    <rPh sb="0" eb="1">
      <t>カリ</t>
    </rPh>
    <phoneticPr fontId="13"/>
  </si>
  <si>
    <t>Lo RangeXX</t>
    <phoneticPr fontId="13"/>
  </si>
  <si>
    <t>Lo Range (uH)</t>
    <phoneticPr fontId="13"/>
  </si>
  <si>
    <t>DCR Tol. (%)</t>
    <phoneticPr fontId="13"/>
  </si>
  <si>
    <r>
      <t>Method B (A typ at 40</t>
    </r>
    <r>
      <rPr>
        <sz val="9"/>
        <color theme="0"/>
        <rFont val="ＭＳ Ｐゴシック"/>
        <family val="3"/>
        <charset val="128"/>
      </rPr>
      <t>℃</t>
    </r>
    <r>
      <rPr>
        <sz val="9"/>
        <color theme="0"/>
        <rFont val="Arial"/>
        <family val="2"/>
      </rPr>
      <t>)</t>
    </r>
    <phoneticPr fontId="13"/>
  </si>
  <si>
    <r>
      <t>Method A (A typ at 40</t>
    </r>
    <r>
      <rPr>
        <sz val="9"/>
        <color theme="0"/>
        <rFont val="ＭＳ Ｐゴシック"/>
        <family val="3"/>
        <charset val="128"/>
      </rPr>
      <t>℃)</t>
    </r>
    <phoneticPr fontId="16"/>
  </si>
  <si>
    <r>
      <rPr>
        <sz val="7"/>
        <color theme="0"/>
        <rFont val="ＭＳ Ｐゴシック"/>
        <family val="3"/>
        <charset val="128"/>
      </rPr>
      <t>⊿</t>
    </r>
    <r>
      <rPr>
        <sz val="7"/>
        <color theme="0"/>
        <rFont val="Arial"/>
        <family val="2"/>
      </rPr>
      <t>L=-30% 
typ (A)</t>
    </r>
    <phoneticPr fontId="13"/>
  </si>
  <si>
    <r>
      <rPr>
        <sz val="7"/>
        <color theme="0"/>
        <rFont val="ＭＳ Ｐゴシック"/>
        <family val="3"/>
        <charset val="128"/>
      </rPr>
      <t>⊿</t>
    </r>
    <r>
      <rPr>
        <sz val="7"/>
        <color theme="0"/>
        <rFont val="Arial"/>
        <family val="2"/>
      </rPr>
      <t>L=-20% 
typ (A)</t>
    </r>
    <phoneticPr fontId="13"/>
  </si>
  <si>
    <t>L (mm)</t>
    <phoneticPr fontId="13"/>
  </si>
  <si>
    <t>W (mm)</t>
    <phoneticPr fontId="13"/>
  </si>
  <si>
    <t>Area (mm2)</t>
    <phoneticPr fontId="13"/>
  </si>
  <si>
    <t>Rough Size (mm)</t>
    <phoneticPr fontId="13"/>
  </si>
  <si>
    <t>Max Height Range (mm)</t>
    <phoneticPr fontId="13"/>
  </si>
  <si>
    <t>Min Temp (deg.C)</t>
    <phoneticPr fontId="13"/>
  </si>
  <si>
    <t>Max Temp (deg.C)</t>
    <phoneticPr fontId="13"/>
  </si>
  <si>
    <t>Max Voltage (V)</t>
    <phoneticPr fontId="13"/>
  </si>
  <si>
    <t>MPQ</t>
    <phoneticPr fontId="13"/>
  </si>
  <si>
    <t>Rough L1 (uH)</t>
    <phoneticPr fontId="13"/>
  </si>
  <si>
    <t>L1 Tol. (%)</t>
    <phoneticPr fontId="13"/>
  </si>
  <si>
    <t>Ir (A)</t>
    <phoneticPr fontId="16"/>
  </si>
  <si>
    <t>Image URL</t>
    <phoneticPr fontId="13"/>
  </si>
  <si>
    <t>add3</t>
  </si>
  <si>
    <t>add4</t>
  </si>
  <si>
    <t>add5</t>
  </si>
  <si>
    <t>該非判定</t>
    <rPh sb="0" eb="2">
      <t>ガイヒ</t>
    </rPh>
    <rPh sb="2" eb="4">
      <t>ハンテイ</t>
    </rPh>
    <phoneticPr fontId="13"/>
  </si>
  <si>
    <t>%_Diff_L</t>
  </si>
  <si>
    <t>ABS</t>
  </si>
  <si>
    <t>%_Diff_I</t>
  </si>
  <si>
    <t>NegaDown</t>
  </si>
  <si>
    <t>L+I Weighted</t>
  </si>
  <si>
    <r>
      <rPr>
        <b/>
        <sz val="8"/>
        <rFont val="Arial Unicode MS"/>
        <family val="3"/>
        <charset val="128"/>
      </rPr>
      <t>小差順位</t>
    </r>
    <r>
      <rPr>
        <b/>
        <sz val="8"/>
        <rFont val="Arial"/>
        <family val="2"/>
      </rPr>
      <t>(</t>
    </r>
    <r>
      <rPr>
        <b/>
        <sz val="8"/>
        <rFont val="Arial Unicode MS"/>
        <family val="3"/>
        <charset val="128"/>
      </rPr>
      <t>同一値も連番</t>
    </r>
    <r>
      <rPr>
        <b/>
        <sz val="8"/>
        <rFont val="Arial"/>
        <family val="2"/>
      </rPr>
      <t>)</t>
    </r>
    <rPh sb="1" eb="2">
      <t>サ</t>
    </rPh>
    <rPh sb="2" eb="4">
      <t>ジュンイ</t>
    </rPh>
    <rPh sb="5" eb="7">
      <t>ドウイツ</t>
    </rPh>
    <rPh sb="7" eb="8">
      <t>チ</t>
    </rPh>
    <rPh sb="9" eb="11">
      <t>レンバン</t>
    </rPh>
    <phoneticPr fontId="13"/>
  </si>
  <si>
    <r>
      <rPr>
        <b/>
        <sz val="10"/>
        <rFont val="Arial Unicode MS"/>
        <family val="3"/>
        <charset val="128"/>
      </rPr>
      <t>除外後順位</t>
    </r>
    <rPh sb="0" eb="2">
      <t>ジョガイ</t>
    </rPh>
    <rPh sb="2" eb="3">
      <t>ゴ</t>
    </rPh>
    <rPh sb="3" eb="5">
      <t>ジュンイ</t>
    </rPh>
    <phoneticPr fontId="13"/>
  </si>
  <si>
    <r>
      <rPr>
        <b/>
        <sz val="10"/>
        <rFont val="Arial Unicode MS"/>
        <family val="3"/>
        <charset val="128"/>
      </rPr>
      <t>一致一覧</t>
    </r>
    <rPh sb="0" eb="2">
      <t>イッチ</t>
    </rPh>
    <rPh sb="2" eb="4">
      <t>イチラン</t>
    </rPh>
    <phoneticPr fontId="13"/>
  </si>
  <si>
    <r>
      <rPr>
        <b/>
        <sz val="10"/>
        <rFont val="Arial Unicode MS"/>
        <family val="3"/>
        <charset val="128"/>
      </rPr>
      <t>提案表示</t>
    </r>
    <rPh sb="0" eb="2">
      <t>テイアン</t>
    </rPh>
    <rPh sb="2" eb="4">
      <t>ヒョウジ</t>
    </rPh>
    <phoneticPr fontId="13"/>
  </si>
  <si>
    <t>〇</t>
    <phoneticPr fontId="13"/>
  </si>
  <si>
    <t>OK</t>
    <phoneticPr fontId="13"/>
  </si>
  <si>
    <t>Panasonic</t>
  </si>
  <si>
    <t>SMD</t>
  </si>
  <si>
    <t>Metal Composite</t>
  </si>
  <si>
    <t>PCC</t>
  </si>
  <si>
    <t>High Isat (Standard)</t>
    <phoneticPr fontId="13"/>
  </si>
  <si>
    <t>5M-YLC</t>
  </si>
  <si>
    <t>PCC-M1050ML</t>
    <phoneticPr fontId="13"/>
  </si>
  <si>
    <t>Yes</t>
    <phoneticPr fontId="13"/>
  </si>
  <si>
    <t>https://industrial.panasonic.com/content/data/CC/pictures/lineup-Metal-core.gif</t>
    <phoneticPr fontId="13"/>
  </si>
  <si>
    <r>
      <t>2023/3/10MP,  2022/5/27 UD</t>
    </r>
    <r>
      <rPr>
        <sz val="11"/>
        <color theme="1"/>
        <rFont val="ＭＳ Ｐゴシック"/>
        <family val="2"/>
        <charset val="128"/>
      </rPr>
      <t>扱いへ</t>
    </r>
    <r>
      <rPr>
        <sz val="11"/>
        <color theme="1"/>
        <rFont val="Arial"/>
        <family val="2"/>
      </rPr>
      <t>(</t>
    </r>
    <r>
      <rPr>
        <sz val="11"/>
        <color theme="1"/>
        <rFont val="ＭＳ Ｐゴシック"/>
        <family val="2"/>
        <charset val="128"/>
      </rPr>
      <t>誤記だったとのこと</t>
    </r>
    <r>
      <rPr>
        <sz val="11"/>
        <color theme="1"/>
        <rFont val="Arial"/>
        <family val="2"/>
      </rPr>
      <t>)</t>
    </r>
    <r>
      <rPr>
        <sz val="11"/>
        <color theme="1"/>
        <rFont val="ＭＳ Ｐゴシック"/>
        <family val="2"/>
        <charset val="128"/>
      </rPr>
      <t>。</t>
    </r>
    <r>
      <rPr>
        <sz val="11"/>
        <color theme="1"/>
        <rFont val="Arial"/>
        <family val="2"/>
      </rPr>
      <t>2022/1/12 MP</t>
    </r>
    <r>
      <rPr>
        <sz val="11"/>
        <color theme="1"/>
        <rFont val="ＭＳ Ｐゴシック"/>
        <family val="2"/>
        <charset val="128"/>
      </rPr>
      <t>カタログ扱いへ。</t>
    </r>
    <r>
      <rPr>
        <sz val="11"/>
        <color theme="1"/>
        <rFont val="Arial"/>
        <family val="2"/>
      </rPr>
      <t>2021/11/12</t>
    </r>
    <r>
      <rPr>
        <sz val="10"/>
        <rFont val="ＭＳ Ｐゴシック"/>
        <family val="3"/>
        <charset val="128"/>
      </rPr>
      <t>カタログUD 扱い。2021/3/23追加。</t>
    </r>
    <rPh sb="26" eb="27">
      <t>アツカ</t>
    </rPh>
    <rPh sb="30" eb="32">
      <t>ゴキ</t>
    </rPh>
    <rPh sb="57" eb="58">
      <t>アツカ</t>
    </rPh>
    <rPh sb="78" eb="79">
      <t>アツカ</t>
    </rPh>
    <rPh sb="90" eb="92">
      <t>ツイカ</t>
    </rPh>
    <phoneticPr fontId="13"/>
  </si>
  <si>
    <r>
      <t>High Current (</t>
    </r>
    <r>
      <rPr>
        <sz val="11"/>
        <color theme="1"/>
        <rFont val="ＭＳ Ｐゴシック"/>
        <family val="3"/>
        <charset val="128"/>
      </rPr>
      <t>≥□12)</t>
    </r>
    <phoneticPr fontId="13"/>
  </si>
  <si>
    <t>8M-JFA</t>
  </si>
  <si>
    <t>PCC-M1280MF</t>
    <phoneticPr fontId="13"/>
  </si>
  <si>
    <t>ETQP8MR33JFA</t>
    <phoneticPr fontId="13"/>
  </si>
  <si>
    <r>
      <t>15G</t>
    </r>
    <r>
      <rPr>
        <sz val="11"/>
        <color theme="1"/>
        <rFont val="ＭＳ Ｐゴシック"/>
        <family val="3"/>
        <charset val="128"/>
      </rPr>
      <t>と聞いたがカタログは30G</t>
    </r>
    <rPh sb="4" eb="5">
      <t>キ</t>
    </rPh>
    <phoneticPr fontId="13"/>
  </si>
  <si>
    <t>LP (Low Profile)</t>
    <phoneticPr fontId="13"/>
  </si>
  <si>
    <t>3M-KVP</t>
  </si>
  <si>
    <t>PCC-M0530M-LP</t>
    <phoneticPr fontId="13"/>
  </si>
  <si>
    <t>ETQP3MR33KVP</t>
    <phoneticPr fontId="13"/>
  </si>
  <si>
    <t>_5 x 5</t>
    <phoneticPr fontId="13"/>
  </si>
  <si>
    <t>https://industrial.panasonic.com/content/data/CC/pictures/lineup-LP.gif</t>
    <phoneticPr fontId="13"/>
  </si>
  <si>
    <t>LP (Low Profile)</t>
  </si>
  <si>
    <t>PCC-M0530M-LP</t>
  </si>
  <si>
    <t>ETQP3MR47KVP</t>
    <phoneticPr fontId="13"/>
  </si>
  <si>
    <r>
      <t>2022/6/30</t>
    </r>
    <r>
      <rPr>
        <sz val="11"/>
        <color theme="1"/>
        <rFont val="ＭＳ Ｐゴシック"/>
        <family val="2"/>
        <charset val="128"/>
      </rPr>
      <t>カタログ追加</t>
    </r>
    <rPh sb="13" eb="15">
      <t>ツイカ</t>
    </rPh>
    <phoneticPr fontId="13"/>
  </si>
  <si>
    <t>4M-KLC</t>
    <phoneticPr fontId="13"/>
  </si>
  <si>
    <t>PCC-M1040ML</t>
    <phoneticPr fontId="13"/>
  </si>
  <si>
    <t>ETQP4MR47KLC</t>
    <phoneticPr fontId="13"/>
  </si>
  <si>
    <t>10 x 10</t>
    <phoneticPr fontId="13"/>
  </si>
  <si>
    <t>3M-YFN</t>
  </si>
  <si>
    <t>PCC-M0630M</t>
    <phoneticPr fontId="13"/>
  </si>
  <si>
    <t>ETQP3MR68YFN</t>
    <phoneticPr fontId="13"/>
  </si>
  <si>
    <t>_6 x 6</t>
    <phoneticPr fontId="13"/>
  </si>
  <si>
    <t>https://industrial.panasonic.com/content/data/CC/pictures/lineup-Large%20current.gif</t>
    <phoneticPr fontId="13"/>
  </si>
  <si>
    <t>3M-KVN</t>
  </si>
  <si>
    <t>PCC-M0630M-LP</t>
    <phoneticPr fontId="13"/>
  </si>
  <si>
    <t>4M-KVK</t>
  </si>
  <si>
    <t>PCC-M0840M-LP</t>
    <phoneticPr fontId="13"/>
  </si>
  <si>
    <t>_8 x 8</t>
    <phoneticPr fontId="13"/>
  </si>
  <si>
    <t>High Anti-vibration</t>
  </si>
  <si>
    <t>5M-YSC</t>
  </si>
  <si>
    <t>PCC-M1050MS</t>
    <phoneticPr fontId="13"/>
  </si>
  <si>
    <t>https://industrial.panasonic.com/content/data/CC/pictures/lineup-High%20Vibration%20Acceleration.gif</t>
    <phoneticPr fontId="13"/>
  </si>
  <si>
    <t>4M-KVC</t>
  </si>
  <si>
    <t>PCC-M1040M-LP</t>
    <phoneticPr fontId="13"/>
  </si>
  <si>
    <t>5M-YFC</t>
  </si>
  <si>
    <t>PCC-M1054M</t>
    <phoneticPr fontId="13"/>
  </si>
  <si>
    <t>6M-YLC</t>
  </si>
  <si>
    <t>PCC-M1060ML</t>
    <phoneticPr fontId="13"/>
  </si>
  <si>
    <r>
      <t xml:space="preserve">2021/11/12 </t>
    </r>
    <r>
      <rPr>
        <sz val="10"/>
        <rFont val="ＭＳ Ｐゴシック"/>
        <family val="3"/>
        <charset val="128"/>
      </rPr>
      <t>カタログ追加。2021/3/23追加。</t>
    </r>
    <rPh sb="27" eb="29">
      <t>ツイカ</t>
    </rPh>
    <phoneticPr fontId="13"/>
  </si>
  <si>
    <t>ETQP5M2R0YSC</t>
    <phoneticPr fontId="13"/>
  </si>
  <si>
    <t>3M-YFP</t>
  </si>
  <si>
    <t>PCC-M0530M</t>
    <phoneticPr fontId="13"/>
  </si>
  <si>
    <t>ETQP3M2R2YFP</t>
    <phoneticPr fontId="13"/>
  </si>
  <si>
    <t>High Frequency</t>
    <phoneticPr fontId="13"/>
  </si>
  <si>
    <t>3M-HFP</t>
  </si>
  <si>
    <t>PCC-M0530M-H</t>
    <phoneticPr fontId="13"/>
  </si>
  <si>
    <t>ETQP3M2R2HFP</t>
    <phoneticPr fontId="13"/>
  </si>
  <si>
    <t>https://industrial.panasonic.com/content/data/CC/pictures/lineup-H.gif</t>
    <phoneticPr fontId="13"/>
  </si>
  <si>
    <t>4M-YFN</t>
  </si>
  <si>
    <t>PCC-M0645M</t>
  </si>
  <si>
    <t>ETQP4M2R2YFN</t>
    <phoneticPr fontId="13"/>
  </si>
  <si>
    <t>5M-YSK</t>
  </si>
  <si>
    <t>PCC-M0854MS</t>
    <phoneticPr fontId="13"/>
  </si>
  <si>
    <t>ETQP5M2R5YSK</t>
    <phoneticPr fontId="13"/>
  </si>
  <si>
    <t>5M-YFK</t>
  </si>
  <si>
    <t>PCC-M0854M</t>
    <phoneticPr fontId="13"/>
  </si>
  <si>
    <t>PCC-M0645M</t>
    <phoneticPr fontId="13"/>
  </si>
  <si>
    <t>LE (Low Price)</t>
    <phoneticPr fontId="13"/>
  </si>
  <si>
    <t>4M-KFN</t>
  </si>
  <si>
    <t>PCC-M0648M-LE</t>
    <phoneticPr fontId="13"/>
  </si>
  <si>
    <t>https://industrial.panasonic.com/content/data/CC/pictures/lineup-LE.gif</t>
    <phoneticPr fontId="13"/>
  </si>
  <si>
    <t>5M-YFM</t>
  </si>
  <si>
    <t>PCC-M0754M</t>
  </si>
  <si>
    <t>ETQP5M3R3YFM</t>
    <phoneticPr fontId="13"/>
  </si>
  <si>
    <t>_7 x 7</t>
    <phoneticPr fontId="13"/>
  </si>
  <si>
    <t>PCC-M0854M</t>
  </si>
  <si>
    <t>ETQP5M3R3YFK</t>
    <phoneticPr fontId="13"/>
  </si>
  <si>
    <t>5M-YGC</t>
    <phoneticPr fontId="13"/>
  </si>
  <si>
    <t>PCC-M1050M</t>
    <phoneticPr fontId="13"/>
  </si>
  <si>
    <t>ETQP5M3R3YGC</t>
    <phoneticPr fontId="13"/>
  </si>
  <si>
    <t>4M-YFP</t>
  </si>
  <si>
    <t>PCC-M0540M</t>
    <phoneticPr fontId="13"/>
  </si>
  <si>
    <t>PCC-M0754M</t>
    <phoneticPr fontId="13"/>
  </si>
  <si>
    <t>4M-KFM</t>
  </si>
  <si>
    <t>PCC-M0748M-LE</t>
    <phoneticPr fontId="13"/>
  </si>
  <si>
    <r>
      <t xml:space="preserve">2021/11/12 </t>
    </r>
    <r>
      <rPr>
        <sz val="10"/>
        <rFont val="ＭＳ Ｐゴシック"/>
        <family val="3"/>
        <charset val="128"/>
      </rPr>
      <t>カタログ追加。2021/4/8追加。</t>
    </r>
    <rPh sb="26" eb="28">
      <t>ツイカ</t>
    </rPh>
    <phoneticPr fontId="13"/>
  </si>
  <si>
    <t>ETQP4M6R8KFN</t>
    <phoneticPr fontId="13"/>
  </si>
  <si>
    <t>3M-HFN</t>
  </si>
  <si>
    <t>PCC-M0630M-H</t>
    <phoneticPr fontId="13"/>
  </si>
  <si>
    <t>5M-GAK</t>
    <phoneticPr fontId="13"/>
  </si>
  <si>
    <t>ETQP5M100GAK</t>
    <phoneticPr fontId="13"/>
  </si>
  <si>
    <r>
      <t xml:space="preserve">2021/11/12 </t>
    </r>
    <r>
      <rPr>
        <sz val="10"/>
        <rFont val="ＭＳ Ｐゴシック"/>
        <family val="3"/>
        <charset val="128"/>
      </rPr>
      <t>カタログ追加。2020/8/3追加</t>
    </r>
    <rPh sb="15" eb="17">
      <t>ツイカ</t>
    </rPh>
    <rPh sb="26" eb="28">
      <t>ツイカ</t>
    </rPh>
    <phoneticPr fontId="13"/>
  </si>
  <si>
    <t>6M-KLC</t>
    <phoneticPr fontId="13"/>
  </si>
  <si>
    <t>LE (Low Price)</t>
  </si>
  <si>
    <t>ETQP4M150KFM</t>
    <phoneticPr fontId="13"/>
  </si>
  <si>
    <t>ETQP5M220YFC</t>
    <phoneticPr fontId="13"/>
  </si>
  <si>
    <t>ETQP4M220KFN</t>
    <phoneticPr fontId="13"/>
  </si>
  <si>
    <t>ETQP4M330KFM</t>
    <phoneticPr fontId="13"/>
  </si>
  <si>
    <r>
      <t xml:space="preserve">2021/11/12 </t>
    </r>
    <r>
      <rPr>
        <sz val="10"/>
        <rFont val="ＭＳ Ｐゴシック"/>
        <family val="3"/>
        <charset val="128"/>
      </rPr>
      <t>カタログMP扱い(一時期NRND扱いになり削除していた)。2017/6/1追加。</t>
    </r>
    <rPh sb="32" eb="34">
      <t>サクジョ</t>
    </rPh>
    <phoneticPr fontId="13"/>
  </si>
  <si>
    <t>Dust</t>
  </si>
  <si>
    <t>Dust Core</t>
    <phoneticPr fontId="13"/>
  </si>
  <si>
    <t>DH-DTV</t>
    <phoneticPr fontId="13"/>
  </si>
  <si>
    <t>PCC-D1413H</t>
    <phoneticPr fontId="13"/>
  </si>
  <si>
    <t>https://industrial.panasonic.com/content/data/CC/pictures/lineup-Dust-core.gif</t>
    <phoneticPr fontId="13"/>
  </si>
  <si>
    <r>
      <t>2022/*/* MP</t>
    </r>
    <r>
      <rPr>
        <sz val="11"/>
        <color theme="1"/>
        <rFont val="ＭＳ Ｐゴシック"/>
        <family val="2"/>
        <charset val="128"/>
      </rPr>
      <t>。</t>
    </r>
    <r>
      <rPr>
        <sz val="11"/>
        <color theme="1"/>
        <rFont val="Arial"/>
        <family val="2"/>
      </rPr>
      <t xml:space="preserve">2021/11/12 </t>
    </r>
    <r>
      <rPr>
        <sz val="10"/>
        <rFont val="ＭＳ Ｐゴシック"/>
        <family val="3"/>
        <charset val="128"/>
      </rPr>
      <t>カタログUD扱い。2019/11/15追加</t>
    </r>
    <rPh sb="42" eb="44">
      <t>ツイカ</t>
    </rPh>
    <phoneticPr fontId="13"/>
  </si>
  <si>
    <t>ETQP5M680YFM</t>
    <phoneticPr fontId="13"/>
  </si>
  <si>
    <t>ETQP4M680KVC</t>
    <phoneticPr fontId="13"/>
  </si>
  <si>
    <t>ETQP5M820YGC</t>
    <phoneticPr fontId="13"/>
  </si>
  <si>
    <t>5M-YGM</t>
  </si>
  <si>
    <t>PCC-M0750M</t>
    <phoneticPr fontId="13"/>
  </si>
  <si>
    <t>5M-YGC</t>
  </si>
  <si>
    <t>5M-YGK</t>
  </si>
  <si>
    <t>PCC-M0850M</t>
    <phoneticPr fontId="13"/>
  </si>
  <si>
    <t>ETQP4M101KVC</t>
    <phoneticPr fontId="13"/>
  </si>
  <si>
    <t>PCC-M1056MS</t>
    <phoneticPr fontId="13"/>
  </si>
  <si>
    <t>ETQP5M220YSC</t>
    <phoneticPr fontId="13"/>
  </si>
  <si>
    <t>PCC-M1054MS</t>
    <phoneticPr fontId="13"/>
  </si>
  <si>
    <t>ETQP5M470YSC</t>
    <phoneticPr fontId="13"/>
  </si>
  <si>
    <t>PCC-M1060MS</t>
    <phoneticPr fontId="13"/>
  </si>
  <si>
    <t>ETQP6M2R5YSC</t>
    <phoneticPr fontId="13"/>
  </si>
  <si>
    <t>PCC-M15A0MF</t>
    <phoneticPr fontId="13"/>
  </si>
  <si>
    <t>ETQPAMR33JFW</t>
    <phoneticPr fontId="13"/>
  </si>
  <si>
    <t>15 x 15</t>
    <phoneticPr fontId="13"/>
  </si>
  <si>
    <t>ETQPAMR68JFW</t>
    <phoneticPr fontId="13"/>
  </si>
  <si>
    <t>ETQPAM1R0JFW</t>
    <phoneticPr fontId="13"/>
  </si>
  <si>
    <t>https://industrial.panasonic.com/content/data/CC/pictures/lineup-Large%20current.gif</t>
  </si>
  <si>
    <t>ETQPAM1R5JFW</t>
    <phoneticPr fontId="13"/>
  </si>
  <si>
    <t>ETQPAM2R5JFW</t>
    <phoneticPr fontId="13"/>
  </si>
  <si>
    <t>ETQPAM3R3JFW</t>
    <phoneticPr fontId="13"/>
  </si>
  <si>
    <t>ETQPAM4R7JFW</t>
    <phoneticPr fontId="13"/>
  </si>
  <si>
    <t>Check</t>
  </si>
  <si>
    <t>Renewal Date</t>
  </si>
  <si>
    <t>Core</t>
  </si>
  <si>
    <t>Series</t>
  </si>
  <si>
    <t>Series (Size)</t>
  </si>
  <si>
    <t>Lo RangeXX</t>
  </si>
  <si>
    <t>Lo Range (uH)</t>
  </si>
  <si>
    <t>Lo Tol. (%)</t>
  </si>
  <si>
    <t>DCR Typ (mOhm)</t>
  </si>
  <si>
    <t>DCR Max (mOhm)</t>
  </si>
  <si>
    <t>DCR Tol. (%)</t>
  </si>
  <si>
    <t>Method B 
typ</t>
  </si>
  <si>
    <t>Method A typ</t>
  </si>
  <si>
    <t>Max Height (mm)</t>
  </si>
  <si>
    <t>Max Height Range (mm)</t>
  </si>
  <si>
    <t>Min Temp (deg.C)</t>
  </si>
  <si>
    <t>Max Temp (deg.C)</t>
  </si>
  <si>
    <t>MPQ</t>
  </si>
  <si>
    <t>L1 (uH)</t>
  </si>
  <si>
    <t>Rough L1 (uH)</t>
  </si>
  <si>
    <t>L1 Tol. (%)</t>
  </si>
  <si>
    <t>Ir (A)</t>
  </si>
  <si>
    <t>2018/1/12まだカタログに載っていないが次の更新タイミングで載る。</t>
  </si>
  <si>
    <t>High Performance</t>
  </si>
  <si>
    <t>R15</t>
  </si>
  <si>
    <t>&lt;1</t>
  </si>
  <si>
    <t>0.614 (+/-7%)</t>
  </si>
  <si>
    <t>8.7  x  7</t>
  </si>
  <si>
    <t xml:space="preserve"> 8 x 8</t>
  </si>
  <si>
    <t>≤ 3</t>
  </si>
  <si>
    <t>EOL?</t>
  </si>
  <si>
    <t>ETQP4LR15AFM</t>
  </si>
  <si>
    <t>0.66 (+/-7%)</t>
  </si>
  <si>
    <t>≤ 4</t>
  </si>
  <si>
    <t>ETQP4LR15AFC</t>
  </si>
  <si>
    <t>0.41 (+/-7%)</t>
  </si>
  <si>
    <t>11.7  x  10</t>
  </si>
  <si>
    <t>OK</t>
  </si>
  <si>
    <t>R19</t>
  </si>
  <si>
    <t>0.7 (+/-10%)</t>
  </si>
  <si>
    <t>R24</t>
  </si>
  <si>
    <t>1.12 (+/-7%)</t>
  </si>
  <si>
    <t>1 (+/-7%)</t>
  </si>
  <si>
    <t>R36</t>
  </si>
  <si>
    <t>1.35 (+/-7%)</t>
  </si>
  <si>
    <t>0.76 (+/-5%)</t>
  </si>
  <si>
    <t>R42</t>
  </si>
  <si>
    <t>1.5 (+/-7%)</t>
  </si>
  <si>
    <t>R45</t>
  </si>
  <si>
    <t>ETQP5LR50XFA</t>
  </si>
  <si>
    <t>0.80 (+/-7%)</t>
  </si>
  <si>
    <t>42  (-10%)</t>
  </si>
  <si>
    <t>14.5 x 12.5</t>
  </si>
  <si>
    <t>R56</t>
  </si>
  <si>
    <t>1.56 (+/-5%)</t>
  </si>
  <si>
    <t>ETQP5LR60XFA</t>
  </si>
  <si>
    <t>1.10 (+/-5%)</t>
  </si>
  <si>
    <t>54 (-10%)</t>
  </si>
  <si>
    <t>R68</t>
  </si>
  <si>
    <t>1.58 (+/-5%)</t>
  </si>
  <si>
    <t>https://www.renesas.com/us/en/products/automotive-products/automotive-power-management/mcu-pmic/da9213-multiphase-20a-output-current-sub-pmic</t>
    <phoneticPr fontId="13"/>
  </si>
  <si>
    <t>TPS59632Q1EVM-057</t>
    <phoneticPr fontId="13"/>
  </si>
  <si>
    <t>Texas Instruments</t>
    <phoneticPr fontId="13"/>
  </si>
  <si>
    <t>リプル電圧波形.xlsm</t>
    <phoneticPr fontId="13"/>
  </si>
  <si>
    <t>ﾘﾌﾟﾙ電流</t>
    <rPh sb="4" eb="6">
      <t>デンリュウ</t>
    </rPh>
    <phoneticPr fontId="13"/>
  </si>
  <si>
    <t>三角波の場合(充電を＋)</t>
    <rPh sb="0" eb="2">
      <t>サンカク</t>
    </rPh>
    <rPh sb="2" eb="3">
      <t>ハ</t>
    </rPh>
    <rPh sb="4" eb="6">
      <t>バアイ</t>
    </rPh>
    <rPh sb="7" eb="9">
      <t>ジュウデン</t>
    </rPh>
    <phoneticPr fontId="13"/>
  </si>
  <si>
    <t>時間(μs)</t>
    <rPh sb="0" eb="2">
      <t>ジカン</t>
    </rPh>
    <phoneticPr fontId="13"/>
  </si>
  <si>
    <t>(A)</t>
    <phoneticPr fontId="13"/>
  </si>
  <si>
    <t>s</t>
    <phoneticPr fontId="13"/>
  </si>
  <si>
    <t>I</t>
    <phoneticPr fontId="13"/>
  </si>
  <si>
    <t>この電流波形は</t>
    <rPh sb="2" eb="4">
      <t>デンリュウ</t>
    </rPh>
    <rPh sb="4" eb="6">
      <t>ハケイ</t>
    </rPh>
    <phoneticPr fontId="13"/>
  </si>
  <si>
    <t>Buckの出力側</t>
    <rPh sb="5" eb="7">
      <t>シュツリョク</t>
    </rPh>
    <rPh sb="7" eb="8">
      <t>ガワ</t>
    </rPh>
    <phoneticPr fontId="13"/>
  </si>
  <si>
    <t>Boostの入力側</t>
    <rPh sb="6" eb="8">
      <t>ニュウリョク</t>
    </rPh>
    <rPh sb="8" eb="9">
      <t>ガワ</t>
    </rPh>
    <phoneticPr fontId="13"/>
  </si>
  <si>
    <t>の連続ﾓｰﾄﾞに適用される。</t>
    <rPh sb="1" eb="3">
      <t>レンゾク</t>
    </rPh>
    <rPh sb="8" eb="10">
      <t>テキヨウ</t>
    </rPh>
    <phoneticPr fontId="13"/>
  </si>
  <si>
    <t>入力側は上下逆さまの波形となる。</t>
    <rPh sb="0" eb="2">
      <t>ニュウリョク</t>
    </rPh>
    <rPh sb="2" eb="3">
      <t>ガワ</t>
    </rPh>
    <rPh sb="4" eb="6">
      <t>ジョウゲ</t>
    </rPh>
    <rPh sb="6" eb="7">
      <t>サカ</t>
    </rPh>
    <rPh sb="10" eb="12">
      <t>ハケイ</t>
    </rPh>
    <phoneticPr fontId="13"/>
  </si>
  <si>
    <r>
      <t xml:space="preserve">  各回路方式でのΔI</t>
    </r>
    <r>
      <rPr>
        <sz val="8"/>
        <rFont val="Meiryo UI"/>
        <family val="3"/>
        <charset val="128"/>
      </rPr>
      <t>L</t>
    </r>
    <r>
      <rPr>
        <sz val="10"/>
        <rFont val="Meiryo UI"/>
        <family val="3"/>
        <charset val="128"/>
      </rPr>
      <t>は以下の通り</t>
    </r>
    <rPh sb="2" eb="3">
      <t>カク</t>
    </rPh>
    <rPh sb="3" eb="5">
      <t>カイロ</t>
    </rPh>
    <rPh sb="5" eb="7">
      <t>ホウシキ</t>
    </rPh>
    <rPh sb="13" eb="15">
      <t>イカ</t>
    </rPh>
    <rPh sb="16" eb="17">
      <t>トオ</t>
    </rPh>
    <phoneticPr fontId="13"/>
  </si>
  <si>
    <t xml:space="preserve">    Vin：入力電圧、Vout：出力電圧、L：ｲﾝﾀﾞｸﾀﾝｽ値、fosc：ｽｲｯﾁﾝｸﾞ周波数</t>
    <rPh sb="8" eb="10">
      <t>ニュウリョク</t>
    </rPh>
    <rPh sb="10" eb="12">
      <t>デンアツ</t>
    </rPh>
    <rPh sb="18" eb="20">
      <t>シュツリョク</t>
    </rPh>
    <rPh sb="20" eb="22">
      <t>デンアツ</t>
    </rPh>
    <rPh sb="33" eb="34">
      <t>チ</t>
    </rPh>
    <rPh sb="47" eb="50">
      <t>シュウハスウ</t>
    </rPh>
    <phoneticPr fontId="13"/>
  </si>
  <si>
    <t xml:space="preserve">  Buck回路</t>
    <rPh sb="6" eb="8">
      <t>カイロ</t>
    </rPh>
    <phoneticPr fontId="13"/>
  </si>
  <si>
    <t xml:space="preserve">  Boost回路</t>
    <rPh sb="7" eb="9">
      <t>カイロ</t>
    </rPh>
    <phoneticPr fontId="13"/>
  </si>
  <si>
    <t>回路方式</t>
    <rPh sb="0" eb="2">
      <t>カイロ</t>
    </rPh>
    <rPh sb="2" eb="4">
      <t>ホウシキ</t>
    </rPh>
    <phoneticPr fontId="13"/>
  </si>
  <si>
    <t>Vin：</t>
    <phoneticPr fontId="13"/>
  </si>
  <si>
    <t>Vout：</t>
    <phoneticPr fontId="13"/>
  </si>
  <si>
    <t>Total L：</t>
    <phoneticPr fontId="13"/>
  </si>
  <si>
    <t>μH</t>
    <phoneticPr fontId="13"/>
  </si>
  <si>
    <t>fosc：</t>
    <phoneticPr fontId="13"/>
  </si>
  <si>
    <t>KHz</t>
    <phoneticPr fontId="13"/>
  </si>
  <si>
    <t>Io：</t>
    <phoneticPr fontId="13"/>
  </si>
  <si>
    <t>D：</t>
    <phoneticPr fontId="13"/>
  </si>
  <si>
    <r>
      <t>ΔI</t>
    </r>
    <r>
      <rPr>
        <sz val="8"/>
        <rFont val="Meiryo UI"/>
        <family val="3"/>
        <charset val="128"/>
      </rPr>
      <t>L</t>
    </r>
    <r>
      <rPr>
        <sz val="10"/>
        <rFont val="Meiryo UI"/>
        <family val="3"/>
        <charset val="128"/>
      </rPr>
      <t>：</t>
    </r>
    <phoneticPr fontId="13"/>
  </si>
  <si>
    <t>to：</t>
    <phoneticPr fontId="13"/>
  </si>
  <si>
    <t>μS</t>
    <phoneticPr fontId="13"/>
  </si>
  <si>
    <t>ｔ１：</t>
    <phoneticPr fontId="13"/>
  </si>
  <si>
    <t>https://vayyar.com/auto/technology/79ghz/</t>
    <phoneticPr fontId="13"/>
  </si>
  <si>
    <t>https://www.ti.com/tool/en-us/TPS59632Q1EVM-057</t>
    <phoneticPr fontId="13"/>
  </si>
  <si>
    <t>https://www.ti.com/content/dam/ticom/images/products/ic/power-management/power-management-multi-channel-ic-solutions/boards/tps59632q1evm-057-angled.png:large</t>
    <phoneticPr fontId="13"/>
  </si>
  <si>
    <t>DA9213</t>
    <phoneticPr fontId="13"/>
  </si>
  <si>
    <t>https://www.renesas.com/sites/default/files/styles/two_columns/public/blockdiagram_da9213.jpg?itok=uRKNgnAx</t>
    <phoneticPr fontId="13"/>
  </si>
  <si>
    <t>Din Maker</t>
    <phoneticPr fontId="13"/>
  </si>
  <si>
    <t>Renesas Electronics</t>
    <phoneticPr fontId="13"/>
  </si>
  <si>
    <t>Onsemi</t>
    <phoneticPr fontId="13"/>
  </si>
  <si>
    <t>Din Img (Offline)</t>
    <phoneticPr fontId="13"/>
  </si>
  <si>
    <t>℃</t>
    <phoneticPr fontId="13"/>
  </si>
  <si>
    <r>
      <rPr>
        <sz val="7"/>
        <color theme="1" tint="0.499984740745262"/>
        <rFont val="Wingdings 3"/>
        <family val="1"/>
        <charset val="2"/>
      </rPr>
      <t>f</t>
    </r>
    <r>
      <rPr>
        <sz val="7"/>
        <color theme="1" tint="0.499984740745262"/>
        <rFont val="Arial"/>
        <family val="2"/>
      </rPr>
      <t>buck-boost option</t>
    </r>
    <phoneticPr fontId="13"/>
  </si>
  <si>
    <t>ETQP3M220KVP</t>
    <phoneticPr fontId="13"/>
  </si>
  <si>
    <t>3M-KVP</t>
    <phoneticPr fontId="13"/>
  </si>
  <si>
    <t>=E41*(1-E41/D41)/(B41*(C46/1000000))</t>
    <phoneticPr fontId="13"/>
  </si>
  <si>
    <t>of Iout</t>
    <phoneticPr fontId="13"/>
  </si>
  <si>
    <t>Iac</t>
    <phoneticPr fontId="13"/>
  </si>
  <si>
    <t>←</t>
    <phoneticPr fontId="13"/>
  </si>
  <si>
    <t>Iin</t>
    <phoneticPr fontId="13"/>
  </si>
  <si>
    <t>インダクタ電流</t>
    <phoneticPr fontId="13"/>
  </si>
  <si>
    <t>IL</t>
    <phoneticPr fontId="1"/>
  </si>
  <si>
    <t>Iout</t>
    <phoneticPr fontId="1"/>
  </si>
  <si>
    <t>Iin</t>
    <phoneticPr fontId="1"/>
  </si>
  <si>
    <t>per ph</t>
    <phoneticPr fontId="13"/>
  </si>
  <si>
    <t>*↑Iout, In per Lなのでグラフには描画しない</t>
    <rPh sb="24" eb="26">
      <t>ビョウガ</t>
    </rPh>
    <phoneticPr fontId="13"/>
  </si>
  <si>
    <t xml:space="preserve">  IL (A) はBoostの場合は、入力電流のリプル有を示している。</t>
    <rPh sb="16" eb="18">
      <t>バアイ</t>
    </rPh>
    <rPh sb="20" eb="24">
      <t>ニュウリョクデンリュウ</t>
    </rPh>
    <rPh sb="28" eb="29">
      <t>アリ</t>
    </rPh>
    <rPh sb="30" eb="31">
      <t>シメ</t>
    </rPh>
    <phoneticPr fontId="13"/>
  </si>
  <si>
    <t>design values</t>
    <phoneticPr fontId="13"/>
  </si>
  <si>
    <r>
      <t xml:space="preserve">  I</t>
    </r>
    <r>
      <rPr>
        <sz val="9"/>
        <color theme="1"/>
        <rFont val="Arial"/>
        <family val="2"/>
      </rPr>
      <t>L(peak</t>
    </r>
    <r>
      <rPr>
        <sz val="11"/>
        <color theme="1"/>
        <rFont val="Arial"/>
        <family val="2"/>
      </rPr>
      <t>)</t>
    </r>
    <phoneticPr fontId="13"/>
  </si>
  <si>
    <t xml:space="preserve">  Amient Temp.</t>
    <phoneticPr fontId="13"/>
  </si>
  <si>
    <t>View typical designs↓</t>
    <phoneticPr fontId="13"/>
  </si>
  <si>
    <t>Typical design example of …</t>
    <phoneticPr fontId="13"/>
  </si>
  <si>
    <t>2023/8/1 MP</t>
    <phoneticPr fontId="13"/>
  </si>
  <si>
    <t xml:space="preserve">    board image</t>
    <phoneticPr fontId="13"/>
  </si>
  <si>
    <t xml:space="preserve">    app image</t>
    <phoneticPr fontId="13"/>
  </si>
  <si>
    <t>Summary</t>
    <phoneticPr fontId="13"/>
  </si>
  <si>
    <t>2023/10/31 MP</t>
    <phoneticPr fontId="13"/>
  </si>
  <si>
    <t>ETQP5MR22CVM</t>
    <phoneticPr fontId="13"/>
  </si>
  <si>
    <t>PCC-M0750M-LL</t>
    <phoneticPr fontId="13"/>
  </si>
  <si>
    <t>5M-CVM</t>
    <phoneticPr fontId="13"/>
  </si>
  <si>
    <t>AM-JFW</t>
    <phoneticPr fontId="13"/>
  </si>
  <si>
    <t>LL (Low Inductance)</t>
    <phoneticPr fontId="13"/>
  </si>
  <si>
    <t>7.9  x  7</t>
  </si>
  <si>
    <r>
      <t>2024/6/7 UD</t>
    </r>
    <r>
      <rPr>
        <sz val="11"/>
        <color theme="1"/>
        <rFont val="ＭＳ Ｐゴシック"/>
        <family val="2"/>
        <charset val="128"/>
      </rPr>
      <t>→</t>
    </r>
    <r>
      <rPr>
        <sz val="11"/>
        <color theme="1"/>
        <rFont val="Arial"/>
        <family val="2"/>
      </rPr>
      <t>MP</t>
    </r>
    <r>
      <rPr>
        <sz val="11"/>
        <color theme="1"/>
        <rFont val="ＭＳ Ｐゴシック"/>
        <family val="2"/>
        <charset val="128"/>
      </rPr>
      <t>へ</t>
    </r>
    <phoneticPr fontId="13"/>
  </si>
  <si>
    <t>-55 to +155</t>
  </si>
  <si>
    <t>-40 to +150</t>
  </si>
  <si>
    <t>2024/11/29 MP</t>
    <phoneticPr fontId="13"/>
  </si>
  <si>
    <t>SMD</t>
    <phoneticPr fontId="13"/>
  </si>
  <si>
    <t>ETQP5M2R5YTC</t>
  </si>
  <si>
    <t>ETQP5M2R5YTC</t>
    <phoneticPr fontId="13"/>
  </si>
  <si>
    <t>ETQP5M3R3YTC</t>
  </si>
  <si>
    <t>ETQP5M3R3YTC</t>
    <phoneticPr fontId="13"/>
  </si>
  <si>
    <t>??</t>
  </si>
  <si>
    <t>5M-YTC</t>
    <phoneticPr fontId="13"/>
  </si>
  <si>
    <t>ETQP3MR10KVP</t>
  </si>
  <si>
    <t>ETQP3MR10KVP</t>
    <phoneticPr fontId="13"/>
  </si>
  <si>
    <t>ETQP4MR47KFM</t>
  </si>
  <si>
    <t>ETQP4MR47KFM</t>
    <phoneticPr fontId="13"/>
  </si>
  <si>
    <t>4M-KFM</t>
    <phoneticPr fontId="13"/>
  </si>
  <si>
    <r>
      <t xml:space="preserve">2025/2/21 </t>
    </r>
    <r>
      <rPr>
        <sz val="11"/>
        <color theme="1"/>
        <rFont val="ＭＳ Ｐゴシック"/>
        <family val="2"/>
        <charset val="128"/>
      </rPr>
      <t>カタログ追加</t>
    </r>
    <rPh sb="14" eb="16">
      <t>ツイカ</t>
    </rPh>
    <phoneticPr fontId="13"/>
  </si>
  <si>
    <t>Isat (-30%)</t>
    <phoneticPr fontId="13"/>
  </si>
  <si>
    <t>Isat (-20%)</t>
    <phoneticPr fontId="13"/>
  </si>
  <si>
    <t>2025/3/28 MP</t>
    <phoneticPr fontId="13"/>
  </si>
  <si>
    <t>ETQP4M100YFP</t>
    <phoneticPr fontId="13"/>
  </si>
  <si>
    <r>
      <t>2025/3/28 UD</t>
    </r>
    <r>
      <rPr>
        <b/>
        <sz val="11"/>
        <color theme="1"/>
        <rFont val="ＭＳ Ｐゴシック"/>
        <family val="2"/>
        <charset val="128"/>
      </rPr>
      <t>→</t>
    </r>
    <r>
      <rPr>
        <b/>
        <sz val="11"/>
        <color theme="1"/>
        <rFont val="Arial"/>
        <family val="2"/>
      </rPr>
      <t>MP</t>
    </r>
    <r>
      <rPr>
        <b/>
        <sz val="11"/>
        <color theme="1"/>
        <rFont val="ＭＳ Ｐゴシック"/>
        <family val="2"/>
        <charset val="128"/>
      </rPr>
      <t>へ</t>
    </r>
    <phoneticPr fontId="13"/>
  </si>
  <si>
    <t>ETQP3MR47KVN</t>
    <phoneticPr fontId="13"/>
  </si>
  <si>
    <t>3M-KVN</t>
    <phoneticPr fontId="13"/>
  </si>
  <si>
    <t>2025/4/25 MP</t>
    <phoneticPr fontId="13"/>
  </si>
  <si>
    <t>6  x  6.4</t>
  </si>
  <si>
    <r>
      <t>2025/7/10 UD</t>
    </r>
    <r>
      <rPr>
        <sz val="11"/>
        <color theme="1"/>
        <rFont val="ＭＳ Ｐゴシック"/>
        <family val="2"/>
        <charset val="128"/>
      </rPr>
      <t>→</t>
    </r>
    <r>
      <rPr>
        <sz val="11"/>
        <color theme="1"/>
        <rFont val="Arial"/>
        <family val="2"/>
      </rPr>
      <t>MP</t>
    </r>
    <phoneticPr fontId="13"/>
  </si>
  <si>
    <r>
      <t>2025/7/10 UD→MP</t>
    </r>
    <r>
      <rPr>
        <sz val="11"/>
        <color theme="1"/>
        <rFont val="ＭＳ Ｐゴシック"/>
        <family val="2"/>
        <charset val="128"/>
      </rPr>
      <t>　</t>
    </r>
    <r>
      <rPr>
        <sz val="11"/>
        <color theme="1"/>
        <rFont val="Arial"/>
        <family val="2"/>
      </rPr>
      <t>2023/10/31 UD</t>
    </r>
    <phoneticPr fontId="13"/>
  </si>
  <si>
    <t>https://industrial.panasonic.com/ww/products/pt/automotive-inductors/models/ETQP5MR33YLC</t>
  </si>
  <si>
    <t>https://industrial.panasonic.com/ww/products/pt/automotive-inductors/models/ETQP8MR33JFA</t>
  </si>
  <si>
    <t>https://industrial.panasonic.com/ww/products/pt/automotive-inductors/models/ETQP3MR33KVP</t>
  </si>
  <si>
    <t>https://industrial.panasonic.com/ww/products/pt/automotive-inductors/models/ETQP3MR47KVP</t>
  </si>
  <si>
    <t>https://industrial.panasonic.com/ww/products/pt/automotive-inductors/models/ETQP4MR47KLC</t>
  </si>
  <si>
    <t>https://industrial.panasonic.com/ww/products/pt/automotive-inductors/models/ETQP3MR68YFN</t>
  </si>
  <si>
    <t>https://industrial.panasonic.com/ww/products/pt/automotive-inductors/models/ETQP5MR68YLC</t>
  </si>
  <si>
    <t>https://industrial.panasonic.com/ww/products/pt/automotive-inductors/models/ETQP8MR68JFA</t>
  </si>
  <si>
    <t>https://industrial.panasonic.com/ww/products/pt/automotive-inductors/models/ETQP3MR68KVP</t>
  </si>
  <si>
    <t>https://industrial.panasonic.com/ww/products/pt/automotive-inductors/models/ETQP3MR68KVN</t>
  </si>
  <si>
    <t>https://industrial.panasonic.com/ww/products/pt/automotive-inductors/models/ETQP4MR68KVK</t>
  </si>
  <si>
    <t>https://industrial.panasonic.com/ww/products/pt/automotive-inductors/models/ETQP5MR68YSC</t>
  </si>
  <si>
    <t>https://industrial.panasonic.com/ww/products/pt/automotive-inductors/models/ETQP3M1R0YFN</t>
  </si>
  <si>
    <t>https://industrial.panasonic.com/ww/products/pt/automotive-inductors/models/ETQP5M1R0YLC</t>
  </si>
  <si>
    <t>https://industrial.panasonic.com/ww/products/pt/automotive-inductors/models/ETQP8M1R0JFA</t>
  </si>
  <si>
    <t>https://industrial.panasonic.com/ww/products/pt/automotive-inductors/models/ETQP3M1R0KVP</t>
  </si>
  <si>
    <t>https://industrial.panasonic.com/ww/products/pt/automotive-inductors/models/ETQP3M1R0KVN</t>
  </si>
  <si>
    <t>https://industrial.panasonic.com/ww/products/pt/automotive-inductors/models/ETQP4M1R0KVK</t>
  </si>
  <si>
    <t>https://industrial.panasonic.com/ww/products/pt/automotive-inductors/models/ETQP4M1R0KVC</t>
  </si>
  <si>
    <t>https://industrial.panasonic.com/ww/products/pt/automotive-inductors/models/ETQP5M1R5YFC</t>
  </si>
  <si>
    <t>https://industrial.panasonic.com/ww/products/pt/automotive-inductors/models/ETQP6M1R5YLC</t>
  </si>
  <si>
    <t>https://industrial.panasonic.com/ww/products/pt/automotive-inductors/models/ETQP8M1R5JFA</t>
  </si>
  <si>
    <t>https://industrial.panasonic.com/ww/products/pt/automotive-inductors/models/ETQP3M1R5KVP</t>
  </si>
  <si>
    <t>https://industrial.panasonic.com/ww/products/pt/automotive-inductors/models/ETQP3M1R5KVN</t>
  </si>
  <si>
    <t>https://industrial.panasonic.com/ww/products/pt/automotive-inductors/models/ETQP4M1R5KVK</t>
  </si>
  <si>
    <t>https://industrial.panasonic.com/ww/products/pt/automotive-inductors/models/ETQP4M1R5KVC</t>
  </si>
  <si>
    <t>https://industrial.panasonic.com/ww/products/pt/automotive-inductors/models/ETQP5M2R0YSC</t>
  </si>
  <si>
    <t>https://industrial.panasonic.com/ww/products/pt/automotive-inductors/models/ETQP5M2R0YLC</t>
  </si>
  <si>
    <t>https://industrial.panasonic.com/ww/products/pt/automotive-inductors/models/ETQP3M2R2YFP</t>
  </si>
  <si>
    <t>https://industrial.panasonic.com/ww/products/pt/automotive-inductors/models/ETQP3M2R2KVP</t>
  </si>
  <si>
    <t>https://industrial.panasonic.com/ww/products/pt/automotive-inductors/models/ETQP3M2R2KVN</t>
  </si>
  <si>
    <t>https://industrial.panasonic.com/ww/products/pt/automotive-inductors/models/ETQP4M2R2KVK</t>
  </si>
  <si>
    <t>https://industrial.panasonic.com/ww/products/pt/automotive-inductors/models/ETQP4M2R2KVC</t>
  </si>
  <si>
    <t>https://industrial.panasonic.com/ww/products/pt/automotive-inductors/models/ETQP3M2R2HFP</t>
  </si>
  <si>
    <t>https://industrial.panasonic.com/ww/products/pt/automotive-inductors/models/ETQP4M2R2YFN</t>
  </si>
  <si>
    <t>https://industrial.panasonic.com/ww/products/pt/automotive-inductors/models/ETQP5M2R5YSK</t>
  </si>
  <si>
    <t>https://industrial.panasonic.com/ww/products/pt/automotive-inductors/models/ETQP5M2R5YFC</t>
  </si>
  <si>
    <t>https://industrial.panasonic.com/ww/products/pt/automotive-inductors/models/ETQP5M2R5YFK</t>
  </si>
  <si>
    <t>https://industrial.panasonic.com/ww/products/pt/automotive-inductors/models/ETQP6M2R5YLC</t>
  </si>
  <si>
    <t>https://industrial.panasonic.com/ww/products/pt/automotive-inductors/models/ETQP8M2R5JFA</t>
  </si>
  <si>
    <t>https://industrial.panasonic.com/ww/products/pt/automotive-inductors/models/ETQP4M3R3YFN</t>
  </si>
  <si>
    <t>https://industrial.panasonic.com/ww/products/pt/automotive-inductors/models/ETQP3M3R3YFP</t>
  </si>
  <si>
    <t>https://industrial.panasonic.com/ww/products/pt/automotive-inductors/models/ETQP5M3R3YFC</t>
  </si>
  <si>
    <t>https://industrial.panasonic.com/ww/products/pt/automotive-inductors/models/ETQP6M3R3YLC</t>
  </si>
  <si>
    <t>https://industrial.panasonic.com/ww/products/pt/automotive-inductors/models/ETQP8M3R3JFA</t>
  </si>
  <si>
    <t>https://industrial.panasonic.com/ww/products/pt/automotive-inductors/models/ETQP3M3R3KVP</t>
  </si>
  <si>
    <t>https://industrial.panasonic.com/ww/products/pt/automotive-inductors/models/ETQP3M3R3KVN</t>
  </si>
  <si>
    <t>https://industrial.panasonic.com/ww/products/pt/automotive-inductors/models/ETQP4M3R3KVK</t>
  </si>
  <si>
    <t>https://industrial.panasonic.com/ww/products/pt/automotive-inductors/models/ETQP4M3R3KVC</t>
  </si>
  <si>
    <t>https://industrial.panasonic.com/ww/products/pt/automotive-inductors/models/ETQP4M3R3KFN</t>
  </si>
  <si>
    <t>https://industrial.panasonic.com/ww/products/pt/automotive-inductors/models/ETQP5M3R3YFM</t>
  </si>
  <si>
    <t>https://industrial.panasonic.com/ww/products/pt/automotive-inductors/models/ETQP5M3R3YFK</t>
  </si>
  <si>
    <t>https://industrial.panasonic.com/ww/products/pt/automotive-inductors/models/ETQP5M3R3YGC</t>
  </si>
  <si>
    <t>https://industrial.panasonic.com/ww/products/pt/automotive-inductors/models/ETQP4M4R7YFP</t>
  </si>
  <si>
    <t>https://industrial.panasonic.com/ww/products/pt/automotive-inductors/models/ETQP5M4R7YFC</t>
  </si>
  <si>
    <t>https://industrial.panasonic.com/ww/products/pt/automotive-inductors/models/ETQP5M4R7YFM</t>
  </si>
  <si>
    <t>https://industrial.panasonic.com/ww/products/pt/automotive-inductors/models/ETQP6M4R7YLC</t>
  </si>
  <si>
    <t>https://industrial.panasonic.com/ww/products/pt/automotive-inductors/models/ETQP8M4R7JFA</t>
  </si>
  <si>
    <t>https://industrial.panasonic.com/ww/products/pt/automotive-inductors/models/ETQP3M4R7KVP</t>
  </si>
  <si>
    <t>https://industrial.panasonic.com/ww/products/pt/automotive-inductors/models/ETQP3M4R7KVN</t>
  </si>
  <si>
    <t>https://industrial.panasonic.com/ww/products/pt/automotive-inductors/models/ETQP4M4R7KVK</t>
  </si>
  <si>
    <t>https://industrial.panasonic.com/ww/products/pt/automotive-inductors/models/ETQP4M4R7KVC</t>
  </si>
  <si>
    <t>https://industrial.panasonic.com/ww/products/pt/automotive-inductors/models/ETQP4M4R7KFN</t>
  </si>
  <si>
    <t>https://industrial.panasonic.com/ww/products/pt/automotive-inductors/models/ETQP4M4R7KFM</t>
  </si>
  <si>
    <t>https://industrial.panasonic.com/ww/products/pt/automotive-inductors/models/ETQP4M6R8YFN</t>
  </si>
  <si>
    <t>https://industrial.panasonic.com/ww/products/pt/automotive-inductors/models/ETQP5M6R8YFM</t>
  </si>
  <si>
    <t>https://industrial.panasonic.com/ww/products/pt/automotive-inductors/models/ETQP3M6R8KVP</t>
  </si>
  <si>
    <t>https://industrial.panasonic.com/ww/products/pt/automotive-inductors/models/ETQP3M6R8KVN</t>
  </si>
  <si>
    <t>https://industrial.panasonic.com/ww/products/pt/automotive-inductors/models/ETQP4M6R8KVK</t>
  </si>
  <si>
    <t>https://industrial.panasonic.com/ww/products/pt/automotive-inductors/models/ETQP4M6R8KVC</t>
  </si>
  <si>
    <t>https://industrial.panasonic.com/ww/products/pt/automotive-inductors/models/ETQP4M6R8KFN</t>
  </si>
  <si>
    <t>https://industrial.panasonic.com/ww/products/pt/automotive-inductors/models/ETQP4M100YFN</t>
  </si>
  <si>
    <t>https://industrial.panasonic.com/ww/products/pt/automotive-inductors/models/ETQP5M100YFC</t>
  </si>
  <si>
    <t>https://industrial.panasonic.com/ww/products/pt/automotive-inductors/models/ETQP5M100YFK</t>
  </si>
  <si>
    <t>https://industrial.panasonic.com/ww/products/pt/automotive-inductors/models/ETQP5M100YFM</t>
  </si>
  <si>
    <t>https://industrial.panasonic.com/ww/products/pt/automotive-inductors/models/ETQP3M100KVP</t>
  </si>
  <si>
    <t>https://industrial.panasonic.com/ww/products/pt/automotive-inductors/models/ETQP3M100KVN</t>
  </si>
  <si>
    <t>https://industrial.panasonic.com/ww/products/pt/automotive-inductors/models/ETQP4M100KVK</t>
  </si>
  <si>
    <t>https://industrial.panasonic.com/ww/products/pt/automotive-inductors/models/ETQP4M100KVC</t>
  </si>
  <si>
    <t>https://industrial.panasonic.com/ww/products/pt/automotive-inductors/models/ETQP3M100HFN</t>
  </si>
  <si>
    <t>https://industrial.panasonic.com/ww/products/pt/automotive-inductors/models/ETQP4M100KFN</t>
  </si>
  <si>
    <t>https://industrial.panasonic.com/ww/products/pt/automotive-inductors/models/ETQP4M100KFM</t>
  </si>
  <si>
    <t>https://industrial.panasonic.com/ww/products/pt/automotive-inductors/models/ETQP5M100GAK</t>
  </si>
  <si>
    <t>https://industrial.panasonic.com/ww/products/pt/automotive-inductors/models/ETQP6M150KLC</t>
  </si>
  <si>
    <t>https://industrial.panasonic.com/ww/products/pt/automotive-inductors/models/ETQP5M150YFC</t>
  </si>
  <si>
    <t>https://industrial.panasonic.com/ww/products/pt/automotive-inductors/models/ETQP5M150YFK</t>
  </si>
  <si>
    <t>https://industrial.panasonic.com/ww/products/pt/automotive-inductors/models/ETQP3M150KVN</t>
  </si>
  <si>
    <t>https://industrial.panasonic.com/ww/products/pt/automotive-inductors/models/ETQP4M150KVK</t>
  </si>
  <si>
    <t>https://industrial.panasonic.com/ww/products/pt/automotive-inductors/models/ETQP4M150KVC</t>
  </si>
  <si>
    <t>https://industrial.panasonic.com/ww/products/pt/automotive-inductors/models/ETQP4M150KFN</t>
  </si>
  <si>
    <t>https://industrial.panasonic.com/ww/products/pt/automotive-inductors/models/ETQP4M150KFM</t>
  </si>
  <si>
    <t>https://industrial.panasonic.com/ww/products/pt/automotive-inductors/models/ETQP4M220YFN</t>
  </si>
  <si>
    <t>https://industrial.panasonic.com/ww/products/pt/automotive-inductors/models/ETQP4M220YFP</t>
  </si>
  <si>
    <t>https://industrial.panasonic.com/ww/products/pt/automotive-inductors/models/ETQP5M220YFC</t>
  </si>
  <si>
    <t>https://industrial.panasonic.com/ww/products/pt/automotive-inductors/models/ETQP5M220YFK</t>
  </si>
  <si>
    <t>https://industrial.panasonic.com/ww/products/pt/automotive-inductors/models/ETQP5M220YFM</t>
  </si>
  <si>
    <t>https://industrial.panasonic.com/ww/products/pt/automotive-inductors/models/ETQP3M220KVN</t>
  </si>
  <si>
    <t>https://industrial.panasonic.com/ww/products/pt/automotive-inductors/models/ETQP4M220KVK</t>
  </si>
  <si>
    <t>https://industrial.panasonic.com/ww/products/pt/automotive-inductors/models/ETQP4M220KVC</t>
  </si>
  <si>
    <t>https://industrial.panasonic.com/ww/products/pt/automotive-inductors/models/ETQP3M220HFN</t>
  </si>
  <si>
    <t>https://industrial.panasonic.com/ww/products/pt/automotive-inductors/models/ETQP4M220KFM</t>
  </si>
  <si>
    <t>https://industrial.panasonic.com/ww/products/pt/automotive-inductors/models/ETQP4M220KFN</t>
  </si>
  <si>
    <t>https://industrial.panasonic.com/ww/products/pt/automotive-inductors/models/ETQP4M330YFN</t>
  </si>
  <si>
    <t>https://industrial.panasonic.com/ww/products/pt/automotive-inductors/models/ETQP5M330YFC</t>
  </si>
  <si>
    <t>https://industrial.panasonic.com/ww/products/pt/automotive-inductors/models/ETQP5M330YFM</t>
  </si>
  <si>
    <t>https://industrial.panasonic.com/ww/products/pt/automotive-inductors/models/ETQP3M330KVN</t>
  </si>
  <si>
    <t>https://industrial.panasonic.com/ww/products/pt/automotive-inductors/models/ETQP4M330KVK</t>
  </si>
  <si>
    <t>https://industrial.panasonic.com/ww/products/pt/automotive-inductors/models/ETQP4M330KVC</t>
  </si>
  <si>
    <t>https://industrial.panasonic.com/ww/products/pt/automotive-inductors/models/ETQP4M330KFM</t>
  </si>
  <si>
    <t>https://industrial.panasonic.com/ww/products/pt/automotive-inductors/models/ETQPDH240DTV</t>
  </si>
  <si>
    <t>https://industrial.panasonic.com/ww/products/pt/automotive-inductors/models/ETQP4M470YFN</t>
  </si>
  <si>
    <t>https://industrial.panasonic.com/ww/products/pt/automotive-inductors/models/ETQP5M470YFC</t>
  </si>
  <si>
    <t>https://industrial.panasonic.com/ww/products/pt/automotive-inductors/models/ETQP4M470KVC</t>
  </si>
  <si>
    <t>https://industrial.panasonic.com/ww/products/pt/automotive-inductors/models/ETQP4M470KFM</t>
  </si>
  <si>
    <t>https://industrial.panasonic.com/ww/products/pt/automotive-inductors/models/ETQP5M470YFK</t>
  </si>
  <si>
    <t>https://industrial.panasonic.com/ww/products/pt/automotive-inductors/models/ETQP5M470YFM</t>
  </si>
  <si>
    <t>https://industrial.panasonic.com/ww/products/pt/automotive-inductors/models/ETQP5M680YFC</t>
  </si>
  <si>
    <t>https://industrial.panasonic.com/ww/products/pt/automotive-inductors/models/ETQP5M680YFM</t>
  </si>
  <si>
    <t>https://industrial.panasonic.com/ww/products/pt/automotive-inductors/models/ETQP4M680KVC</t>
  </si>
  <si>
    <t>https://industrial.panasonic.com/ww/products/pt/automotive-inductors/models/ETQP5M820YGC</t>
  </si>
  <si>
    <t>https://industrial.panasonic.com/ww/products/pt/automotive-inductors/models/ETQP5M101YGM</t>
  </si>
  <si>
    <t>https://industrial.panasonic.com/ww/products/pt/automotive-inductors/models/ETQP5M101YGC</t>
  </si>
  <si>
    <t>https://industrial.panasonic.com/ww/products/pt/automotive-inductors/models/ETQP5M101YGK</t>
  </si>
  <si>
    <t>https://industrial.panasonic.com/ww/products/pt/automotive-inductors/models/ETQP4M101KVC</t>
  </si>
  <si>
    <t>https://industrial.panasonic.com/ww/products/pt/automotive-inductors/models/ETQP5M220YSC</t>
  </si>
  <si>
    <t>https://industrial.panasonic.com/ww/products/pt/automotive-inductors/models/ETQP5M470YSC</t>
  </si>
  <si>
    <t>https://industrial.panasonic.com/ww/products/pt/automotive-inductors/models/ETQP6M2R5YSC</t>
  </si>
  <si>
    <t>https://industrial.panasonic.com/ww/products/pt/automotive-inductors/models/ETQPAMR33JFW</t>
  </si>
  <si>
    <t>https://industrial.panasonic.com/ww/products/pt/automotive-inductors/models/ETQPAMR68JFW</t>
  </si>
  <si>
    <t>https://industrial.panasonic.com/ww/products/pt/automotive-inductors/models/ETQPAM1R0JFW</t>
  </si>
  <si>
    <t>https://industrial.panasonic.com/ww/products/pt/automotive-inductors/models/ETQPAM1R5JFW</t>
  </si>
  <si>
    <t>https://industrial.panasonic.com/ww/products/pt/automotive-inductors/models/ETQPAM2R5JFW</t>
  </si>
  <si>
    <t>https://industrial.panasonic.com/ww/products/pt/automotive-inductors/models/ETQPAM3R3JFW</t>
  </si>
  <si>
    <t>https://industrial.panasonic.com/ww/products/pt/automotive-inductors/models/ETQPAM4R7JFW</t>
  </si>
  <si>
    <t>https://industrial.panasonic.com/ww/products/pt/automotive-inductors/models/ETQP3M220KVP</t>
  </si>
  <si>
    <t>https://industrial.panasonic.com/ww/products/pt/automotive-inductors/models/ETQP5M2R5YTC</t>
  </si>
  <si>
    <t>https://industrial.panasonic.com/ww/products/pt/automotive-inductors/models/ETQP5M3R3YTC</t>
  </si>
  <si>
    <t>https://industrial.panasonic.com/ww/products/pt/automotive-inductors/models/ETQP3MR10KVP</t>
  </si>
  <si>
    <t>https://industrial.panasonic.com/ww/products/pt/automotive-inductors/models/ETQP4MR47KFM</t>
  </si>
  <si>
    <t>https://industrial.panasonic.com/ww/products/pt/automotive-inductors/models/ETQP4M100YFP</t>
  </si>
  <si>
    <t>https://industrial.panasonic.com/ww/products/pt/automotive-inductors/models/ETQP3MR47KVN</t>
  </si>
  <si>
    <t>https://industrial.panasonic.com/content/data/CC/pictures/lineup-LL.gif</t>
    <phoneticPr fontId="13"/>
  </si>
  <si>
    <t>ETQP4M1R2KFM</t>
    <phoneticPr fontId="13"/>
  </si>
  <si>
    <t>2025/10/3 MP</t>
    <phoneticPr fontId="13"/>
  </si>
  <si>
    <t>ETQP4M2R2KFM</t>
    <phoneticPr fontId="13"/>
  </si>
  <si>
    <t>ETQP4M1R5KFM</t>
    <phoneticPr fontId="13"/>
  </si>
  <si>
    <t>PCC-M078M-LE</t>
    <phoneticPr fontId="13"/>
  </si>
  <si>
    <t>ETQP4MR47KVK</t>
    <phoneticPr fontId="13"/>
  </si>
  <si>
    <t>4M-KVK</t>
    <phoneticPr fontId="13"/>
  </si>
  <si>
    <t>8.4  x  8</t>
  </si>
  <si>
    <t>ETQP5M100GAK</t>
  </si>
  <si>
    <t>ETQP4M100YFP</t>
  </si>
  <si>
    <t>ETQP5MR22CVM</t>
  </si>
  <si>
    <t>-40 to +160</t>
  </si>
  <si>
    <t>ETQP8MR33JFA</t>
  </si>
  <si>
    <t>ETQP3MR33KVP</t>
  </si>
  <si>
    <t>ETQPAMR33JFW</t>
  </si>
  <si>
    <t>ETQP3MR47KVN</t>
  </si>
  <si>
    <t>ETQP3MR47KVP</t>
  </si>
  <si>
    <t>ETQP4MR47KLC</t>
  </si>
  <si>
    <t>ETQP4MR47KVK</t>
  </si>
  <si>
    <t>ETQP3MR68YFN</t>
  </si>
  <si>
    <t>ETQPAMR68JFW</t>
  </si>
  <si>
    <t>ETQPAM1R0JFW</t>
  </si>
  <si>
    <t>ETQP4M1R2KFM</t>
  </si>
  <si>
    <t>ETQP4M1R5KFM</t>
  </si>
  <si>
    <t>ETQPAM1R5JFW</t>
  </si>
  <si>
    <t>ETQP5M2R0YSC</t>
  </si>
  <si>
    <t>ETQP3M2R2YFP</t>
  </si>
  <si>
    <t>ETQP3M2R2HFP</t>
  </si>
  <si>
    <t>ETQP4M2R2YFN</t>
  </si>
  <si>
    <t>ETQP4M2R2KFM</t>
  </si>
  <si>
    <t>ETQP5M2R5YSK</t>
  </si>
  <si>
    <t>ETQP6M2R5YSC</t>
  </si>
  <si>
    <t>ETQPAM2R5JFW</t>
  </si>
  <si>
    <t>ETQP5M3R3YFM</t>
  </si>
  <si>
    <t>ETQP5M3R3YFK</t>
  </si>
  <si>
    <t>ETQP5M3R3YGC</t>
  </si>
  <si>
    <t>ETQPAM3R3JFW</t>
  </si>
  <si>
    <t>ETQPAM4R7JFW</t>
  </si>
  <si>
    <t>ETQP4M6R8KFN</t>
  </si>
  <si>
    <t>ETQP4M150KFM</t>
  </si>
  <si>
    <t>ETQP5M220YSC</t>
  </si>
  <si>
    <t>ETQP3M220KVP</t>
  </si>
  <si>
    <t>ETQP5M220YFC</t>
  </si>
  <si>
    <t>ETQP4M220KFN</t>
  </si>
  <si>
    <t>ETQP4M330KFM</t>
  </si>
  <si>
    <t>(空白)</t>
  </si>
  <si>
    <t>ETQP5M470YSC</t>
  </si>
  <si>
    <t>ETQP4M680KVC</t>
  </si>
  <si>
    <t>ETQP5M680YFM</t>
  </si>
  <si>
    <t>ETQP5M820YGC</t>
  </si>
  <si>
    <t>ETQP4M101KVC</t>
  </si>
  <si>
    <t>2025/12/19 MP</t>
    <phoneticPr fontId="13"/>
  </si>
  <si>
    <t>ETQP4M470KFN</t>
  </si>
  <si>
    <t>ETQP4M470KFN</t>
    <phoneticPr fontId="13"/>
  </si>
  <si>
    <t>4M-KFN</t>
    <phoneticPr fontId="13"/>
  </si>
  <si>
    <t>https://industrial.panasonic.com/ww/products/pt/automotive-inductors/models/ETQP4M470KFN</t>
  </si>
  <si>
    <t>https://industrial.panasonic.com/ww/products/pt/automotive-inductors/models/ETQP4M470KFN</t>
    <phoneticPr fontId="13"/>
  </si>
  <si>
    <t>-55 to +150</t>
  </si>
  <si>
    <t>ETQP5M6R8GAK</t>
  </si>
  <si>
    <t>ETQP4MR33KLC</t>
  </si>
  <si>
    <t>ETQP6M100GAC</t>
  </si>
  <si>
    <t>6M-GAC</t>
    <phoneticPr fontId="13"/>
  </si>
  <si>
    <t>High Isat (Standard)</t>
  </si>
  <si>
    <t>https://industrial.panasonic.com/ww/products/pt/automotive-inductors/models/ETQP5M6R8GAK</t>
  </si>
  <si>
    <t>https://industrial.panasonic.com/ww/products/pt/automotive-inductors/models/ETQP5M6R8GAK</t>
    <phoneticPr fontId="13"/>
  </si>
  <si>
    <t>https://industrial.panasonic.com/ww/products/pt/automotive-inductors/models/ETQP4MR33KLC</t>
  </si>
  <si>
    <t>https://industrial.panasonic.com/ww/products/pt/automotive-inductors/models/ETQP4MR33KLC</t>
    <phoneticPr fontId="13"/>
  </si>
  <si>
    <t>https://industrial.panasonic.com/ww/products/pt/automotive-inductors/models/ETQP6M100GAC</t>
  </si>
  <si>
    <t>https://industrial.panasonic.com/ww/products/pt/automotive-inductors/models/ETQP6M100GAC</t>
    <phoneticPr fontId="13"/>
  </si>
  <si>
    <t>⊿L=-20% 
typ (A) *ref value</t>
  </si>
  <si>
    <t>2026/2/6 Catalog up</t>
    <phoneticPr fontId="1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</si>
</sst>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164" formatCode="_ * #,##0.00_ ;_ * \-#,##0.00_ ;_ * &quot;-&quot;??_ ;_ @_ "/>
    <numFmt numFmtId="165" formatCode="0_);[Red]\(0\)"/>
    <numFmt numFmtId="166" formatCode="_(* #,##0.00_);_(* \(#,##0.00\);_(* &quot;-&quot;??_);_(@_)"/>
    <numFmt numFmtId="167" formatCode="#,##0_ "/>
    <numFmt numFmtId="168" formatCode="General&quot; uH&quot;"/>
    <numFmt numFmtId="169" formatCode="0.0_);[Red]\(0.0\)"/>
    <numFmt numFmtId="170" formatCode="0_ "/>
    <numFmt numFmtId="171" formatCode="0.000_ "/>
    <numFmt numFmtId="172" formatCode="0.0_ "/>
    <numFmt numFmtId="173" formatCode="0.00_ "/>
    <numFmt numFmtId="174" formatCode="0.0"/>
    <numFmt numFmtId="175" formatCode="0.000E+00"/>
    <numFmt numFmtId="176" formatCode="0.000"/>
    <numFmt numFmtId="177" formatCode="0.00_);[Red]\(0.00\)"/>
    <numFmt numFmtId="178" formatCode="General&quot; Vin&quot;"/>
    <numFmt numFmtId="179" formatCode="General&quot; Vout&quot;"/>
    <numFmt numFmtId="180" formatCode="General&quot; A&quot;"/>
    <numFmt numFmtId="181" formatCode="General&quot; kHz&quot;"/>
    <numFmt numFmtId="182" formatCode="General&quot; ph&quot;"/>
    <numFmt numFmtId="183" formatCode="0.0000"/>
  </numFmts>
  <fonts count="175">
    <font>
      <sz val="10"/>
      <name val="ＭＳ Ｐゴシック"/>
      <family val="3"/>
      <charset val="128"/>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1"/>
      <color theme="1"/>
      <name val="Calibri"/>
      <family val="2"/>
      <charset val="128"/>
      <scheme val="minor"/>
    </font>
    <font>
      <sz val="10"/>
      <name val="Arial"/>
      <family val="2"/>
    </font>
    <font>
      <sz val="11"/>
      <name val="ＭＳ Ｐゴシック"/>
      <family val="3"/>
      <charset val="128"/>
    </font>
    <font>
      <b/>
      <sz val="10"/>
      <name val="Arial"/>
      <family val="2"/>
    </font>
    <font>
      <sz val="10"/>
      <name val="ＭＳ Ｐゴシック"/>
      <family val="3"/>
      <charset val="128"/>
    </font>
    <font>
      <sz val="6"/>
      <name val="ＭＳ Ｐゴシック"/>
      <family val="3"/>
      <charset val="128"/>
    </font>
    <font>
      <u/>
      <sz val="10"/>
      <color theme="10"/>
      <name val="ＭＳ Ｐゴシック"/>
      <family val="3"/>
      <charset val="128"/>
    </font>
    <font>
      <b/>
      <sz val="12"/>
      <name val="Arial"/>
      <family val="2"/>
    </font>
    <font>
      <sz val="6"/>
      <name val="Calibri"/>
      <family val="2"/>
      <charset val="128"/>
      <scheme val="minor"/>
    </font>
    <font>
      <b/>
      <sz val="18"/>
      <color theme="3"/>
      <name val="Cambria"/>
      <family val="2"/>
      <charset val="128"/>
      <scheme val="major"/>
    </font>
    <font>
      <b/>
      <sz val="15"/>
      <color theme="3"/>
      <name val="Calibri"/>
      <family val="2"/>
      <charset val="128"/>
      <scheme val="minor"/>
    </font>
    <font>
      <b/>
      <sz val="13"/>
      <color theme="3"/>
      <name val="Calibri"/>
      <family val="2"/>
      <charset val="128"/>
      <scheme val="minor"/>
    </font>
    <font>
      <b/>
      <sz val="11"/>
      <color theme="3"/>
      <name val="Calibri"/>
      <family val="2"/>
      <charset val="128"/>
      <scheme val="minor"/>
    </font>
    <font>
      <sz val="11"/>
      <color rgb="FF006100"/>
      <name val="Calibri"/>
      <family val="2"/>
      <charset val="128"/>
      <scheme val="minor"/>
    </font>
    <font>
      <sz val="11"/>
      <color rgb="FF9C0006"/>
      <name val="Calibri"/>
      <family val="2"/>
      <charset val="128"/>
      <scheme val="minor"/>
    </font>
    <font>
      <sz val="11"/>
      <color rgb="FF9C6500"/>
      <name val="Calibri"/>
      <family val="2"/>
      <charset val="128"/>
      <scheme val="minor"/>
    </font>
    <font>
      <sz val="11"/>
      <color rgb="FF3F3F76"/>
      <name val="Calibri"/>
      <family val="2"/>
      <charset val="128"/>
      <scheme val="minor"/>
    </font>
    <font>
      <b/>
      <sz val="11"/>
      <color rgb="FF3F3F3F"/>
      <name val="Calibri"/>
      <family val="2"/>
      <charset val="128"/>
      <scheme val="minor"/>
    </font>
    <font>
      <b/>
      <sz val="11"/>
      <color rgb="FFFA7D00"/>
      <name val="Calibri"/>
      <family val="2"/>
      <charset val="128"/>
      <scheme val="minor"/>
    </font>
    <font>
      <sz val="11"/>
      <color rgb="FFFA7D00"/>
      <name val="Calibri"/>
      <family val="2"/>
      <charset val="128"/>
      <scheme val="minor"/>
    </font>
    <font>
      <b/>
      <sz val="11"/>
      <color theme="0"/>
      <name val="Calibri"/>
      <family val="2"/>
      <charset val="128"/>
      <scheme val="minor"/>
    </font>
    <font>
      <sz val="11"/>
      <color rgb="FFFF0000"/>
      <name val="Calibri"/>
      <family val="2"/>
      <charset val="128"/>
      <scheme val="minor"/>
    </font>
    <font>
      <i/>
      <sz val="11"/>
      <color rgb="FF7F7F7F"/>
      <name val="Calibri"/>
      <family val="2"/>
      <charset val="128"/>
      <scheme val="minor"/>
    </font>
    <font>
      <b/>
      <sz val="11"/>
      <color theme="1"/>
      <name val="Calibri"/>
      <family val="2"/>
      <charset val="128"/>
      <scheme val="minor"/>
    </font>
    <font>
      <sz val="11"/>
      <color theme="0"/>
      <name val="Calibri"/>
      <family val="2"/>
      <charset val="128"/>
      <scheme val="minor"/>
    </font>
    <font>
      <sz val="9"/>
      <name val="Arial"/>
      <family val="2"/>
    </font>
    <font>
      <b/>
      <sz val="9"/>
      <color theme="0"/>
      <name val="Arial"/>
      <family val="2"/>
    </font>
    <font>
      <sz val="9"/>
      <color theme="0"/>
      <name val="Arial"/>
      <family val="2"/>
    </font>
    <font>
      <b/>
      <sz val="16"/>
      <color theme="0"/>
      <name val="Broadway"/>
      <family val="5"/>
    </font>
    <font>
      <sz val="10"/>
      <color theme="0"/>
      <name val="Arial"/>
      <family val="2"/>
    </font>
    <font>
      <sz val="11"/>
      <color theme="1"/>
      <name val="Arial"/>
      <family val="2"/>
    </font>
    <font>
      <b/>
      <sz val="11"/>
      <name val="Arial"/>
      <family val="2"/>
    </font>
    <font>
      <b/>
      <sz val="11"/>
      <color theme="0"/>
      <name val="Arial"/>
      <family val="2"/>
    </font>
    <font>
      <sz val="11"/>
      <color theme="1"/>
      <name val="ＭＳ Ｐゴシック"/>
      <family val="2"/>
      <charset val="128"/>
    </font>
    <font>
      <sz val="11"/>
      <name val="Arial"/>
      <family val="2"/>
    </font>
    <font>
      <b/>
      <sz val="12"/>
      <color theme="1"/>
      <name val="Arial"/>
      <family val="2"/>
    </font>
    <font>
      <sz val="10"/>
      <name val="Arial Unicode MS"/>
      <family val="3"/>
      <charset val="128"/>
    </font>
    <font>
      <b/>
      <u/>
      <sz val="12"/>
      <name val="Arial"/>
      <family val="2"/>
    </font>
    <font>
      <sz val="11"/>
      <color theme="1"/>
      <name val="ＭＳ Ｐゴシック"/>
      <family val="3"/>
      <charset val="128"/>
    </font>
    <font>
      <sz val="10"/>
      <name val="ＭＳ Ｐゴシック"/>
      <family val="2"/>
      <charset val="128"/>
    </font>
    <font>
      <sz val="7"/>
      <color theme="0"/>
      <name val="Arial"/>
      <family val="2"/>
    </font>
    <font>
      <sz val="7"/>
      <color theme="0"/>
      <name val="ＭＳ Ｐゴシック"/>
      <family val="3"/>
      <charset val="128"/>
    </font>
    <font>
      <b/>
      <sz val="10"/>
      <color theme="0"/>
      <name val="Arial"/>
      <family val="2"/>
    </font>
    <font>
      <sz val="9"/>
      <color theme="0"/>
      <name val="ＭＳ Ｐゴシック"/>
      <family val="3"/>
      <charset val="128"/>
    </font>
    <font>
      <b/>
      <sz val="9"/>
      <color indexed="81"/>
      <name val="Meiryo UI"/>
      <family val="3"/>
      <charset val="128"/>
    </font>
    <font>
      <sz val="9"/>
      <color indexed="81"/>
      <name val="Meiryo UI"/>
      <family val="3"/>
      <charset val="128"/>
    </font>
    <font>
      <strike/>
      <sz val="9"/>
      <color theme="0"/>
      <name val="Arial"/>
      <family val="2"/>
    </font>
    <font>
      <sz val="11"/>
      <color rgb="FFFF0000"/>
      <name val="Arial"/>
      <family val="2"/>
    </font>
    <font>
      <sz val="9"/>
      <color indexed="81"/>
      <name val="Arial Unicode MS"/>
      <family val="3"/>
      <charset val="128"/>
    </font>
    <font>
      <sz val="12"/>
      <name val="Times New Roman"/>
      <family val="1"/>
    </font>
    <font>
      <sz val="11"/>
      <color theme="1"/>
      <name val="Calibri"/>
      <family val="3"/>
      <charset val="128"/>
      <scheme val="minor"/>
    </font>
    <font>
      <sz val="9"/>
      <color theme="1"/>
      <name val="Arial"/>
      <family val="2"/>
    </font>
    <font>
      <sz val="9"/>
      <color theme="1"/>
      <name val="ＭＳ Ｐゴシック"/>
      <family val="3"/>
      <charset val="128"/>
    </font>
    <font>
      <b/>
      <sz val="14"/>
      <color theme="0"/>
      <name val="Arial"/>
      <family val="2"/>
    </font>
    <font>
      <b/>
      <sz val="11"/>
      <color theme="0" tint="-0.499984740745262"/>
      <name val="Arial"/>
      <family val="2"/>
    </font>
    <font>
      <b/>
      <sz val="11"/>
      <color theme="1"/>
      <name val="Arial"/>
      <family val="2"/>
    </font>
    <font>
      <sz val="11"/>
      <color indexed="8"/>
      <name val="ＭＳ Ｐゴシック"/>
      <family val="3"/>
      <charset val="128"/>
    </font>
    <font>
      <b/>
      <u/>
      <sz val="10"/>
      <color indexed="18"/>
      <name val="Arial"/>
      <family val="2"/>
    </font>
    <font>
      <sz val="10"/>
      <name val="Times New Roman"/>
      <family val="1"/>
    </font>
    <font>
      <b/>
      <sz val="9"/>
      <color indexed="81"/>
      <name val="ＭＳ Ｐゴシック"/>
      <family val="3"/>
      <charset val="128"/>
    </font>
    <font>
      <b/>
      <sz val="11"/>
      <color theme="1"/>
      <name val="Comic Sans MS"/>
      <family val="4"/>
    </font>
    <font>
      <b/>
      <sz val="11"/>
      <color theme="1"/>
      <name val="ＭＳ Ｐゴシック"/>
      <family val="3"/>
      <charset val="128"/>
    </font>
    <font>
      <sz val="8"/>
      <color theme="1"/>
      <name val="Arial"/>
      <family val="2"/>
    </font>
    <font>
      <b/>
      <sz val="11"/>
      <color rgb="FFFF0000"/>
      <name val="Arial"/>
      <family val="2"/>
    </font>
    <font>
      <b/>
      <sz val="9"/>
      <color indexed="81"/>
      <name val="MS P ゴシック"/>
      <family val="2"/>
    </font>
    <font>
      <b/>
      <sz val="8"/>
      <color theme="0"/>
      <name val="Arial"/>
      <family val="2"/>
    </font>
    <font>
      <b/>
      <sz val="8"/>
      <color theme="0" tint="-0.499984740745262"/>
      <name val="Arial"/>
      <family val="2"/>
    </font>
    <font>
      <b/>
      <sz val="8"/>
      <color theme="0"/>
      <name val="ＭＳ Ｐゴシック"/>
      <family val="3"/>
      <charset val="128"/>
    </font>
    <font>
      <b/>
      <sz val="7"/>
      <color theme="0"/>
      <name val="Arial"/>
      <family val="2"/>
    </font>
    <font>
      <sz val="8"/>
      <color theme="0"/>
      <name val="Arial"/>
      <family val="2"/>
    </font>
    <font>
      <b/>
      <sz val="12"/>
      <color theme="0"/>
      <name val="Arial"/>
      <family val="2"/>
    </font>
    <font>
      <strike/>
      <sz val="9"/>
      <name val="ＭＳ Ｐゴシック"/>
      <family val="3"/>
      <charset val="128"/>
    </font>
    <font>
      <sz val="9"/>
      <name val="ＭＳ Ｐゴシック"/>
      <family val="3"/>
      <charset val="128"/>
    </font>
    <font>
      <sz val="11"/>
      <color theme="0" tint="-0.34998626667073579"/>
      <name val="Arial"/>
      <family val="2"/>
    </font>
    <font>
      <b/>
      <sz val="12"/>
      <name val="Comic Sans MS"/>
      <family val="4"/>
    </font>
    <font>
      <b/>
      <sz val="11"/>
      <name val="Comic Sans MS"/>
      <family val="4"/>
    </font>
    <font>
      <sz val="11"/>
      <color theme="1"/>
      <name val="Arial"/>
      <family val="2"/>
      <charset val="128"/>
    </font>
    <font>
      <u/>
      <sz val="5"/>
      <color theme="10"/>
      <name val="ＭＳ Ｐゴシック"/>
      <family val="3"/>
      <charset val="128"/>
    </font>
    <font>
      <sz val="9"/>
      <color theme="0"/>
      <name val="ＭＳ Ｐゴシック"/>
      <family val="2"/>
      <charset val="128"/>
    </font>
    <font>
      <sz val="6"/>
      <name val="Arial"/>
      <family val="2"/>
    </font>
    <font>
      <b/>
      <sz val="8"/>
      <color rgb="FF0070C0"/>
      <name val="Arial"/>
      <family val="2"/>
    </font>
    <font>
      <u/>
      <sz val="7"/>
      <color theme="10"/>
      <name val="Segoe UI"/>
      <family val="2"/>
    </font>
    <font>
      <b/>
      <u/>
      <sz val="12"/>
      <color theme="1"/>
      <name val="Arial"/>
      <family val="2"/>
    </font>
    <font>
      <u/>
      <sz val="8"/>
      <color theme="10"/>
      <name val="ＭＳ Ｐゴシック"/>
      <family val="3"/>
      <charset val="128"/>
    </font>
    <font>
      <sz val="9"/>
      <color indexed="81"/>
      <name val="MS P ゴシック"/>
      <family val="2"/>
    </font>
    <font>
      <sz val="9"/>
      <color indexed="81"/>
      <name val="ＭＳ Ｐゴシック"/>
      <family val="3"/>
      <charset val="128"/>
    </font>
    <font>
      <sz val="12"/>
      <color theme="1"/>
      <name val="Arial"/>
      <family val="2"/>
    </font>
    <font>
      <b/>
      <sz val="10"/>
      <name val="Arial Unicode MS"/>
      <family val="3"/>
      <charset val="128"/>
    </font>
    <font>
      <b/>
      <sz val="8"/>
      <name val="Arial"/>
      <family val="2"/>
    </font>
    <font>
      <b/>
      <sz val="8"/>
      <name val="Arial Unicode MS"/>
      <family val="3"/>
      <charset val="128"/>
    </font>
    <font>
      <sz val="11"/>
      <color theme="0"/>
      <name val="Arial"/>
      <family val="2"/>
    </font>
    <font>
      <b/>
      <sz val="12"/>
      <color theme="0"/>
      <name val="Arial"/>
      <family val="3"/>
    </font>
    <font>
      <b/>
      <sz val="10"/>
      <name val="ＭＳ Ｐゴシック"/>
      <family val="3"/>
      <charset val="128"/>
    </font>
    <font>
      <b/>
      <vertAlign val="superscript"/>
      <sz val="9"/>
      <color theme="0"/>
      <name val="Arial"/>
      <family val="2"/>
    </font>
    <font>
      <sz val="11"/>
      <color theme="1" tint="0.499984740745262"/>
      <name val="Arial"/>
      <family val="2"/>
    </font>
    <font>
      <sz val="8"/>
      <color theme="1" tint="0.499984740745262"/>
      <name val="Arial"/>
      <family val="2"/>
    </font>
    <font>
      <sz val="9"/>
      <color theme="1" tint="0.499984740745262"/>
      <name val="Arial"/>
      <family val="2"/>
    </font>
    <font>
      <sz val="11"/>
      <name val="Meiryo UI"/>
      <family val="3"/>
      <charset val="128"/>
    </font>
    <font>
      <sz val="8"/>
      <name val="Meiryo UI"/>
      <family val="3"/>
      <charset val="128"/>
    </font>
    <font>
      <sz val="10"/>
      <name val="Meiryo UI"/>
      <family val="3"/>
      <charset val="128"/>
    </font>
    <font>
      <b/>
      <sz val="11"/>
      <color rgb="FF00B050"/>
      <name val="Comic Sans MS"/>
      <family val="4"/>
    </font>
    <font>
      <sz val="8"/>
      <name val="Arial"/>
      <family val="2"/>
    </font>
    <font>
      <b/>
      <sz val="11"/>
      <color theme="0"/>
      <name val="Segoe UI Symbol"/>
      <family val="2"/>
    </font>
    <font>
      <sz val="10"/>
      <color theme="0" tint="-0.249977111117893"/>
      <name val="ＭＳ Ｐゴシック"/>
      <family val="3"/>
      <charset val="128"/>
    </font>
    <font>
      <b/>
      <sz val="11"/>
      <color theme="0"/>
      <name val="Comic Sans MS"/>
      <family val="4"/>
    </font>
    <font>
      <sz val="11"/>
      <color rgb="FF00B050"/>
      <name val="Arial"/>
      <family val="2"/>
    </font>
    <font>
      <sz val="8"/>
      <color rgb="FF00B050"/>
      <name val="Arial"/>
      <family val="2"/>
    </font>
    <font>
      <sz val="11"/>
      <color theme="1"/>
      <name val="ＭＳ ゴシック"/>
      <family val="3"/>
      <charset val="128"/>
    </font>
    <font>
      <sz val="11"/>
      <color theme="1"/>
      <name val="Arial"/>
      <family val="3"/>
    </font>
    <font>
      <sz val="7"/>
      <color theme="1" tint="0.499984740745262"/>
      <name val="Arial"/>
      <family val="2"/>
    </font>
    <font>
      <b/>
      <sz val="11"/>
      <color rgb="FF00B050"/>
      <name val="Arial"/>
      <family val="2"/>
    </font>
    <font>
      <sz val="8"/>
      <color theme="1"/>
      <name val="Arial"/>
      <family val="2"/>
      <charset val="128"/>
    </font>
    <font>
      <sz val="11"/>
      <color theme="1"/>
      <name val="MS UI Gothic"/>
      <family val="2"/>
      <charset val="1"/>
    </font>
    <font>
      <sz val="11"/>
      <color theme="1"/>
      <name val="Arial"/>
      <family val="2"/>
      <charset val="1"/>
    </font>
    <font>
      <sz val="10"/>
      <color theme="1"/>
      <name val="Calibri"/>
      <family val="2"/>
      <charset val="128"/>
      <scheme val="minor"/>
    </font>
    <font>
      <sz val="10"/>
      <color rgb="FF0000FF"/>
      <name val="Calibri"/>
      <family val="2"/>
      <charset val="128"/>
      <scheme val="minor"/>
    </font>
    <font>
      <sz val="9"/>
      <color theme="1"/>
      <name val="Calibri"/>
      <family val="2"/>
      <charset val="128"/>
      <scheme val="minor"/>
    </font>
    <font>
      <sz val="9"/>
      <color theme="1"/>
      <name val="Calibri"/>
      <family val="3"/>
      <charset val="128"/>
      <scheme val="minor"/>
    </font>
    <font>
      <b/>
      <sz val="10"/>
      <color rgb="FF00B0F0"/>
      <name val="Calibri"/>
      <family val="3"/>
      <charset val="128"/>
      <scheme val="minor"/>
    </font>
    <font>
      <b/>
      <sz val="10"/>
      <color rgb="FF0000FF"/>
      <name val="Calibri"/>
      <family val="3"/>
      <charset val="128"/>
      <scheme val="minor"/>
    </font>
    <font>
      <sz val="10"/>
      <color rgb="FF0000FF"/>
      <name val="Calibri"/>
      <family val="3"/>
      <charset val="128"/>
      <scheme val="minor"/>
    </font>
    <font>
      <b/>
      <sz val="10"/>
      <color rgb="FFFF0000"/>
      <name val="Calibri"/>
      <family val="3"/>
      <charset val="128"/>
      <scheme val="minor"/>
    </font>
    <font>
      <sz val="10"/>
      <name val="Calibri"/>
      <family val="3"/>
      <charset val="128"/>
      <scheme val="minor"/>
    </font>
    <font>
      <sz val="10"/>
      <color rgb="FFFF0000"/>
      <name val="Calibri"/>
      <family val="2"/>
      <charset val="128"/>
      <scheme val="minor"/>
    </font>
    <font>
      <b/>
      <sz val="10"/>
      <color theme="1"/>
      <name val="Calibri"/>
      <family val="2"/>
      <charset val="128"/>
      <scheme val="minor"/>
    </font>
    <font>
      <sz val="8"/>
      <color rgb="FF0000FF"/>
      <name val="Calibri"/>
      <family val="2"/>
      <charset val="128"/>
      <scheme val="minor"/>
    </font>
    <font>
      <sz val="8"/>
      <color rgb="FF00B050"/>
      <name val="Calibri"/>
      <family val="2"/>
      <charset val="128"/>
      <scheme val="minor"/>
    </font>
    <font>
      <sz val="8"/>
      <color rgb="FF0000FF"/>
      <name val="Calibri"/>
      <family val="3"/>
      <charset val="128"/>
      <scheme val="minor"/>
    </font>
    <font>
      <b/>
      <sz val="10"/>
      <color rgb="FFFF0000"/>
      <name val="Calibri"/>
      <family val="2"/>
      <charset val="128"/>
      <scheme val="minor"/>
    </font>
    <font>
      <b/>
      <sz val="8"/>
      <color rgb="FFFF0000"/>
      <name val="Calibri"/>
      <family val="3"/>
      <charset val="128"/>
      <scheme val="minor"/>
    </font>
    <font>
      <sz val="8"/>
      <name val="ＭＳ Ｐゴシック"/>
      <family val="3"/>
      <charset val="128"/>
    </font>
    <font>
      <b/>
      <u/>
      <sz val="8"/>
      <color theme="10"/>
      <name val="ＭＳ Ｐゴシック"/>
      <family val="3"/>
      <charset val="128"/>
    </font>
    <font>
      <sz val="10"/>
      <color theme="1" tint="0.499984740745262"/>
      <name val="Calibri"/>
      <family val="2"/>
      <charset val="128"/>
      <scheme val="minor"/>
    </font>
    <font>
      <b/>
      <sz val="10"/>
      <color theme="1" tint="0.499984740745262"/>
      <name val="Calibri"/>
      <family val="2"/>
      <charset val="128"/>
      <scheme val="minor"/>
    </font>
    <font>
      <sz val="10"/>
      <color theme="1" tint="0.499984740745262"/>
      <name val="ＭＳ Ｐゴシック"/>
      <family val="3"/>
      <charset val="128"/>
    </font>
    <font>
      <sz val="10"/>
      <color theme="1"/>
      <name val="Arial"/>
      <family val="2"/>
    </font>
    <font>
      <sz val="10"/>
      <color theme="0" tint="-0.249977111117893"/>
      <name val="Calibri"/>
      <family val="2"/>
      <charset val="128"/>
      <scheme val="minor"/>
    </font>
    <font>
      <b/>
      <sz val="10"/>
      <color theme="0" tint="-0.249977111117893"/>
      <name val="Calibri"/>
      <family val="2"/>
      <charset val="128"/>
      <scheme val="minor"/>
    </font>
    <font>
      <sz val="8"/>
      <color theme="0" tint="-0.249977111117893"/>
      <name val="Arial"/>
      <family val="2"/>
    </font>
    <font>
      <sz val="11"/>
      <color theme="0" tint="-0.249977111117893"/>
      <name val="Arial"/>
      <family val="2"/>
    </font>
    <font>
      <sz val="13.5"/>
      <color rgb="FF000000"/>
      <name val="Meiryo"/>
      <family val="3"/>
      <charset val="128"/>
    </font>
    <font>
      <sz val="11"/>
      <color rgb="FF444444"/>
      <name val="Meiryo UI"/>
      <family val="3"/>
      <charset val="128"/>
    </font>
    <font>
      <sz val="11"/>
      <color rgb="FF000000"/>
      <name val="Arial"/>
      <family val="2"/>
    </font>
    <font>
      <sz val="8"/>
      <color rgb="FF000000"/>
      <name val="Wingdings 3"/>
      <family val="1"/>
      <charset val="2"/>
    </font>
    <font>
      <sz val="8"/>
      <color rgb="FF000000"/>
      <name val="Arial"/>
      <family val="2"/>
    </font>
    <font>
      <sz val="14"/>
      <color rgb="FF000000"/>
      <name val="Wingdings"/>
      <charset val="2"/>
    </font>
    <font>
      <sz val="5"/>
      <color rgb="FF000000"/>
      <name val="Wingdings"/>
      <charset val="2"/>
    </font>
    <font>
      <sz val="14"/>
      <color rgb="FF000000"/>
      <name val="MV Boli"/>
    </font>
    <font>
      <sz val="9"/>
      <color rgb="FF000000"/>
      <name val="Segoe UI"/>
      <family val="2"/>
    </font>
    <font>
      <b/>
      <sz val="9"/>
      <color rgb="FF000000"/>
      <name val="Segoe UI"/>
      <family val="2"/>
    </font>
    <font>
      <sz val="7"/>
      <color theme="1" tint="0.499984740745262"/>
      <name val="Wingdings 3"/>
      <family val="1"/>
      <charset val="2"/>
    </font>
    <font>
      <sz val="7"/>
      <color theme="1" tint="0.499984740745262"/>
      <name val="Arial"/>
      <family val="1"/>
      <charset val="2"/>
    </font>
    <font>
      <sz val="6"/>
      <color theme="1" tint="0.499984740745262"/>
      <name val="Arial"/>
      <family val="2"/>
    </font>
    <font>
      <b/>
      <sz val="9"/>
      <color theme="1"/>
      <name val="Arial"/>
      <family val="2"/>
    </font>
    <font>
      <sz val="5"/>
      <name val="ＭＳ Ｐゴシック"/>
      <family val="3"/>
      <charset val="128"/>
    </font>
    <font>
      <sz val="9"/>
      <color theme="0" tint="-0.249977111117893"/>
      <name val="ＭＳ Ｐゴシック"/>
      <family val="3"/>
      <charset val="128"/>
    </font>
    <font>
      <sz val="9"/>
      <color theme="0" tint="-0.249977111117893"/>
      <name val="Calibri"/>
      <family val="3"/>
      <charset val="128"/>
      <scheme val="minor"/>
    </font>
    <font>
      <sz val="6"/>
      <color theme="1"/>
      <name val="Arial"/>
      <family val="2"/>
    </font>
    <font>
      <sz val="7"/>
      <color theme="1"/>
      <name val="Arial"/>
      <family val="2"/>
    </font>
    <font>
      <sz val="11"/>
      <color rgb="FF3333FF"/>
      <name val="Arial"/>
      <family val="2"/>
    </font>
    <font>
      <b/>
      <sz val="11"/>
      <color rgb="FF3333FF"/>
      <name val="Arial"/>
      <family val="2"/>
    </font>
    <font>
      <u/>
      <sz val="2"/>
      <color theme="10"/>
      <name val="ＭＳ Ｐゴシック"/>
      <family val="3"/>
      <charset val="128"/>
    </font>
    <font>
      <u/>
      <sz val="8"/>
      <color theme="10"/>
      <name val="Arial"/>
      <family val="2"/>
    </font>
    <font>
      <sz val="10"/>
      <color theme="1" tint="0.499984740745262"/>
      <name val="Arial"/>
      <family val="2"/>
    </font>
    <font>
      <b/>
      <sz val="11"/>
      <color theme="1"/>
      <name val="ＭＳ Ｐゴシック"/>
      <family val="2"/>
      <charset val="128"/>
    </font>
    <font>
      <b/>
      <sz val="10"/>
      <color rgb="FF000000"/>
      <name val="Meiryo UI"/>
      <family val="2"/>
      <charset val="128"/>
    </font>
    <font>
      <sz val="14"/>
      <color rgb="FF000000"/>
      <name val="ＭＳ Ｐゴシック"/>
    </font>
  </fonts>
  <fills count="61">
    <fill>
      <patternFill patternType="none"/>
    </fill>
    <fill>
      <patternFill patternType="gray125"/>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9900"/>
        <bgColor indexed="64"/>
      </patternFill>
    </fill>
    <fill>
      <patternFill patternType="solid">
        <fgColor theme="1" tint="0.499984740745262"/>
        <bgColor indexed="64"/>
      </patternFill>
    </fill>
    <fill>
      <patternFill patternType="solid">
        <fgColor theme="1"/>
        <bgColor indexed="64"/>
      </patternFill>
    </fill>
    <fill>
      <patternFill patternType="solid">
        <fgColor rgb="FF92D05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4.9989318521683403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26"/>
      </patternFill>
    </fill>
    <fill>
      <patternFill patternType="solid">
        <fgColor rgb="FF0070C0"/>
        <bgColor indexed="64"/>
      </patternFill>
    </fill>
    <fill>
      <patternFill patternType="solid">
        <fgColor rgb="FFFF0000"/>
        <bgColor indexed="64"/>
      </patternFill>
    </fill>
    <fill>
      <patternFill patternType="solid">
        <fgColor theme="0" tint="-0.34998626667073579"/>
        <bgColor indexed="64"/>
      </patternFill>
    </fill>
    <fill>
      <patternFill patternType="solid">
        <fgColor theme="3"/>
        <bgColor indexed="64"/>
      </patternFill>
    </fill>
    <fill>
      <patternFill patternType="solid">
        <fgColor theme="3"/>
        <bgColor rgb="FF000000"/>
      </patternFill>
    </fill>
    <fill>
      <patternFill patternType="solid">
        <fgColor rgb="FFFFC000"/>
        <bgColor indexed="64"/>
      </patternFill>
    </fill>
  </fills>
  <borders count="6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auto="1"/>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medium">
        <color auto="1"/>
      </left>
      <right style="medium">
        <color auto="1"/>
      </right>
      <top style="medium">
        <color auto="1"/>
      </top>
      <bottom/>
      <diagonal/>
    </border>
    <border>
      <left/>
      <right style="thin">
        <color auto="1"/>
      </right>
      <top style="medium">
        <color auto="1"/>
      </top>
      <bottom/>
      <diagonal/>
    </border>
    <border>
      <left/>
      <right/>
      <top style="medium">
        <color auto="1"/>
      </top>
      <bottom/>
      <diagonal/>
    </border>
    <border>
      <left style="thin">
        <color auto="1"/>
      </left>
      <right/>
      <top style="medium">
        <color auto="1"/>
      </top>
      <bottom/>
      <diagonal/>
    </border>
    <border>
      <left style="medium">
        <color auto="1"/>
      </left>
      <right style="medium">
        <color auto="1"/>
      </right>
      <top/>
      <bottom style="medium">
        <color auto="1"/>
      </bottom>
      <diagonal/>
    </border>
    <border>
      <left style="medium">
        <color auto="1"/>
      </left>
      <right/>
      <top/>
      <bottom style="medium">
        <color auto="1"/>
      </bottom>
      <diagonal/>
    </border>
    <border>
      <left/>
      <right style="thin">
        <color auto="1"/>
      </right>
      <top/>
      <bottom style="medium">
        <color auto="1"/>
      </bottom>
      <diagonal/>
    </border>
    <border>
      <left/>
      <right/>
      <top/>
      <bottom style="medium">
        <color auto="1"/>
      </bottom>
      <diagonal/>
    </border>
    <border>
      <left style="thin">
        <color auto="1"/>
      </left>
      <right/>
      <top/>
      <bottom style="medium">
        <color auto="1"/>
      </bottom>
      <diagonal/>
    </border>
    <border>
      <left/>
      <right/>
      <top/>
      <bottom style="thin">
        <color indexed="8"/>
      </bottom>
      <diagonal/>
    </border>
    <border>
      <left style="medium">
        <color auto="1"/>
      </left>
      <right/>
      <top/>
      <bottom/>
      <diagonal/>
    </border>
    <border>
      <left style="medium">
        <color auto="1"/>
      </left>
      <right/>
      <top style="medium">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rgb="FF999999"/>
      </left>
      <right/>
      <top style="thin">
        <color rgb="FF999999"/>
      </top>
      <bottom/>
      <diagonal/>
    </border>
    <border>
      <left style="thin">
        <color auto="1"/>
      </left>
      <right/>
      <top/>
      <bottom/>
      <diagonal/>
    </border>
    <border>
      <left style="thin">
        <color auto="1"/>
      </left>
      <right style="thin">
        <color indexed="64"/>
      </right>
      <top/>
      <bottom/>
      <diagonal/>
    </border>
    <border>
      <left style="thin">
        <color auto="1"/>
      </left>
      <right style="hair">
        <color indexed="64"/>
      </right>
      <top/>
      <bottom/>
      <diagonal/>
    </border>
    <border>
      <left style="hair">
        <color indexed="64"/>
      </left>
      <right style="thin">
        <color indexed="64"/>
      </right>
      <top/>
      <bottom/>
      <diagonal/>
    </border>
    <border>
      <left style="thin">
        <color rgb="FF999999"/>
      </left>
      <right style="thin">
        <color indexed="64"/>
      </right>
      <top style="thin">
        <color rgb="FF999999"/>
      </top>
      <bottom/>
      <diagonal/>
    </border>
    <border>
      <left style="thin">
        <color auto="1"/>
      </left>
      <right style="thin">
        <color indexed="64"/>
      </right>
      <top/>
      <bottom style="medium">
        <color auto="1"/>
      </bottom>
      <diagonal/>
    </border>
    <border>
      <left/>
      <right/>
      <top style="thin">
        <color rgb="FF999999"/>
      </top>
      <bottom/>
      <diagonal/>
    </border>
    <border>
      <left style="thin">
        <color auto="1"/>
      </left>
      <right style="thin">
        <color indexed="64"/>
      </right>
      <top/>
      <bottom style="thin">
        <color indexed="64"/>
      </bottom>
      <diagonal/>
    </border>
    <border>
      <left style="thin">
        <color auto="1"/>
      </left>
      <right/>
      <top/>
      <bottom style="thin">
        <color indexed="64"/>
      </bottom>
      <diagonal/>
    </border>
    <border>
      <left/>
      <right style="thin">
        <color auto="1"/>
      </right>
      <top/>
      <bottom style="thin">
        <color indexed="64"/>
      </bottom>
      <diagonal/>
    </border>
    <border>
      <left style="thin">
        <color auto="1"/>
      </left>
      <right style="thin">
        <color indexed="64"/>
      </right>
      <top/>
      <bottom style="hair">
        <color indexed="64"/>
      </bottom>
      <diagonal/>
    </border>
    <border>
      <left style="thin">
        <color auto="1"/>
      </left>
      <right/>
      <top/>
      <bottom style="hair">
        <color indexed="64"/>
      </bottom>
      <diagonal/>
    </border>
    <border>
      <left/>
      <right style="thin">
        <color auto="1"/>
      </right>
      <top/>
      <bottom style="hair">
        <color indexed="64"/>
      </bottom>
      <diagonal/>
    </border>
    <border>
      <left style="thin">
        <color theme="0"/>
      </left>
      <right style="thin">
        <color theme="0"/>
      </right>
      <top style="thin">
        <color theme="0"/>
      </top>
      <bottom style="thin">
        <color theme="0"/>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thin">
        <color rgb="FF000000"/>
      </left>
      <right/>
      <top style="thin">
        <color rgb="FF000000"/>
      </top>
      <bottom style="thin">
        <color rgb="FF000000"/>
      </bottom>
      <diagonal/>
    </border>
    <border>
      <left style="thin">
        <color auto="1"/>
      </left>
      <right style="thin">
        <color rgb="FF000000"/>
      </right>
      <top/>
      <bottom/>
      <diagonal/>
    </border>
    <border>
      <left style="thin">
        <color rgb="FF000000"/>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style="thin">
        <color theme="0" tint="-4.9989318521683403E-2"/>
      </right>
      <top/>
      <bottom style="thin">
        <color theme="0" tint="-4.9989318521683403E-2"/>
      </bottom>
      <diagonal/>
    </border>
    <border>
      <left style="thin">
        <color rgb="FFABABAB"/>
      </left>
      <right/>
      <top style="thin">
        <color rgb="FFABABAB"/>
      </top>
      <bottom/>
      <diagonal/>
    </border>
    <border>
      <left style="thin">
        <color rgb="FFABABAB"/>
      </left>
      <right style="thin">
        <color rgb="FFABABAB"/>
      </right>
      <top style="thin">
        <color rgb="FFABABAB"/>
      </top>
      <bottom/>
      <diagonal/>
    </border>
    <border>
      <left style="thin">
        <color rgb="FFABABAB"/>
      </left>
      <right/>
      <top style="thin">
        <color indexed="65"/>
      </top>
      <bottom/>
      <diagonal/>
    </border>
    <border>
      <left style="thin">
        <color rgb="FFABABAB"/>
      </left>
      <right/>
      <top style="thin">
        <color rgb="FFABABAB"/>
      </top>
      <bottom style="thin">
        <color rgb="FFABABAB"/>
      </bottom>
      <diagonal/>
    </border>
    <border>
      <left style="thin">
        <color rgb="FFABABAB"/>
      </left>
      <right style="thin">
        <color rgb="FFABABAB"/>
      </right>
      <top style="thin">
        <color rgb="FFABABAB"/>
      </top>
      <bottom style="thin">
        <color rgb="FFABABAB"/>
      </bottom>
      <diagonal/>
    </border>
    <border>
      <left style="thin">
        <color rgb="FFABABAB"/>
      </left>
      <right style="thin">
        <color theme="0"/>
      </right>
      <top style="thin">
        <color rgb="FFABABAB"/>
      </top>
      <bottom/>
      <diagonal/>
    </border>
    <border>
      <left style="thin">
        <color rgb="FFABABAB"/>
      </left>
      <right style="thin">
        <color indexed="64"/>
      </right>
      <top style="thin">
        <color rgb="FFABABAB"/>
      </top>
      <bottom/>
      <diagonal/>
    </border>
    <border>
      <left style="thin">
        <color rgb="FFABABAB"/>
      </left>
      <right/>
      <top/>
      <bottom/>
      <diagonal/>
    </border>
    <border>
      <left style="thin">
        <color rgb="FFABABAB"/>
      </left>
      <right style="thin">
        <color rgb="FFABABAB"/>
      </right>
      <top/>
      <bottom/>
      <diagonal/>
    </border>
    <border>
      <left style="thin">
        <color indexed="65"/>
      </left>
      <right/>
      <top style="thin">
        <color rgb="FFABABAB"/>
      </top>
      <bottom style="thin">
        <color rgb="FFABABAB"/>
      </bottom>
      <diagonal/>
    </border>
    <border>
      <left style="thin">
        <color rgb="FFABABAB"/>
      </left>
      <right/>
      <top style="thin">
        <color indexed="65"/>
      </top>
      <bottom style="thin">
        <color rgb="FFABABAB"/>
      </bottom>
      <diagonal/>
    </border>
  </borders>
  <cellStyleXfs count="215">
    <xf numFmtId="0" fontId="0" fillId="0" borderId="0"/>
    <xf numFmtId="0" fontId="12" fillId="0" borderId="0"/>
    <xf numFmtId="0" fontId="17" fillId="0" borderId="0" applyNumberFormat="0" applyFill="0" applyBorder="0" applyAlignment="0" applyProtection="0">
      <alignment vertical="center"/>
    </xf>
    <xf numFmtId="0" fontId="18" fillId="0" borderId="1" applyNumberFormat="0" applyFill="0" applyAlignment="0" applyProtection="0">
      <alignment vertical="center"/>
    </xf>
    <xf numFmtId="0" fontId="19" fillId="0" borderId="2" applyNumberFormat="0" applyFill="0" applyAlignment="0" applyProtection="0">
      <alignment vertical="center"/>
    </xf>
    <xf numFmtId="0" fontId="20" fillId="0" borderId="3" applyNumberFormat="0" applyFill="0" applyAlignment="0" applyProtection="0">
      <alignment vertical="center"/>
    </xf>
    <xf numFmtId="0" fontId="20" fillId="0" borderId="0" applyNumberFormat="0" applyFill="0" applyBorder="0" applyAlignment="0" applyProtection="0">
      <alignment vertical="center"/>
    </xf>
    <xf numFmtId="0" fontId="21" fillId="3" borderId="0" applyNumberFormat="0" applyBorder="0" applyAlignment="0" applyProtection="0">
      <alignment vertical="center"/>
    </xf>
    <xf numFmtId="0" fontId="22" fillId="4" borderId="0" applyNumberFormat="0" applyBorder="0" applyAlignment="0" applyProtection="0">
      <alignment vertical="center"/>
    </xf>
    <xf numFmtId="0" fontId="23" fillId="5" borderId="0" applyNumberFormat="0" applyBorder="0" applyAlignment="0" applyProtection="0">
      <alignment vertical="center"/>
    </xf>
    <xf numFmtId="0" fontId="24" fillId="6" borderId="4" applyNumberFormat="0" applyAlignment="0" applyProtection="0">
      <alignment vertical="center"/>
    </xf>
    <xf numFmtId="0" fontId="25" fillId="7" borderId="5" applyNumberFormat="0" applyAlignment="0" applyProtection="0">
      <alignment vertical="center"/>
    </xf>
    <xf numFmtId="0" fontId="26" fillId="7" borderId="4" applyNumberFormat="0" applyAlignment="0" applyProtection="0">
      <alignment vertical="center"/>
    </xf>
    <xf numFmtId="0" fontId="27" fillId="0" borderId="6" applyNumberFormat="0" applyFill="0" applyAlignment="0" applyProtection="0">
      <alignment vertical="center"/>
    </xf>
    <xf numFmtId="0" fontId="28" fillId="8" borderId="7" applyNumberFormat="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9" applyNumberFormat="0" applyFill="0" applyAlignment="0" applyProtection="0">
      <alignment vertical="center"/>
    </xf>
    <xf numFmtId="0" fontId="32" fillId="10" borderId="0" applyNumberFormat="0" applyBorder="0" applyAlignment="0" applyProtection="0">
      <alignment vertical="center"/>
    </xf>
    <xf numFmtId="0" fontId="8" fillId="11" borderId="0" applyNumberFormat="0" applyBorder="0" applyAlignment="0" applyProtection="0">
      <alignment vertical="center"/>
    </xf>
    <xf numFmtId="0" fontId="8" fillId="12" borderId="0" applyNumberFormat="0" applyBorder="0" applyAlignment="0" applyProtection="0">
      <alignment vertical="center"/>
    </xf>
    <xf numFmtId="0" fontId="32" fillId="13" borderId="0" applyNumberFormat="0" applyBorder="0" applyAlignment="0" applyProtection="0">
      <alignment vertical="center"/>
    </xf>
    <xf numFmtId="0" fontId="32" fillId="14" borderId="0" applyNumberFormat="0" applyBorder="0" applyAlignment="0" applyProtection="0">
      <alignment vertical="center"/>
    </xf>
    <xf numFmtId="0" fontId="8" fillId="15" borderId="0" applyNumberFormat="0" applyBorder="0" applyAlignment="0" applyProtection="0">
      <alignment vertical="center"/>
    </xf>
    <xf numFmtId="0" fontId="8" fillId="16" borderId="0" applyNumberFormat="0" applyBorder="0" applyAlignment="0" applyProtection="0">
      <alignment vertical="center"/>
    </xf>
    <xf numFmtId="0" fontId="32" fillId="17" borderId="0" applyNumberFormat="0" applyBorder="0" applyAlignment="0" applyProtection="0">
      <alignment vertical="center"/>
    </xf>
    <xf numFmtId="0" fontId="32" fillId="18" borderId="0" applyNumberFormat="0" applyBorder="0" applyAlignment="0" applyProtection="0">
      <alignment vertical="center"/>
    </xf>
    <xf numFmtId="0" fontId="8" fillId="19" borderId="0" applyNumberFormat="0" applyBorder="0" applyAlignment="0" applyProtection="0">
      <alignment vertical="center"/>
    </xf>
    <xf numFmtId="0" fontId="8" fillId="20" borderId="0" applyNumberFormat="0" applyBorder="0" applyAlignment="0" applyProtection="0">
      <alignment vertical="center"/>
    </xf>
    <xf numFmtId="0" fontId="32" fillId="21" borderId="0" applyNumberFormat="0" applyBorder="0" applyAlignment="0" applyProtection="0">
      <alignment vertical="center"/>
    </xf>
    <xf numFmtId="0" fontId="32" fillId="22" borderId="0" applyNumberFormat="0" applyBorder="0" applyAlignment="0" applyProtection="0">
      <alignment vertical="center"/>
    </xf>
    <xf numFmtId="0" fontId="8" fillId="23" borderId="0" applyNumberFormat="0" applyBorder="0" applyAlignment="0" applyProtection="0">
      <alignment vertical="center"/>
    </xf>
    <xf numFmtId="0" fontId="8" fillId="24" borderId="0" applyNumberFormat="0" applyBorder="0" applyAlignment="0" applyProtection="0">
      <alignment vertical="center"/>
    </xf>
    <xf numFmtId="0" fontId="32" fillId="25" borderId="0" applyNumberFormat="0" applyBorder="0" applyAlignment="0" applyProtection="0">
      <alignment vertical="center"/>
    </xf>
    <xf numFmtId="0" fontId="32" fillId="26" borderId="0" applyNumberFormat="0" applyBorder="0" applyAlignment="0" applyProtection="0">
      <alignment vertical="center"/>
    </xf>
    <xf numFmtId="0" fontId="8" fillId="27" borderId="0" applyNumberFormat="0" applyBorder="0" applyAlignment="0" applyProtection="0">
      <alignment vertical="center"/>
    </xf>
    <xf numFmtId="0" fontId="8" fillId="28" borderId="0" applyNumberFormat="0" applyBorder="0" applyAlignment="0" applyProtection="0">
      <alignment vertical="center"/>
    </xf>
    <xf numFmtId="0" fontId="32" fillId="29" borderId="0" applyNumberFormat="0" applyBorder="0" applyAlignment="0" applyProtection="0">
      <alignment vertical="center"/>
    </xf>
    <xf numFmtId="0" fontId="32" fillId="30" borderId="0" applyNumberFormat="0" applyBorder="0" applyAlignment="0" applyProtection="0">
      <alignment vertical="center"/>
    </xf>
    <xf numFmtId="0" fontId="8" fillId="31" borderId="0" applyNumberFormat="0" applyBorder="0" applyAlignment="0" applyProtection="0">
      <alignment vertical="center"/>
    </xf>
    <xf numFmtId="0" fontId="8" fillId="32" borderId="0" applyNumberFormat="0" applyBorder="0" applyAlignment="0" applyProtection="0">
      <alignment vertical="center"/>
    </xf>
    <xf numFmtId="0" fontId="32" fillId="33" borderId="0" applyNumberFormat="0" applyBorder="0" applyAlignment="0" applyProtection="0">
      <alignment vertical="center"/>
    </xf>
    <xf numFmtId="0" fontId="8" fillId="0" borderId="0">
      <alignment vertical="center"/>
    </xf>
    <xf numFmtId="0" fontId="8" fillId="9" borderId="8" applyNumberFormat="0" applyFont="0" applyAlignment="0" applyProtection="0">
      <alignment vertical="center"/>
    </xf>
    <xf numFmtId="0" fontId="12" fillId="0" borderId="0"/>
    <xf numFmtId="38" fontId="12" fillId="0" borderId="0" applyFont="0" applyFill="0" applyBorder="0" applyAlignment="0" applyProtection="0">
      <alignment vertical="center"/>
    </xf>
    <xf numFmtId="0" fontId="7" fillId="0" borderId="0">
      <alignment vertical="center"/>
    </xf>
    <xf numFmtId="0" fontId="6" fillId="0" borderId="0">
      <alignment vertical="center"/>
    </xf>
    <xf numFmtId="0" fontId="14" fillId="0" borderId="0" applyNumberFormat="0" applyFill="0" applyBorder="0" applyAlignment="0" applyProtection="0"/>
    <xf numFmtId="0" fontId="6" fillId="0" borderId="0">
      <alignment vertical="center"/>
    </xf>
    <xf numFmtId="0" fontId="6" fillId="9" borderId="8" applyNumberFormat="0" applyFont="0" applyAlignment="0" applyProtection="0">
      <alignment vertical="center"/>
    </xf>
    <xf numFmtId="0" fontId="6" fillId="11" borderId="0" applyNumberFormat="0" applyBorder="0" applyAlignment="0" applyProtection="0">
      <alignment vertical="center"/>
    </xf>
    <xf numFmtId="0" fontId="6" fillId="12" borderId="0" applyNumberFormat="0" applyBorder="0" applyAlignment="0" applyProtection="0">
      <alignment vertical="center"/>
    </xf>
    <xf numFmtId="0" fontId="6" fillId="15" borderId="0" applyNumberFormat="0" applyBorder="0" applyAlignment="0" applyProtection="0">
      <alignment vertical="center"/>
    </xf>
    <xf numFmtId="0" fontId="6" fillId="16"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23" borderId="0" applyNumberFormat="0" applyBorder="0" applyAlignment="0" applyProtection="0">
      <alignment vertical="center"/>
    </xf>
    <xf numFmtId="0" fontId="6" fillId="24" borderId="0" applyNumberFormat="0" applyBorder="0" applyAlignment="0" applyProtection="0">
      <alignment vertical="center"/>
    </xf>
    <xf numFmtId="0" fontId="6" fillId="27" borderId="0" applyNumberFormat="0" applyBorder="0" applyAlignment="0" applyProtection="0">
      <alignment vertical="center"/>
    </xf>
    <xf numFmtId="0" fontId="6" fillId="28" borderId="0" applyNumberFormat="0" applyBorder="0" applyAlignment="0" applyProtection="0">
      <alignment vertical="center"/>
    </xf>
    <xf numFmtId="0" fontId="6" fillId="31" borderId="0" applyNumberFormat="0" applyBorder="0" applyAlignment="0" applyProtection="0">
      <alignment vertical="center"/>
    </xf>
    <xf numFmtId="0" fontId="6" fillId="32" borderId="0" applyNumberFormat="0" applyBorder="0" applyAlignment="0" applyProtection="0">
      <alignment vertical="center"/>
    </xf>
    <xf numFmtId="0" fontId="10" fillId="0" borderId="0">
      <alignment vertical="center"/>
    </xf>
    <xf numFmtId="0" fontId="5" fillId="0" borderId="0">
      <alignment vertical="center"/>
    </xf>
    <xf numFmtId="0" fontId="47" fillId="0" borderId="0"/>
    <xf numFmtId="9" fontId="5"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0" fontId="4" fillId="0" borderId="0">
      <alignment vertical="center"/>
    </xf>
    <xf numFmtId="9" fontId="4" fillId="0" borderId="0" applyFont="0" applyFill="0" applyBorder="0" applyAlignment="0" applyProtection="0">
      <alignment vertical="center"/>
    </xf>
    <xf numFmtId="9" fontId="12"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11" borderId="0" applyNumberFormat="0" applyBorder="0" applyAlignment="0" applyProtection="0">
      <alignment vertical="center"/>
    </xf>
    <xf numFmtId="0" fontId="3" fillId="11" borderId="0" applyNumberFormat="0" applyBorder="0" applyAlignment="0" applyProtection="0">
      <alignment vertical="center"/>
    </xf>
    <xf numFmtId="0" fontId="3" fillId="15" borderId="0" applyNumberFormat="0" applyBorder="0" applyAlignment="0" applyProtection="0">
      <alignment vertical="center"/>
    </xf>
    <xf numFmtId="0" fontId="3" fillId="15" borderId="0" applyNumberFormat="0" applyBorder="0" applyAlignment="0" applyProtection="0">
      <alignment vertical="center"/>
    </xf>
    <xf numFmtId="0" fontId="3" fillId="19" borderId="0" applyNumberFormat="0" applyBorder="0" applyAlignment="0" applyProtection="0">
      <alignment vertical="center"/>
    </xf>
    <xf numFmtId="0" fontId="3" fillId="19" borderId="0" applyNumberFormat="0" applyBorder="0" applyAlignment="0" applyProtection="0">
      <alignment vertical="center"/>
    </xf>
    <xf numFmtId="0" fontId="3" fillId="23" borderId="0" applyNumberFormat="0" applyBorder="0" applyAlignment="0" applyProtection="0">
      <alignment vertical="center"/>
    </xf>
    <xf numFmtId="0" fontId="3" fillId="23" borderId="0" applyNumberFormat="0" applyBorder="0" applyAlignment="0" applyProtection="0">
      <alignment vertical="center"/>
    </xf>
    <xf numFmtId="0" fontId="3" fillId="27" borderId="0" applyNumberFormat="0" applyBorder="0" applyAlignment="0" applyProtection="0">
      <alignment vertical="center"/>
    </xf>
    <xf numFmtId="0" fontId="3" fillId="27" borderId="0" applyNumberFormat="0" applyBorder="0" applyAlignment="0" applyProtection="0">
      <alignment vertical="center"/>
    </xf>
    <xf numFmtId="0" fontId="3" fillId="31" borderId="0" applyNumberFormat="0" applyBorder="0" applyAlignment="0" applyProtection="0">
      <alignment vertical="center"/>
    </xf>
    <xf numFmtId="0" fontId="3" fillId="31" borderId="0" applyNumberFormat="0" applyBorder="0" applyAlignment="0" applyProtection="0">
      <alignment vertical="center"/>
    </xf>
    <xf numFmtId="0" fontId="3" fillId="12" borderId="0" applyNumberFormat="0" applyBorder="0" applyAlignment="0" applyProtection="0">
      <alignment vertical="center"/>
    </xf>
    <xf numFmtId="0" fontId="3" fillId="12" borderId="0" applyNumberFormat="0" applyBorder="0" applyAlignment="0" applyProtection="0">
      <alignment vertical="center"/>
    </xf>
    <xf numFmtId="0" fontId="3" fillId="16" borderId="0" applyNumberFormat="0" applyBorder="0" applyAlignment="0" applyProtection="0">
      <alignment vertical="center"/>
    </xf>
    <xf numFmtId="0" fontId="3" fillId="16" borderId="0" applyNumberFormat="0" applyBorder="0" applyAlignment="0" applyProtection="0">
      <alignment vertical="center"/>
    </xf>
    <xf numFmtId="0" fontId="3" fillId="20" borderId="0" applyNumberFormat="0" applyBorder="0" applyAlignment="0" applyProtection="0">
      <alignment vertical="center"/>
    </xf>
    <xf numFmtId="0" fontId="3" fillId="20" borderId="0" applyNumberFormat="0" applyBorder="0" applyAlignment="0" applyProtection="0">
      <alignment vertical="center"/>
    </xf>
    <xf numFmtId="0" fontId="3" fillId="24" borderId="0" applyNumberFormat="0" applyBorder="0" applyAlignment="0" applyProtection="0">
      <alignment vertical="center"/>
    </xf>
    <xf numFmtId="0" fontId="3" fillId="24" borderId="0" applyNumberFormat="0" applyBorder="0" applyAlignment="0" applyProtection="0">
      <alignment vertical="center"/>
    </xf>
    <xf numFmtId="0" fontId="3" fillId="28" borderId="0" applyNumberFormat="0" applyBorder="0" applyAlignment="0" applyProtection="0">
      <alignment vertical="center"/>
    </xf>
    <xf numFmtId="0" fontId="3" fillId="28" borderId="0" applyNumberFormat="0" applyBorder="0" applyAlignment="0" applyProtection="0">
      <alignment vertical="center"/>
    </xf>
    <xf numFmtId="0" fontId="3" fillId="32" borderId="0" applyNumberFormat="0" applyBorder="0" applyAlignment="0" applyProtection="0">
      <alignment vertical="center"/>
    </xf>
    <xf numFmtId="0" fontId="3" fillId="32" borderId="0" applyNumberFormat="0" applyBorder="0" applyAlignment="0" applyProtection="0">
      <alignment vertical="center"/>
    </xf>
    <xf numFmtId="0" fontId="57" fillId="0" borderId="0"/>
    <xf numFmtId="0" fontId="3" fillId="9" borderId="8" applyNumberFormat="0" applyFont="0" applyAlignment="0" applyProtection="0">
      <alignment vertical="center"/>
    </xf>
    <xf numFmtId="38" fontId="10" fillId="0" borderId="0" applyFont="0" applyFill="0" applyBorder="0" applyAlignment="0" applyProtection="0"/>
    <xf numFmtId="38" fontId="12" fillId="0" borderId="0" applyFont="0" applyFill="0" applyBorder="0" applyAlignment="0" applyProtection="0">
      <alignment vertical="center"/>
    </xf>
    <xf numFmtId="38" fontId="3" fillId="0" borderId="0" applyFont="0" applyFill="0" applyBorder="0" applyAlignment="0" applyProtection="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58" fillId="0" borderId="0">
      <alignment vertical="center"/>
    </xf>
    <xf numFmtId="0" fontId="12" fillId="0" borderId="0"/>
    <xf numFmtId="0" fontId="10" fillId="0" borderId="0">
      <alignment vertical="center"/>
    </xf>
    <xf numFmtId="0" fontId="3" fillId="0" borderId="0">
      <alignment vertical="center"/>
    </xf>
    <xf numFmtId="0" fontId="3" fillId="0" borderId="0">
      <alignment vertical="center"/>
    </xf>
    <xf numFmtId="0" fontId="9" fillId="0" borderId="0"/>
    <xf numFmtId="0" fontId="64" fillId="44" borderId="0" applyNumberFormat="0" applyBorder="0" applyAlignment="0" applyProtection="0">
      <alignment vertical="center"/>
    </xf>
    <xf numFmtId="0" fontId="64" fillId="45" borderId="0" applyNumberFormat="0" applyBorder="0" applyAlignment="0" applyProtection="0">
      <alignment vertical="center"/>
    </xf>
    <xf numFmtId="0" fontId="64" fillId="46" borderId="0" applyNumberFormat="0" applyBorder="0" applyAlignment="0" applyProtection="0">
      <alignment vertical="center"/>
    </xf>
    <xf numFmtId="0" fontId="64" fillId="47" borderId="0" applyNumberFormat="0" applyBorder="0" applyAlignment="0" applyProtection="0">
      <alignment vertical="center"/>
    </xf>
    <xf numFmtId="0" fontId="64" fillId="48" borderId="0" applyNumberFormat="0" applyBorder="0" applyAlignment="0" applyProtection="0">
      <alignment vertical="center"/>
    </xf>
    <xf numFmtId="0" fontId="64" fillId="49" borderId="0" applyNumberFormat="0" applyBorder="0" applyAlignment="0" applyProtection="0">
      <alignment vertical="center"/>
    </xf>
    <xf numFmtId="0" fontId="64" fillId="50" borderId="0" applyNumberFormat="0" applyBorder="0" applyAlignment="0" applyProtection="0">
      <alignment vertical="center"/>
    </xf>
    <xf numFmtId="0" fontId="64" fillId="51" borderId="0" applyNumberFormat="0" applyBorder="0" applyAlignment="0" applyProtection="0">
      <alignment vertical="center"/>
    </xf>
    <xf numFmtId="0" fontId="64" fillId="52" borderId="0" applyNumberFormat="0" applyBorder="0" applyAlignment="0" applyProtection="0">
      <alignment vertical="center"/>
    </xf>
    <xf numFmtId="0" fontId="64" fillId="47" borderId="0" applyNumberFormat="0" applyBorder="0" applyAlignment="0" applyProtection="0">
      <alignment vertical="center"/>
    </xf>
    <xf numFmtId="0" fontId="64" fillId="50" borderId="0" applyNumberFormat="0" applyBorder="0" applyAlignment="0" applyProtection="0">
      <alignment vertical="center"/>
    </xf>
    <xf numFmtId="0" fontId="64" fillId="53" borderId="0" applyNumberFormat="0" applyBorder="0" applyAlignment="0" applyProtection="0">
      <alignment vertical="center"/>
    </xf>
    <xf numFmtId="0" fontId="65" fillId="0" borderId="26" applyNumberFormat="0" applyFont="0" applyAlignment="0">
      <alignment horizontal="left"/>
      <protection locked="0"/>
    </xf>
    <xf numFmtId="166" fontId="9" fillId="0" borderId="0" applyFont="0" applyFill="0" applyBorder="0" applyAlignment="0" applyProtection="0"/>
    <xf numFmtId="0" fontId="9" fillId="0" borderId="0"/>
    <xf numFmtId="0" fontId="64" fillId="54" borderId="27" applyNumberFormat="0" applyFont="0" applyAlignment="0" applyProtection="0">
      <alignment vertical="center"/>
    </xf>
    <xf numFmtId="167" fontId="66" fillId="0" borderId="0" applyFill="0" applyBorder="0" applyAlignment="0" applyProtection="0"/>
    <xf numFmtId="0" fontId="57" fillId="0" borderId="0"/>
    <xf numFmtId="0" fontId="14" fillId="0" borderId="0" applyNumberFormat="0" applyFill="0" applyBorder="0" applyAlignment="0" applyProtection="0"/>
    <xf numFmtId="0" fontId="2" fillId="0" borderId="0">
      <alignment vertical="center"/>
    </xf>
    <xf numFmtId="9" fontId="2" fillId="0" borderId="0" applyFont="0" applyFill="0" applyBorder="0" applyAlignment="0" applyProtection="0">
      <alignment vertical="center"/>
    </xf>
    <xf numFmtId="0" fontId="2" fillId="0" borderId="0">
      <alignment vertical="center"/>
    </xf>
    <xf numFmtId="38" fontId="12" fillId="0" borderId="0" applyFont="0" applyFill="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0" borderId="0">
      <alignment vertical="center"/>
    </xf>
    <xf numFmtId="0" fontId="1" fillId="9" borderId="8" applyNumberFormat="0" applyFont="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9" borderId="8"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11" borderId="0" applyNumberFormat="0" applyBorder="0" applyAlignment="0" applyProtection="0">
      <alignment vertical="center"/>
    </xf>
    <xf numFmtId="0" fontId="1" fillId="11" borderId="0" applyNumberFormat="0" applyBorder="0" applyAlignment="0" applyProtection="0">
      <alignment vertical="center"/>
    </xf>
    <xf numFmtId="0" fontId="1" fillId="15" borderId="0" applyNumberFormat="0" applyBorder="0" applyAlignment="0" applyProtection="0">
      <alignment vertical="center"/>
    </xf>
    <xf numFmtId="0" fontId="1" fillId="15" borderId="0" applyNumberFormat="0" applyBorder="0" applyAlignment="0" applyProtection="0">
      <alignment vertical="center"/>
    </xf>
    <xf numFmtId="0" fontId="1" fillId="19" borderId="0" applyNumberFormat="0" applyBorder="0" applyAlignment="0" applyProtection="0">
      <alignment vertical="center"/>
    </xf>
    <xf numFmtId="0" fontId="1" fillId="19" borderId="0" applyNumberFormat="0" applyBorder="0" applyAlignment="0" applyProtection="0">
      <alignment vertical="center"/>
    </xf>
    <xf numFmtId="0" fontId="1" fillId="23" borderId="0" applyNumberFormat="0" applyBorder="0" applyAlignment="0" applyProtection="0">
      <alignment vertical="center"/>
    </xf>
    <xf numFmtId="0" fontId="1" fillId="23" borderId="0" applyNumberFormat="0" applyBorder="0" applyAlignment="0" applyProtection="0">
      <alignment vertical="center"/>
    </xf>
    <xf numFmtId="0" fontId="1" fillId="27" borderId="0" applyNumberFormat="0" applyBorder="0" applyAlignment="0" applyProtection="0">
      <alignment vertical="center"/>
    </xf>
    <xf numFmtId="0" fontId="1" fillId="27" borderId="0" applyNumberFormat="0" applyBorder="0" applyAlignment="0" applyProtection="0">
      <alignment vertical="center"/>
    </xf>
    <xf numFmtId="0" fontId="1" fillId="31" borderId="0" applyNumberFormat="0" applyBorder="0" applyAlignment="0" applyProtection="0">
      <alignment vertical="center"/>
    </xf>
    <xf numFmtId="0" fontId="1" fillId="31" borderId="0" applyNumberFormat="0" applyBorder="0" applyAlignment="0" applyProtection="0">
      <alignment vertical="center"/>
    </xf>
    <xf numFmtId="0" fontId="1" fillId="12" borderId="0" applyNumberFormat="0" applyBorder="0" applyAlignment="0" applyProtection="0">
      <alignment vertical="center"/>
    </xf>
    <xf numFmtId="0" fontId="1" fillId="12" borderId="0" applyNumberFormat="0" applyBorder="0" applyAlignment="0" applyProtection="0">
      <alignment vertical="center"/>
    </xf>
    <xf numFmtId="0" fontId="1" fillId="16" borderId="0" applyNumberFormat="0" applyBorder="0" applyAlignment="0" applyProtection="0">
      <alignment vertical="center"/>
    </xf>
    <xf numFmtId="0" fontId="1" fillId="16" borderId="0" applyNumberFormat="0" applyBorder="0" applyAlignment="0" applyProtection="0">
      <alignment vertical="center"/>
    </xf>
    <xf numFmtId="0" fontId="1" fillId="20" borderId="0" applyNumberFormat="0" applyBorder="0" applyAlignment="0" applyProtection="0">
      <alignment vertical="center"/>
    </xf>
    <xf numFmtId="0" fontId="1" fillId="20" borderId="0" applyNumberFormat="0" applyBorder="0" applyAlignment="0" applyProtection="0">
      <alignment vertical="center"/>
    </xf>
    <xf numFmtId="0" fontId="1" fillId="24" borderId="0" applyNumberFormat="0" applyBorder="0" applyAlignment="0" applyProtection="0">
      <alignment vertical="center"/>
    </xf>
    <xf numFmtId="0" fontId="1" fillId="24" borderId="0" applyNumberFormat="0" applyBorder="0" applyAlignment="0" applyProtection="0">
      <alignment vertical="center"/>
    </xf>
    <xf numFmtId="0" fontId="1" fillId="28" borderId="0" applyNumberFormat="0" applyBorder="0" applyAlignment="0" applyProtection="0">
      <alignment vertical="center"/>
    </xf>
    <xf numFmtId="0" fontId="1" fillId="28" borderId="0" applyNumberFormat="0" applyBorder="0" applyAlignment="0" applyProtection="0">
      <alignment vertical="center"/>
    </xf>
    <xf numFmtId="0" fontId="1" fillId="32" borderId="0" applyNumberFormat="0" applyBorder="0" applyAlignment="0" applyProtection="0">
      <alignment vertical="center"/>
    </xf>
    <xf numFmtId="0" fontId="1" fillId="32" borderId="0" applyNumberFormat="0" applyBorder="0" applyAlignment="0" applyProtection="0">
      <alignment vertical="center"/>
    </xf>
    <xf numFmtId="0" fontId="1" fillId="9" borderId="8" applyNumberFormat="0" applyFont="0" applyAlignment="0" applyProtection="0">
      <alignment vertical="center"/>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164" fontId="9" fillId="0" borderId="0" applyFont="0" applyFill="0" applyBorder="0" applyAlignment="0" applyProtection="0"/>
    <xf numFmtId="0" fontId="1" fillId="0" borderId="0">
      <alignment vertical="center"/>
    </xf>
    <xf numFmtId="9" fontId="1" fillId="0" borderId="0" applyFont="0" applyFill="0" applyBorder="0" applyAlignment="0" applyProtection="0">
      <alignment vertical="center"/>
    </xf>
    <xf numFmtId="0" fontId="1" fillId="0" borderId="0">
      <alignment vertical="center"/>
    </xf>
    <xf numFmtId="0" fontId="10" fillId="0" borderId="0"/>
  </cellStyleXfs>
  <cellXfs count="609">
    <xf numFmtId="0" fontId="0" fillId="0" borderId="0" xfId="0"/>
    <xf numFmtId="0" fontId="109" fillId="43" borderId="0" xfId="72" applyFont="1" applyFill="1" applyAlignment="1" applyProtection="1">
      <alignment horizontal="left" vertical="top"/>
      <protection hidden="1"/>
    </xf>
    <xf numFmtId="0" fontId="59" fillId="0" borderId="0" xfId="72" applyFont="1" applyAlignment="1" applyProtection="1">
      <alignment horizontal="left" vertical="center"/>
      <protection locked="0"/>
    </xf>
    <xf numFmtId="0" fontId="103" fillId="43" borderId="0" xfId="72" applyFont="1" applyFill="1" applyAlignment="1">
      <alignment horizontal="center" vertical="center"/>
    </xf>
    <xf numFmtId="0" fontId="109" fillId="43" borderId="0" xfId="72" quotePrefix="1" applyFont="1" applyFill="1" applyAlignment="1" applyProtection="1">
      <alignment horizontal="left" vertical="top"/>
      <protection hidden="1"/>
    </xf>
    <xf numFmtId="0" fontId="160" fillId="43" borderId="0" xfId="72" applyFont="1" applyFill="1" applyAlignment="1" applyProtection="1">
      <alignment horizontal="left"/>
      <protection locked="0"/>
    </xf>
    <xf numFmtId="0" fontId="0" fillId="0" borderId="0" xfId="0" applyAlignment="1">
      <alignment shrinkToFit="1"/>
    </xf>
    <xf numFmtId="0" fontId="9" fillId="0" borderId="0" xfId="0" applyFont="1"/>
    <xf numFmtId="0" fontId="36" fillId="36" borderId="0" xfId="0" applyFont="1" applyFill="1" applyAlignment="1" applyProtection="1">
      <alignment vertical="center"/>
      <protection locked="0"/>
    </xf>
    <xf numFmtId="0" fontId="33" fillId="36" borderId="0" xfId="0" applyFont="1" applyFill="1" applyAlignment="1" applyProtection="1">
      <alignment vertical="center"/>
      <protection locked="0"/>
    </xf>
    <xf numFmtId="0" fontId="35" fillId="36" borderId="0" xfId="0" applyFont="1" applyFill="1" applyAlignment="1" applyProtection="1">
      <alignment vertical="center"/>
      <protection locked="0"/>
    </xf>
    <xf numFmtId="0" fontId="33" fillId="0" borderId="0" xfId="0" applyFont="1" applyAlignment="1" applyProtection="1">
      <alignment vertical="center"/>
      <protection locked="0"/>
    </xf>
    <xf numFmtId="0" fontId="15" fillId="0" borderId="0" xfId="0" applyFont="1" applyAlignment="1" applyProtection="1">
      <alignment horizontal="left" vertical="center"/>
      <protection locked="0"/>
    </xf>
    <xf numFmtId="0" fontId="34" fillId="36" borderId="0" xfId="0" applyFont="1" applyFill="1" applyAlignment="1" applyProtection="1">
      <alignment vertical="center"/>
      <protection locked="0"/>
    </xf>
    <xf numFmtId="0" fontId="34" fillId="36" borderId="0" xfId="0" applyFont="1" applyFill="1" applyAlignment="1" applyProtection="1">
      <alignment horizontal="right" vertical="center"/>
      <protection locked="0"/>
    </xf>
    <xf numFmtId="0" fontId="9" fillId="0" borderId="0" xfId="0" applyFont="1" applyAlignment="1">
      <alignment vertical="center"/>
    </xf>
    <xf numFmtId="0" fontId="50" fillId="0" borderId="0" xfId="0" applyFont="1" applyAlignment="1">
      <alignment vertical="center"/>
    </xf>
    <xf numFmtId="0" fontId="9" fillId="36" borderId="0" xfId="0" applyFont="1" applyFill="1" applyAlignment="1">
      <alignment vertical="center"/>
    </xf>
    <xf numFmtId="0" fontId="9" fillId="37" borderId="0" xfId="0" applyFont="1" applyFill="1" applyAlignment="1">
      <alignment vertical="center"/>
    </xf>
    <xf numFmtId="0" fontId="9" fillId="34" borderId="0" xfId="0" applyFont="1" applyFill="1" applyAlignment="1">
      <alignment vertical="center"/>
    </xf>
    <xf numFmtId="0" fontId="9" fillId="35" borderId="0" xfId="0" applyFont="1" applyFill="1" applyAlignment="1">
      <alignment vertical="center"/>
    </xf>
    <xf numFmtId="0" fontId="9" fillId="0" borderId="23" xfId="0" applyFont="1" applyBorder="1" applyAlignment="1">
      <alignment vertical="center" wrapText="1"/>
    </xf>
    <xf numFmtId="0" fontId="9" fillId="0" borderId="0" xfId="0" applyFont="1" applyAlignment="1">
      <alignment vertical="center" shrinkToFit="1"/>
    </xf>
    <xf numFmtId="0" fontId="33" fillId="36" borderId="0" xfId="0" applyFont="1" applyFill="1" applyAlignment="1">
      <alignment vertical="center"/>
    </xf>
    <xf numFmtId="0" fontId="33" fillId="36" borderId="0" xfId="0" applyFont="1" applyFill="1" applyAlignment="1">
      <alignment vertical="center" shrinkToFit="1"/>
    </xf>
    <xf numFmtId="0" fontId="50" fillId="0" borderId="0" xfId="0" applyFont="1" applyAlignment="1">
      <alignment horizontal="left" vertical="center"/>
    </xf>
    <xf numFmtId="0" fontId="33" fillId="36" borderId="0" xfId="0" applyFont="1" applyFill="1" applyAlignment="1">
      <alignment horizontal="left" vertical="center"/>
    </xf>
    <xf numFmtId="0" fontId="9" fillId="0" borderId="0" xfId="0" applyFont="1" applyAlignment="1">
      <alignment horizontal="left" vertical="center" shrinkToFit="1"/>
    </xf>
    <xf numFmtId="9" fontId="50" fillId="0" borderId="0" xfId="71" applyFont="1" applyFill="1" applyBorder="1" applyAlignment="1">
      <alignment vertical="center"/>
    </xf>
    <xf numFmtId="9" fontId="33" fillId="36" borderId="0" xfId="71" applyFont="1" applyFill="1" applyAlignment="1">
      <alignment vertical="center"/>
    </xf>
    <xf numFmtId="9" fontId="9" fillId="0" borderId="23" xfId="71" applyFont="1" applyBorder="1" applyAlignment="1">
      <alignment vertical="center"/>
    </xf>
    <xf numFmtId="0" fontId="35" fillId="40" borderId="0" xfId="0" applyFont="1" applyFill="1" applyAlignment="1">
      <alignment vertical="top" wrapText="1" shrinkToFit="1"/>
    </xf>
    <xf numFmtId="0" fontId="35" fillId="40" borderId="0" xfId="0" applyFont="1" applyFill="1" applyAlignment="1">
      <alignment vertical="top" shrinkToFit="1"/>
    </xf>
    <xf numFmtId="0" fontId="50" fillId="0" borderId="0" xfId="0" applyFont="1" applyAlignment="1">
      <alignment vertical="center" shrinkToFit="1"/>
    </xf>
    <xf numFmtId="0" fontId="42" fillId="0" borderId="0" xfId="65" applyFont="1" applyAlignment="1">
      <alignment vertical="center" shrinkToFit="1"/>
    </xf>
    <xf numFmtId="0" fontId="9" fillId="0" borderId="0" xfId="0" applyFont="1" applyAlignment="1">
      <alignment wrapText="1"/>
    </xf>
    <xf numFmtId="0" fontId="35" fillId="41" borderId="0" xfId="0" applyFont="1" applyFill="1" applyAlignment="1">
      <alignment vertical="top" shrinkToFit="1"/>
    </xf>
    <xf numFmtId="0" fontId="42" fillId="42" borderId="0" xfId="65" applyFont="1" applyFill="1" applyAlignment="1">
      <alignment vertical="center" shrinkToFit="1"/>
    </xf>
    <xf numFmtId="0" fontId="43" fillId="0" borderId="0" xfId="72" applyFont="1">
      <alignment vertical="center"/>
    </xf>
    <xf numFmtId="0" fontId="38" fillId="0" borderId="0" xfId="72" applyFont="1">
      <alignment vertical="center"/>
    </xf>
    <xf numFmtId="0" fontId="39" fillId="0" borderId="0" xfId="72" applyFont="1" applyAlignment="1" applyProtection="1">
      <alignment horizontal="left" vertical="center"/>
      <protection locked="0"/>
    </xf>
    <xf numFmtId="0" fontId="38" fillId="0" borderId="0" xfId="73" applyFont="1">
      <alignment vertical="center"/>
    </xf>
    <xf numFmtId="0" fontId="38" fillId="0" borderId="0" xfId="72" applyFont="1" applyProtection="1">
      <alignment vertical="center"/>
      <protection locked="0"/>
    </xf>
    <xf numFmtId="0" fontId="46" fillId="0" borderId="0" xfId="72" applyFont="1" applyProtection="1">
      <alignment vertical="center"/>
      <protection locked="0"/>
    </xf>
    <xf numFmtId="0" fontId="38" fillId="0" borderId="0" xfId="73" applyFont="1" applyProtection="1">
      <alignment vertical="center"/>
      <protection locked="0"/>
    </xf>
    <xf numFmtId="0" fontId="38" fillId="0" borderId="0" xfId="72" applyFont="1" applyAlignment="1">
      <alignment vertical="top"/>
    </xf>
    <xf numFmtId="0" fontId="40" fillId="36" borderId="11" xfId="73" applyFont="1" applyFill="1" applyBorder="1" applyAlignment="1" applyProtection="1">
      <alignment horizontal="left" vertical="top"/>
      <protection locked="0"/>
    </xf>
    <xf numFmtId="0" fontId="40" fillId="39" borderId="13" xfId="73" applyFont="1" applyFill="1" applyBorder="1" applyAlignment="1">
      <alignment vertical="top" wrapText="1"/>
    </xf>
    <xf numFmtId="0" fontId="38" fillId="0" borderId="0" xfId="72" applyFont="1" applyAlignment="1" applyProtection="1">
      <alignment horizontal="right" vertical="center"/>
      <protection hidden="1"/>
    </xf>
    <xf numFmtId="0" fontId="38" fillId="0" borderId="0" xfId="72" applyFont="1" applyProtection="1">
      <alignment vertical="center"/>
      <protection hidden="1"/>
    </xf>
    <xf numFmtId="0" fontId="38" fillId="2" borderId="0" xfId="72" applyFont="1" applyFill="1">
      <alignment vertical="center"/>
    </xf>
    <xf numFmtId="49" fontId="39" fillId="0" borderId="0" xfId="72" applyNumberFormat="1" applyFont="1" applyAlignment="1" applyProtection="1">
      <alignment horizontal="left" vertical="center"/>
      <protection locked="0"/>
    </xf>
    <xf numFmtId="0" fontId="40" fillId="39" borderId="11" xfId="73" applyFont="1" applyFill="1" applyBorder="1" applyAlignment="1">
      <alignment vertical="top" wrapText="1"/>
    </xf>
    <xf numFmtId="0" fontId="37" fillId="41" borderId="0" xfId="0" applyFont="1" applyFill="1" applyAlignment="1">
      <alignment vertical="top"/>
    </xf>
    <xf numFmtId="0" fontId="54" fillId="41" borderId="0" xfId="0" applyFont="1" applyFill="1" applyAlignment="1">
      <alignment vertical="top" wrapText="1" shrinkToFit="1"/>
    </xf>
    <xf numFmtId="0" fontId="37" fillId="40" borderId="0" xfId="0" applyFont="1" applyFill="1" applyAlignment="1">
      <alignment vertical="top"/>
    </xf>
    <xf numFmtId="0" fontId="59" fillId="43" borderId="0" xfId="0" applyFont="1" applyFill="1" applyAlignment="1">
      <alignment vertical="top" shrinkToFit="1"/>
    </xf>
    <xf numFmtId="0" fontId="35" fillId="40" borderId="16" xfId="0" applyFont="1" applyFill="1" applyBorder="1" applyAlignment="1">
      <alignment vertical="top" shrinkToFit="1"/>
    </xf>
    <xf numFmtId="0" fontId="38" fillId="0" borderId="0" xfId="72" applyFont="1" applyAlignment="1">
      <alignment vertical="center" shrinkToFit="1"/>
    </xf>
    <xf numFmtId="0" fontId="38" fillId="0" borderId="0" xfId="72" applyFont="1" applyAlignment="1" applyProtection="1">
      <alignment vertical="center" shrinkToFit="1"/>
      <protection locked="0"/>
    </xf>
    <xf numFmtId="0" fontId="38" fillId="0" borderId="0" xfId="72" applyFont="1" applyAlignment="1" applyProtection="1">
      <alignment horizontal="right" vertical="center" shrinkToFit="1"/>
      <protection hidden="1"/>
    </xf>
    <xf numFmtId="0" fontId="38" fillId="0" borderId="0" xfId="72" applyFont="1" applyAlignment="1" applyProtection="1">
      <alignment vertical="top"/>
      <protection locked="0" hidden="1"/>
    </xf>
    <xf numFmtId="0" fontId="38" fillId="0" borderId="0" xfId="72" applyFont="1" applyProtection="1">
      <alignment vertical="center"/>
      <protection locked="0" hidden="1"/>
    </xf>
    <xf numFmtId="0" fontId="38" fillId="0" borderId="0" xfId="72" applyFont="1" applyAlignment="1" applyProtection="1">
      <alignment vertical="center" shrinkToFit="1"/>
      <protection locked="0" hidden="1"/>
    </xf>
    <xf numFmtId="0" fontId="38" fillId="2" borderId="0" xfId="72" applyFont="1" applyFill="1" applyProtection="1">
      <alignment vertical="center"/>
      <protection locked="0" hidden="1"/>
    </xf>
    <xf numFmtId="0" fontId="14" fillId="0" borderId="0" xfId="133" applyAlignment="1">
      <alignment vertical="center"/>
    </xf>
    <xf numFmtId="168" fontId="63" fillId="0" borderId="0" xfId="72" applyNumberFormat="1" applyFont="1">
      <alignment vertical="center"/>
    </xf>
    <xf numFmtId="168" fontId="63" fillId="0" borderId="0" xfId="72" applyNumberFormat="1" applyFont="1" applyProtection="1">
      <alignment vertical="center"/>
      <protection locked="0"/>
    </xf>
    <xf numFmtId="0" fontId="38" fillId="0" borderId="0" xfId="134" applyFont="1">
      <alignment vertical="center"/>
    </xf>
    <xf numFmtId="0" fontId="38" fillId="0" borderId="0" xfId="134" applyFont="1" applyAlignment="1">
      <alignment vertical="center" shrinkToFit="1"/>
    </xf>
    <xf numFmtId="0" fontId="46" fillId="0" borderId="0" xfId="134" applyFont="1">
      <alignment vertical="center"/>
    </xf>
    <xf numFmtId="0" fontId="46" fillId="0" borderId="0" xfId="134" quotePrefix="1" applyFont="1">
      <alignment vertical="center"/>
    </xf>
    <xf numFmtId="0" fontId="38" fillId="0" borderId="0" xfId="134" quotePrefix="1" applyFont="1">
      <alignment vertical="center"/>
    </xf>
    <xf numFmtId="0" fontId="38" fillId="0" borderId="14" xfId="134" applyFont="1" applyBorder="1" applyAlignment="1">
      <alignment horizontal="center" vertical="center" shrinkToFit="1"/>
    </xf>
    <xf numFmtId="0" fontId="38" fillId="0" borderId="24" xfId="134" applyFont="1" applyBorder="1" applyAlignment="1">
      <alignment horizontal="center" vertical="center" shrinkToFit="1"/>
    </xf>
    <xf numFmtId="0" fontId="38" fillId="0" borderId="25" xfId="134" applyFont="1" applyBorder="1" applyAlignment="1">
      <alignment horizontal="center" vertical="center" shrinkToFit="1"/>
    </xf>
    <xf numFmtId="0" fontId="38" fillId="0" borderId="16" xfId="134" applyFont="1" applyBorder="1" applyAlignment="1">
      <alignment vertical="center" shrinkToFit="1"/>
    </xf>
    <xf numFmtId="0" fontId="38" fillId="0" borderId="15" xfId="134" applyFont="1" applyBorder="1" applyAlignment="1">
      <alignment vertical="center" shrinkToFit="1"/>
    </xf>
    <xf numFmtId="0" fontId="38" fillId="0" borderId="17" xfId="134" applyFont="1" applyBorder="1" applyAlignment="1">
      <alignment vertical="center" shrinkToFit="1"/>
    </xf>
    <xf numFmtId="0" fontId="38" fillId="0" borderId="16" xfId="134" applyFont="1" applyBorder="1" applyAlignment="1">
      <alignment horizontal="center" vertical="center" shrinkToFit="1"/>
    </xf>
    <xf numFmtId="0" fontId="38" fillId="0" borderId="0" xfId="134" applyFont="1" applyAlignment="1">
      <alignment horizontal="center" vertical="center" shrinkToFit="1"/>
    </xf>
    <xf numFmtId="0" fontId="38" fillId="0" borderId="18" xfId="134" applyFont="1" applyBorder="1" applyAlignment="1">
      <alignment horizontal="center" vertical="center" shrinkToFit="1"/>
    </xf>
    <xf numFmtId="0" fontId="38" fillId="0" borderId="19" xfId="134" applyFont="1" applyBorder="1" applyAlignment="1">
      <alignment horizontal="center" vertical="center" shrinkToFit="1"/>
    </xf>
    <xf numFmtId="0" fontId="38" fillId="0" borderId="21" xfId="134" applyFont="1" applyBorder="1" applyAlignment="1">
      <alignment horizontal="center" vertical="center" shrinkToFit="1"/>
    </xf>
    <xf numFmtId="0" fontId="38" fillId="0" borderId="20" xfId="134" applyFont="1" applyBorder="1" applyAlignment="1">
      <alignment horizontal="center" vertical="center" shrinkToFit="1"/>
    </xf>
    <xf numFmtId="0" fontId="38" fillId="0" borderId="22" xfId="134" applyFont="1" applyBorder="1" applyAlignment="1">
      <alignment horizontal="center" vertical="center" shrinkToFit="1"/>
    </xf>
    <xf numFmtId="0" fontId="38" fillId="0" borderId="0" xfId="134" applyFont="1" applyAlignment="1">
      <alignment vertical="top"/>
    </xf>
    <xf numFmtId="0" fontId="38" fillId="0" borderId="0" xfId="134" applyFont="1" applyAlignment="1">
      <alignment horizontal="right" vertical="center"/>
    </xf>
    <xf numFmtId="9" fontId="38" fillId="0" borderId="0" xfId="134" applyNumberFormat="1" applyFont="1" applyAlignment="1">
      <alignment horizontal="right" vertical="center"/>
    </xf>
    <xf numFmtId="49" fontId="38" fillId="0" borderId="0" xfId="134" applyNumberFormat="1" applyFont="1" applyAlignment="1">
      <alignment horizontal="right" vertical="center"/>
    </xf>
    <xf numFmtId="0" fontId="55" fillId="0" borderId="0" xfId="134" applyFont="1" applyAlignment="1">
      <alignment horizontal="right" vertical="center"/>
    </xf>
    <xf numFmtId="1" fontId="38" fillId="0" borderId="0" xfId="136" applyNumberFormat="1" applyFont="1" applyAlignment="1">
      <alignment horizontal="right" vertical="center"/>
    </xf>
    <xf numFmtId="0" fontId="37" fillId="36" borderId="28" xfId="0" applyFont="1" applyFill="1" applyBorder="1" applyAlignment="1">
      <alignment vertical="top" wrapText="1"/>
    </xf>
    <xf numFmtId="0" fontId="35" fillId="36" borderId="28" xfId="0" applyFont="1" applyFill="1" applyBorder="1" applyAlignment="1">
      <alignment vertical="top" wrapText="1"/>
    </xf>
    <xf numFmtId="14" fontId="38" fillId="0" borderId="0" xfId="134" applyNumberFormat="1" applyFont="1">
      <alignment vertical="center"/>
    </xf>
    <xf numFmtId="0" fontId="38" fillId="0" borderId="0" xfId="64" applyFont="1">
      <alignment vertical="center"/>
    </xf>
    <xf numFmtId="0" fontId="38" fillId="0" borderId="0" xfId="67" applyFont="1">
      <alignment vertical="center"/>
    </xf>
    <xf numFmtId="0" fontId="38" fillId="0" borderId="0" xfId="67" applyFont="1" applyAlignment="1">
      <alignment horizontal="right" vertical="center"/>
    </xf>
    <xf numFmtId="9" fontId="38" fillId="0" borderId="0" xfId="67" applyNumberFormat="1" applyFont="1" applyAlignment="1">
      <alignment horizontal="right" vertical="center"/>
    </xf>
    <xf numFmtId="49" fontId="38" fillId="0" borderId="0" xfId="67" applyNumberFormat="1" applyFont="1" applyAlignment="1">
      <alignment horizontal="right" vertical="center"/>
    </xf>
    <xf numFmtId="0" fontId="38" fillId="0" borderId="0" xfId="67" quotePrefix="1" applyFont="1">
      <alignment vertical="center"/>
    </xf>
    <xf numFmtId="0" fontId="55" fillId="0" borderId="0" xfId="67" applyFont="1">
      <alignment vertical="center"/>
    </xf>
    <xf numFmtId="0" fontId="55" fillId="0" borderId="0" xfId="65" applyFont="1" applyAlignment="1">
      <alignment vertical="center" shrinkToFit="1"/>
    </xf>
    <xf numFmtId="0" fontId="55" fillId="0" borderId="0" xfId="67" applyFont="1" applyAlignment="1">
      <alignment horizontal="right" vertical="center"/>
    </xf>
    <xf numFmtId="9" fontId="55" fillId="0" borderId="0" xfId="67" applyNumberFormat="1" applyFont="1" applyAlignment="1">
      <alignment horizontal="right" vertical="center"/>
    </xf>
    <xf numFmtId="49" fontId="55" fillId="0" borderId="0" xfId="67" applyNumberFormat="1" applyFont="1" applyAlignment="1">
      <alignment horizontal="right" vertical="center"/>
    </xf>
    <xf numFmtId="9" fontId="70" fillId="0" borderId="0" xfId="67" quotePrefix="1" applyNumberFormat="1" applyFont="1" applyAlignment="1">
      <alignment horizontal="right" vertical="center" wrapText="1"/>
    </xf>
    <xf numFmtId="0" fontId="46" fillId="0" borderId="0" xfId="72" applyFont="1" applyProtection="1">
      <alignment vertical="center"/>
      <protection locked="0" hidden="1"/>
    </xf>
    <xf numFmtId="0" fontId="35" fillId="55" borderId="0" xfId="134" applyFont="1" applyFill="1" applyAlignment="1">
      <alignment vertical="top" shrinkToFit="1"/>
    </xf>
    <xf numFmtId="14" fontId="38" fillId="0" borderId="0" xfId="134" applyNumberFormat="1" applyFont="1" applyAlignment="1">
      <alignment vertical="center" shrinkToFit="1"/>
    </xf>
    <xf numFmtId="14" fontId="38" fillId="0" borderId="0" xfId="64" applyNumberFormat="1" applyFont="1" applyAlignment="1">
      <alignment vertical="center" shrinkToFit="1"/>
    </xf>
    <xf numFmtId="0" fontId="38" fillId="0" borderId="10" xfId="72" applyFont="1" applyBorder="1" applyAlignment="1" applyProtection="1">
      <alignment horizontal="right" vertical="center" shrinkToFit="1"/>
      <protection hidden="1"/>
    </xf>
    <xf numFmtId="0" fontId="38" fillId="0" borderId="31" xfId="72" applyFont="1" applyBorder="1" applyAlignment="1" applyProtection="1">
      <alignment horizontal="right" vertical="center" shrinkToFit="1"/>
      <protection hidden="1"/>
    </xf>
    <xf numFmtId="0" fontId="38" fillId="0" borderId="29" xfId="72" applyFont="1" applyBorder="1" applyAlignment="1" applyProtection="1">
      <alignment horizontal="left" vertical="center" shrinkToFit="1"/>
      <protection hidden="1"/>
    </xf>
    <xf numFmtId="168" fontId="68" fillId="0" borderId="30" xfId="72" applyNumberFormat="1" applyFont="1" applyBorder="1" applyAlignment="1" applyProtection="1">
      <alignment horizontal="right" vertical="center" shrinkToFit="1"/>
      <protection hidden="1"/>
    </xf>
    <xf numFmtId="0" fontId="38" fillId="0" borderId="30" xfId="72" applyFont="1" applyBorder="1" applyAlignment="1" applyProtection="1">
      <alignment horizontal="left" vertical="center" shrinkToFit="1"/>
      <protection hidden="1"/>
    </xf>
    <xf numFmtId="49" fontId="42" fillId="0" borderId="30" xfId="72" applyNumberFormat="1" applyFont="1" applyBorder="1" applyAlignment="1" applyProtection="1">
      <alignment horizontal="left" vertical="center"/>
      <protection locked="0"/>
    </xf>
    <xf numFmtId="169" fontId="38" fillId="0" borderId="0" xfId="134" applyNumberFormat="1" applyFont="1" applyAlignment="1">
      <alignment horizontal="right" vertical="center"/>
    </xf>
    <xf numFmtId="169" fontId="38" fillId="0" borderId="0" xfId="67" applyNumberFormat="1" applyFont="1" applyAlignment="1">
      <alignment horizontal="right" vertical="center"/>
    </xf>
    <xf numFmtId="169" fontId="55" fillId="0" borderId="0" xfId="67" applyNumberFormat="1" applyFont="1" applyAlignment="1">
      <alignment horizontal="right" vertical="center"/>
    </xf>
    <xf numFmtId="169" fontId="38" fillId="0" borderId="0" xfId="134" applyNumberFormat="1" applyFont="1">
      <alignment vertical="center"/>
    </xf>
    <xf numFmtId="0" fontId="63" fillId="0" borderId="0" xfId="134" applyFont="1" applyAlignment="1">
      <alignment horizontal="right" vertical="center"/>
    </xf>
    <xf numFmtId="169" fontId="63" fillId="0" borderId="0" xfId="134" applyNumberFormat="1" applyFont="1" applyAlignment="1">
      <alignment horizontal="right" vertical="center"/>
    </xf>
    <xf numFmtId="0" fontId="38" fillId="56" borderId="0" xfId="134" applyFont="1" applyFill="1">
      <alignment vertical="center"/>
    </xf>
    <xf numFmtId="2" fontId="71" fillId="0" borderId="0" xfId="67" applyNumberFormat="1" applyFont="1" applyAlignment="1">
      <alignment horizontal="right" vertical="center"/>
    </xf>
    <xf numFmtId="2" fontId="38" fillId="0" borderId="0" xfId="134" applyNumberFormat="1" applyFont="1" applyAlignment="1">
      <alignment horizontal="right" vertical="center"/>
    </xf>
    <xf numFmtId="2" fontId="63" fillId="0" borderId="0" xfId="134" applyNumberFormat="1" applyFont="1" applyAlignment="1">
      <alignment horizontal="right" vertical="center"/>
    </xf>
    <xf numFmtId="2" fontId="63" fillId="0" borderId="0" xfId="67" applyNumberFormat="1" applyFont="1" applyAlignment="1">
      <alignment horizontal="right" vertical="center"/>
    </xf>
    <xf numFmtId="2" fontId="63" fillId="0" borderId="0" xfId="134" applyNumberFormat="1" applyFont="1">
      <alignment vertical="center"/>
    </xf>
    <xf numFmtId="0" fontId="38" fillId="0" borderId="0" xfId="64" applyFont="1" applyAlignment="1">
      <alignment horizontal="right" vertical="center"/>
    </xf>
    <xf numFmtId="0" fontId="38" fillId="0" borderId="0" xfId="69" applyFont="1" applyAlignment="1">
      <alignment horizontal="right" vertical="center"/>
    </xf>
    <xf numFmtId="2" fontId="38" fillId="0" borderId="0" xfId="64" applyNumberFormat="1" applyFont="1" applyAlignment="1">
      <alignment horizontal="right" vertical="center"/>
    </xf>
    <xf numFmtId="0" fontId="42" fillId="0" borderId="0" xfId="134" applyFont="1">
      <alignment vertical="center"/>
    </xf>
    <xf numFmtId="0" fontId="42" fillId="0" borderId="0" xfId="64" applyFont="1">
      <alignment vertical="center"/>
    </xf>
    <xf numFmtId="14" fontId="42" fillId="0" borderId="0" xfId="134" applyNumberFormat="1" applyFont="1" applyAlignment="1">
      <alignment vertical="center" shrinkToFit="1"/>
    </xf>
    <xf numFmtId="0" fontId="42" fillId="0" borderId="0" xfId="134" applyFont="1" applyAlignment="1">
      <alignment horizontal="right" vertical="center"/>
    </xf>
    <xf numFmtId="9" fontId="42" fillId="0" borderId="0" xfId="134" applyNumberFormat="1" applyFont="1" applyAlignment="1">
      <alignment horizontal="right" vertical="center"/>
    </xf>
    <xf numFmtId="0" fontId="42" fillId="0" borderId="0" xfId="67" applyFont="1" applyAlignment="1">
      <alignment horizontal="right" vertical="center"/>
    </xf>
    <xf numFmtId="0" fontId="39" fillId="0" borderId="0" xfId="134" applyFont="1" applyAlignment="1">
      <alignment horizontal="right" vertical="center"/>
    </xf>
    <xf numFmtId="169" fontId="39" fillId="0" borderId="0" xfId="134" applyNumberFormat="1" applyFont="1" applyAlignment="1">
      <alignment horizontal="right" vertical="center"/>
    </xf>
    <xf numFmtId="2" fontId="39" fillId="0" borderId="0" xfId="134" applyNumberFormat="1" applyFont="1" applyAlignment="1">
      <alignment horizontal="right" vertical="center"/>
    </xf>
    <xf numFmtId="1" fontId="42" fillId="0" borderId="0" xfId="136" applyNumberFormat="1" applyFont="1" applyAlignment="1">
      <alignment horizontal="right" vertical="center"/>
    </xf>
    <xf numFmtId="0" fontId="34" fillId="41" borderId="0" xfId="0" applyFont="1" applyFill="1" applyAlignment="1">
      <alignment vertical="top" wrapText="1" shrinkToFit="1"/>
    </xf>
    <xf numFmtId="0" fontId="63" fillId="0" borderId="0" xfId="134" applyFont="1">
      <alignment vertical="center"/>
    </xf>
    <xf numFmtId="0" fontId="63" fillId="0" borderId="0" xfId="64" applyFont="1">
      <alignment vertical="center"/>
    </xf>
    <xf numFmtId="0" fontId="0" fillId="0" borderId="0" xfId="0" applyAlignment="1">
      <alignment horizontal="right"/>
    </xf>
    <xf numFmtId="9" fontId="9" fillId="0" borderId="0" xfId="71" applyFont="1" applyAlignment="1">
      <alignment horizontal="right" vertical="center" shrinkToFit="1"/>
    </xf>
    <xf numFmtId="0" fontId="34" fillId="39" borderId="13" xfId="73" applyFont="1" applyFill="1" applyBorder="1" applyAlignment="1">
      <alignment vertical="top" wrapText="1"/>
    </xf>
    <xf numFmtId="0" fontId="73" fillId="39" borderId="13" xfId="73" applyFont="1" applyFill="1" applyBorder="1" applyAlignment="1">
      <alignment vertical="top" wrapText="1"/>
    </xf>
    <xf numFmtId="0" fontId="34" fillId="39" borderId="12" xfId="73" applyFont="1" applyFill="1" applyBorder="1" applyAlignment="1">
      <alignment vertical="top" wrapText="1"/>
    </xf>
    <xf numFmtId="0" fontId="38" fillId="0" borderId="32" xfId="72" applyFont="1" applyBorder="1" applyAlignment="1" applyProtection="1">
      <alignment horizontal="right" vertical="center" shrinkToFit="1"/>
      <protection hidden="1"/>
    </xf>
    <xf numFmtId="0" fontId="70" fillId="0" borderId="0" xfId="72" applyFont="1" applyProtection="1">
      <alignment vertical="center"/>
      <protection hidden="1"/>
    </xf>
    <xf numFmtId="0" fontId="35" fillId="40" borderId="0" xfId="0" applyFont="1" applyFill="1" applyAlignment="1">
      <alignment vertical="top" wrapText="1"/>
    </xf>
    <xf numFmtId="0" fontId="37" fillId="41" borderId="0" xfId="0" applyFont="1" applyFill="1" applyAlignment="1">
      <alignment vertical="top" shrinkToFit="1"/>
    </xf>
    <xf numFmtId="0" fontId="38" fillId="0" borderId="0" xfId="67" applyFont="1" applyAlignment="1">
      <alignment vertical="center" shrinkToFit="1"/>
    </xf>
    <xf numFmtId="0" fontId="55" fillId="0" borderId="0" xfId="67" applyFont="1" applyAlignment="1">
      <alignment vertical="center" shrinkToFit="1"/>
    </xf>
    <xf numFmtId="0" fontId="42" fillId="0" borderId="0" xfId="134" applyFont="1" applyAlignment="1">
      <alignment vertical="center" shrinkToFit="1"/>
    </xf>
    <xf numFmtId="0" fontId="35" fillId="40" borderId="0" xfId="0" applyFont="1" applyFill="1" applyAlignment="1">
      <alignment vertical="top"/>
    </xf>
    <xf numFmtId="0" fontId="38" fillId="0" borderId="17" xfId="134" applyFont="1" applyBorder="1">
      <alignment vertical="center"/>
    </xf>
    <xf numFmtId="0" fontId="63" fillId="0" borderId="34" xfId="134" applyFont="1" applyBorder="1" applyAlignment="1">
      <alignment horizontal="center" vertical="center" shrinkToFit="1"/>
    </xf>
    <xf numFmtId="0" fontId="73" fillId="39" borderId="11" xfId="73" applyFont="1" applyFill="1" applyBorder="1" applyAlignment="1">
      <alignment vertical="top" wrapText="1"/>
    </xf>
    <xf numFmtId="0" fontId="34" fillId="39" borderId="11" xfId="73" applyFont="1" applyFill="1" applyBorder="1" applyAlignment="1">
      <alignment vertical="top" wrapText="1"/>
    </xf>
    <xf numFmtId="0" fontId="34" fillId="39" borderId="13" xfId="73" applyFont="1" applyFill="1" applyBorder="1" applyAlignment="1">
      <alignment vertical="top" shrinkToFit="1"/>
    </xf>
    <xf numFmtId="168" fontId="78" fillId="39" borderId="12" xfId="73" applyNumberFormat="1" applyFont="1" applyFill="1" applyBorder="1" applyAlignment="1">
      <alignment vertical="top" wrapText="1"/>
    </xf>
    <xf numFmtId="0" fontId="0" fillId="0" borderId="0" xfId="0" applyAlignment="1">
      <alignment wrapText="1"/>
    </xf>
    <xf numFmtId="0" fontId="79" fillId="0" borderId="0" xfId="0" applyFont="1" applyAlignment="1">
      <alignment vertical="top" wrapText="1"/>
    </xf>
    <xf numFmtId="0" fontId="80" fillId="0" borderId="0" xfId="0" applyFont="1" applyAlignment="1">
      <alignment vertical="top" wrapText="1"/>
    </xf>
    <xf numFmtId="0" fontId="10" fillId="0" borderId="0" xfId="134" applyFont="1" applyAlignment="1">
      <alignment horizontal="right" vertical="center"/>
    </xf>
    <xf numFmtId="49" fontId="10" fillId="0" borderId="0" xfId="134" applyNumberFormat="1" applyFont="1" applyAlignment="1">
      <alignment horizontal="right" vertical="center"/>
    </xf>
    <xf numFmtId="0" fontId="10" fillId="0" borderId="0" xfId="134" quotePrefix="1" applyFont="1">
      <alignment vertical="center"/>
    </xf>
    <xf numFmtId="49" fontId="10" fillId="0" borderId="0" xfId="67" applyNumberFormat="1" applyFont="1" applyAlignment="1">
      <alignment horizontal="right" vertical="center"/>
    </xf>
    <xf numFmtId="0" fontId="10" fillId="0" borderId="0" xfId="67" applyFont="1" applyAlignment="1">
      <alignment horizontal="right" vertical="center"/>
    </xf>
    <xf numFmtId="0" fontId="10" fillId="0" borderId="0" xfId="67" quotePrefix="1" applyFont="1">
      <alignment vertical="center"/>
    </xf>
    <xf numFmtId="0" fontId="37" fillId="36" borderId="35" xfId="0" applyFont="1" applyFill="1" applyBorder="1" applyAlignment="1">
      <alignment vertical="top" wrapText="1"/>
    </xf>
    <xf numFmtId="0" fontId="37" fillId="36" borderId="33" xfId="0" applyFont="1" applyFill="1" applyBorder="1" applyAlignment="1">
      <alignment vertical="top" wrapText="1"/>
    </xf>
    <xf numFmtId="0" fontId="42" fillId="0" borderId="30" xfId="134" applyFont="1" applyBorder="1" applyAlignment="1">
      <alignment vertical="center" shrinkToFit="1"/>
    </xf>
    <xf numFmtId="0" fontId="42" fillId="0" borderId="30" xfId="134" quotePrefix="1" applyFont="1" applyBorder="1" applyAlignment="1">
      <alignment vertical="center" shrinkToFit="1"/>
    </xf>
    <xf numFmtId="0" fontId="42" fillId="0" borderId="30" xfId="65" applyFont="1" applyBorder="1" applyAlignment="1">
      <alignment vertical="center" shrinkToFit="1"/>
    </xf>
    <xf numFmtId="0" fontId="42" fillId="0" borderId="30" xfId="67" applyFont="1" applyBorder="1" applyAlignment="1">
      <alignment vertical="center" shrinkToFit="1"/>
    </xf>
    <xf numFmtId="9" fontId="81" fillId="0" borderId="10" xfId="134" applyNumberFormat="1" applyFont="1" applyBorder="1" applyAlignment="1">
      <alignment horizontal="right" vertical="center" shrinkToFit="1"/>
    </xf>
    <xf numFmtId="9" fontId="81" fillId="0" borderId="10" xfId="67" applyNumberFormat="1" applyFont="1" applyBorder="1" applyAlignment="1">
      <alignment horizontal="right" vertical="center" shrinkToFit="1"/>
    </xf>
    <xf numFmtId="9" fontId="81" fillId="0" borderId="38" xfId="67" applyNumberFormat="1" applyFont="1" applyBorder="1" applyAlignment="1">
      <alignment horizontal="right" vertical="center" shrinkToFit="1"/>
    </xf>
    <xf numFmtId="0" fontId="42" fillId="0" borderId="36" xfId="67" applyFont="1" applyBorder="1" applyAlignment="1">
      <alignment vertical="center" shrinkToFit="1"/>
    </xf>
    <xf numFmtId="0" fontId="42" fillId="0" borderId="36" xfId="134" quotePrefix="1" applyFont="1" applyBorder="1" applyAlignment="1">
      <alignment vertical="center" shrinkToFit="1"/>
    </xf>
    <xf numFmtId="0" fontId="42" fillId="0" borderId="36" xfId="134" applyFont="1" applyBorder="1" applyAlignment="1">
      <alignment vertical="center" shrinkToFit="1"/>
    </xf>
    <xf numFmtId="0" fontId="42" fillId="0" borderId="36" xfId="65" applyFont="1" applyBorder="1" applyAlignment="1">
      <alignment vertical="center" shrinkToFit="1"/>
    </xf>
    <xf numFmtId="9" fontId="81" fillId="0" borderId="41" xfId="67" applyNumberFormat="1" applyFont="1" applyBorder="1" applyAlignment="1">
      <alignment horizontal="right" vertical="center" shrinkToFit="1"/>
    </xf>
    <xf numFmtId="0" fontId="42" fillId="0" borderId="39" xfId="67" applyFont="1" applyBorder="1" applyAlignment="1">
      <alignment vertical="center" shrinkToFit="1"/>
    </xf>
    <xf numFmtId="0" fontId="42" fillId="0" borderId="39" xfId="134" quotePrefix="1" applyFont="1" applyBorder="1" applyAlignment="1">
      <alignment vertical="center" shrinkToFit="1"/>
    </xf>
    <xf numFmtId="0" fontId="42" fillId="0" borderId="39" xfId="134" applyFont="1" applyBorder="1" applyAlignment="1">
      <alignment vertical="center" shrinkToFit="1"/>
    </xf>
    <xf numFmtId="0" fontId="42" fillId="0" borderId="39" xfId="65" applyFont="1" applyBorder="1" applyAlignment="1">
      <alignment vertical="center" shrinkToFit="1"/>
    </xf>
    <xf numFmtId="0" fontId="82" fillId="0" borderId="29" xfId="134" applyFont="1" applyBorder="1" applyAlignment="1">
      <alignment horizontal="right" vertical="center" shrinkToFit="1"/>
    </xf>
    <xf numFmtId="0" fontId="82" fillId="0" borderId="29" xfId="67" applyFont="1" applyBorder="1" applyAlignment="1">
      <alignment horizontal="right" vertical="center" shrinkToFit="1"/>
    </xf>
    <xf numFmtId="0" fontId="82" fillId="0" borderId="40" xfId="67" applyFont="1" applyBorder="1" applyAlignment="1">
      <alignment horizontal="right" vertical="center" shrinkToFit="1"/>
    </xf>
    <xf numFmtId="0" fontId="82" fillId="0" borderId="37" xfId="67" applyFont="1" applyBorder="1" applyAlignment="1">
      <alignment horizontal="right" vertical="center" shrinkToFit="1"/>
    </xf>
    <xf numFmtId="0" fontId="42" fillId="0" borderId="10" xfId="134" applyFont="1" applyBorder="1" applyAlignment="1">
      <alignment horizontal="right" vertical="center" shrinkToFit="1"/>
    </xf>
    <xf numFmtId="0" fontId="42" fillId="0" borderId="41" xfId="134" applyFont="1" applyBorder="1" applyAlignment="1">
      <alignment horizontal="right" vertical="center" shrinkToFit="1"/>
    </xf>
    <xf numFmtId="0" fontId="42" fillId="0" borderId="38" xfId="134" applyFont="1" applyBorder="1" applyAlignment="1">
      <alignment horizontal="right" vertical="center" shrinkToFit="1"/>
    </xf>
    <xf numFmtId="0" fontId="42" fillId="0" borderId="29" xfId="134" applyFont="1" applyBorder="1" applyAlignment="1">
      <alignment horizontal="right" vertical="center" shrinkToFit="1"/>
    </xf>
    <xf numFmtId="0" fontId="42" fillId="0" borderId="29" xfId="67" applyFont="1" applyBorder="1" applyAlignment="1">
      <alignment horizontal="right" vertical="center" shrinkToFit="1"/>
    </xf>
    <xf numFmtId="0" fontId="42" fillId="0" borderId="40" xfId="67" applyFont="1" applyBorder="1" applyAlignment="1">
      <alignment horizontal="right" vertical="center" shrinkToFit="1"/>
    </xf>
    <xf numFmtId="0" fontId="42" fillId="0" borderId="37" xfId="67" applyFont="1" applyBorder="1" applyAlignment="1">
      <alignment horizontal="right" vertical="center" shrinkToFit="1"/>
    </xf>
    <xf numFmtId="165" fontId="42" fillId="0" borderId="10" xfId="134" applyNumberFormat="1" applyFont="1" applyBorder="1" applyAlignment="1">
      <alignment horizontal="right" vertical="center" shrinkToFit="1"/>
    </xf>
    <xf numFmtId="165" fontId="42" fillId="0" borderId="10" xfId="67" applyNumberFormat="1" applyFont="1" applyBorder="1" applyAlignment="1">
      <alignment horizontal="right" vertical="center" shrinkToFit="1"/>
    </xf>
    <xf numFmtId="165" fontId="42" fillId="0" borderId="41" xfId="67" applyNumberFormat="1" applyFont="1" applyBorder="1" applyAlignment="1">
      <alignment horizontal="right" vertical="center" shrinkToFit="1"/>
    </xf>
    <xf numFmtId="165" fontId="42" fillId="0" borderId="29" xfId="134" applyNumberFormat="1" applyFont="1" applyBorder="1" applyAlignment="1">
      <alignment horizontal="right" vertical="center" shrinkToFit="1"/>
    </xf>
    <xf numFmtId="165" fontId="42" fillId="0" borderId="29" xfId="67" applyNumberFormat="1" applyFont="1" applyBorder="1" applyAlignment="1">
      <alignment horizontal="right" vertical="center" shrinkToFit="1"/>
    </xf>
    <xf numFmtId="165" fontId="42" fillId="0" borderId="40" xfId="67" applyNumberFormat="1" applyFont="1" applyBorder="1" applyAlignment="1">
      <alignment horizontal="right" vertical="center" shrinkToFit="1"/>
    </xf>
    <xf numFmtId="165" fontId="42" fillId="0" borderId="37" xfId="67" applyNumberFormat="1" applyFont="1" applyBorder="1" applyAlignment="1">
      <alignment horizontal="right" vertical="center" shrinkToFit="1"/>
    </xf>
    <xf numFmtId="2" fontId="42" fillId="0" borderId="10" xfId="134" applyNumberFormat="1" applyFont="1" applyBorder="1" applyAlignment="1">
      <alignment horizontal="right" vertical="center" shrinkToFit="1"/>
    </xf>
    <xf numFmtId="2" fontId="42" fillId="0" borderId="10" xfId="67" applyNumberFormat="1" applyFont="1" applyBorder="1" applyAlignment="1">
      <alignment horizontal="right" vertical="center" shrinkToFit="1"/>
    </xf>
    <xf numFmtId="2" fontId="42" fillId="0" borderId="41" xfId="67" applyNumberFormat="1" applyFont="1" applyBorder="1" applyAlignment="1">
      <alignment horizontal="right" vertical="center" shrinkToFit="1"/>
    </xf>
    <xf numFmtId="2" fontId="42" fillId="0" borderId="38" xfId="67" applyNumberFormat="1" applyFont="1" applyBorder="1" applyAlignment="1">
      <alignment horizontal="right" vertical="center" shrinkToFit="1"/>
    </xf>
    <xf numFmtId="2" fontId="42" fillId="0" borderId="29" xfId="134" applyNumberFormat="1" applyFont="1" applyBorder="1" applyAlignment="1">
      <alignment horizontal="right" vertical="center" shrinkToFit="1"/>
    </xf>
    <xf numFmtId="2" fontId="42" fillId="0" borderId="29" xfId="67" applyNumberFormat="1" applyFont="1" applyBorder="1" applyAlignment="1">
      <alignment horizontal="right" vertical="center" shrinkToFit="1"/>
    </xf>
    <xf numFmtId="2" fontId="42" fillId="0" borderId="40" xfId="67" applyNumberFormat="1" applyFont="1" applyBorder="1" applyAlignment="1">
      <alignment horizontal="right" vertical="center" shrinkToFit="1"/>
    </xf>
    <xf numFmtId="2" fontId="42" fillId="0" borderId="37" xfId="67" applyNumberFormat="1" applyFont="1" applyBorder="1" applyAlignment="1">
      <alignment horizontal="right" vertical="center" shrinkToFit="1"/>
    </xf>
    <xf numFmtId="0" fontId="35" fillId="36" borderId="35" xfId="0" applyFont="1" applyFill="1" applyBorder="1" applyAlignment="1">
      <alignment vertical="top" wrapText="1"/>
    </xf>
    <xf numFmtId="0" fontId="14" fillId="0" borderId="0" xfId="133"/>
    <xf numFmtId="0" fontId="83" fillId="0" borderId="29" xfId="134" applyFont="1" applyBorder="1" applyAlignment="1">
      <alignment horizontal="right" vertical="center" shrinkToFit="1"/>
    </xf>
    <xf numFmtId="0" fontId="83" fillId="0" borderId="10" xfId="134" applyFont="1" applyBorder="1" applyAlignment="1">
      <alignment horizontal="right" vertical="center" shrinkToFit="1"/>
    </xf>
    <xf numFmtId="0" fontId="83" fillId="0" borderId="29" xfId="67" applyFont="1" applyBorder="1" applyAlignment="1">
      <alignment horizontal="right" vertical="center" shrinkToFit="1"/>
    </xf>
    <xf numFmtId="0" fontId="83" fillId="0" borderId="10" xfId="67" applyFont="1" applyBorder="1" applyAlignment="1">
      <alignment horizontal="right" vertical="center" shrinkToFit="1"/>
    </xf>
    <xf numFmtId="0" fontId="83" fillId="0" borderId="40" xfId="67" applyFont="1" applyBorder="1" applyAlignment="1">
      <alignment horizontal="right" vertical="center" shrinkToFit="1"/>
    </xf>
    <xf numFmtId="0" fontId="83" fillId="0" borderId="41" xfId="67" applyFont="1" applyBorder="1" applyAlignment="1">
      <alignment horizontal="right" vertical="center" shrinkToFit="1"/>
    </xf>
    <xf numFmtId="0" fontId="83" fillId="0" borderId="37" xfId="67" applyFont="1" applyBorder="1" applyAlignment="1">
      <alignment horizontal="right" vertical="center" shrinkToFit="1"/>
    </xf>
    <xf numFmtId="0" fontId="83" fillId="0" borderId="38" xfId="67" applyFont="1" applyBorder="1" applyAlignment="1">
      <alignment horizontal="right" vertical="center" shrinkToFit="1"/>
    </xf>
    <xf numFmtId="0" fontId="11" fillId="36" borderId="0" xfId="0" applyFont="1" applyFill="1" applyAlignment="1">
      <alignment vertical="center"/>
    </xf>
    <xf numFmtId="0" fontId="38" fillId="0" borderId="31" xfId="73" applyFont="1" applyBorder="1" applyAlignment="1" applyProtection="1">
      <alignment horizontal="right" vertical="center" shrinkToFit="1"/>
      <protection hidden="1"/>
    </xf>
    <xf numFmtId="0" fontId="37" fillId="57" borderId="28" xfId="0" applyFont="1" applyFill="1" applyBorder="1" applyAlignment="1">
      <alignment vertical="top" wrapText="1"/>
    </xf>
    <xf numFmtId="0" fontId="69" fillId="0" borderId="0" xfId="134" applyFont="1">
      <alignment vertical="center"/>
    </xf>
    <xf numFmtId="0" fontId="38" fillId="0" borderId="0" xfId="64" applyFont="1" applyAlignment="1">
      <alignment vertical="center" shrinkToFit="1"/>
    </xf>
    <xf numFmtId="0" fontId="38" fillId="0" borderId="10" xfId="134" applyFont="1" applyBorder="1" applyAlignment="1">
      <alignment horizontal="center" vertical="center" shrinkToFit="1"/>
    </xf>
    <xf numFmtId="0" fontId="38" fillId="0" borderId="29" xfId="134" applyFont="1" applyBorder="1" applyAlignment="1">
      <alignment horizontal="center" vertical="center" shrinkToFit="1"/>
    </xf>
    <xf numFmtId="9" fontId="48" fillId="40" borderId="0" xfId="71" applyFont="1" applyFill="1" applyBorder="1" applyAlignment="1">
      <alignment vertical="top" wrapText="1" shrinkToFit="1"/>
    </xf>
    <xf numFmtId="0" fontId="48" fillId="40" borderId="0" xfId="0" applyFont="1" applyFill="1" applyAlignment="1">
      <alignment vertical="top" wrapText="1" shrinkToFit="1"/>
    </xf>
    <xf numFmtId="0" fontId="44" fillId="36" borderId="0" xfId="0" applyFont="1" applyFill="1" applyAlignment="1">
      <alignment vertical="center"/>
    </xf>
    <xf numFmtId="14" fontId="42" fillId="0" borderId="0" xfId="64" applyNumberFormat="1" applyFont="1" applyAlignment="1">
      <alignment vertical="center" shrinkToFit="1"/>
    </xf>
    <xf numFmtId="0" fontId="39" fillId="0" borderId="0" xfId="134" applyFont="1">
      <alignment vertical="center"/>
    </xf>
    <xf numFmtId="0" fontId="42" fillId="0" borderId="0" xfId="64" applyFont="1" applyAlignment="1">
      <alignment horizontal="right" vertical="center"/>
    </xf>
    <xf numFmtId="0" fontId="42" fillId="0" borderId="0" xfId="69" applyFont="1" applyAlignment="1">
      <alignment horizontal="right" vertical="center"/>
    </xf>
    <xf numFmtId="169" fontId="42" fillId="0" borderId="0" xfId="64" applyNumberFormat="1" applyFont="1" applyAlignment="1">
      <alignment horizontal="right" vertical="center"/>
    </xf>
    <xf numFmtId="2" fontId="42" fillId="0" borderId="0" xfId="64" applyNumberFormat="1" applyFont="1" applyAlignment="1">
      <alignment horizontal="right" vertical="center"/>
    </xf>
    <xf numFmtId="0" fontId="42" fillId="0" borderId="0" xfId="134" quotePrefix="1" applyFont="1">
      <alignment vertical="center"/>
    </xf>
    <xf numFmtId="0" fontId="42" fillId="0" borderId="0" xfId="67" quotePrefix="1" applyFont="1">
      <alignment vertical="center"/>
    </xf>
    <xf numFmtId="2" fontId="42" fillId="0" borderId="0" xfId="134" applyNumberFormat="1" applyFont="1" applyAlignment="1">
      <alignment horizontal="right" vertical="center"/>
    </xf>
    <xf numFmtId="0" fontId="10" fillId="0" borderId="0" xfId="64" applyFont="1">
      <alignment vertical="center"/>
    </xf>
    <xf numFmtId="0" fontId="42" fillId="0" borderId="0" xfId="64" applyFont="1" applyAlignment="1">
      <alignment vertical="center" shrinkToFit="1"/>
    </xf>
    <xf numFmtId="9" fontId="42" fillId="0" borderId="0" xfId="64" applyNumberFormat="1" applyFont="1" applyAlignment="1">
      <alignment horizontal="right" vertical="center"/>
    </xf>
    <xf numFmtId="2" fontId="71" fillId="0" borderId="0" xfId="134" applyNumberFormat="1" applyFont="1" applyAlignment="1">
      <alignment horizontal="right" vertical="center"/>
    </xf>
    <xf numFmtId="9" fontId="38" fillId="0" borderId="0" xfId="64" applyNumberFormat="1" applyFont="1" applyAlignment="1">
      <alignment horizontal="right" vertical="center"/>
    </xf>
    <xf numFmtId="169" fontId="38" fillId="0" borderId="0" xfId="64" applyNumberFormat="1" applyFont="1" applyAlignment="1">
      <alignment horizontal="right" vertical="center"/>
    </xf>
    <xf numFmtId="0" fontId="71" fillId="0" borderId="0" xfId="64" applyFont="1" applyAlignment="1">
      <alignment horizontal="right" vertical="center"/>
    </xf>
    <xf numFmtId="0" fontId="71" fillId="0" borderId="0" xfId="69" applyFont="1" applyAlignment="1">
      <alignment horizontal="right" vertical="center"/>
    </xf>
    <xf numFmtId="0" fontId="71" fillId="0" borderId="0" xfId="134" applyFont="1">
      <alignment vertical="center"/>
    </xf>
    <xf numFmtId="0" fontId="71" fillId="0" borderId="0" xfId="64" applyFont="1">
      <alignment vertical="center"/>
    </xf>
    <xf numFmtId="0" fontId="84" fillId="0" borderId="0" xfId="134" applyFont="1">
      <alignment vertical="center"/>
    </xf>
    <xf numFmtId="0" fontId="41" fillId="0" borderId="0" xfId="134" applyFont="1">
      <alignment vertical="center"/>
    </xf>
    <xf numFmtId="0" fontId="85" fillId="0" borderId="0" xfId="133" applyFont="1" applyAlignment="1">
      <alignment vertical="center"/>
    </xf>
    <xf numFmtId="0" fontId="41" fillId="0" borderId="0" xfId="64" applyFont="1">
      <alignment vertical="center"/>
    </xf>
    <xf numFmtId="0" fontId="86" fillId="55" borderId="0" xfId="134" applyFont="1" applyFill="1" applyAlignment="1">
      <alignment vertical="top" shrinkToFit="1"/>
    </xf>
    <xf numFmtId="0" fontId="45" fillId="0" borderId="0" xfId="0" applyFont="1" applyAlignment="1" applyProtection="1">
      <alignment horizontal="left" vertical="center"/>
      <protection locked="0"/>
    </xf>
    <xf numFmtId="0" fontId="87" fillId="0" borderId="0" xfId="0" applyFont="1" applyAlignment="1">
      <alignment vertical="center"/>
    </xf>
    <xf numFmtId="0" fontId="88" fillId="0" borderId="0" xfId="0" applyFont="1" applyAlignment="1" applyProtection="1">
      <alignment horizontal="left" vertical="center"/>
      <protection locked="0"/>
    </xf>
    <xf numFmtId="0" fontId="0" fillId="2" borderId="0" xfId="0" applyFill="1"/>
    <xf numFmtId="9" fontId="81" fillId="0" borderId="41" xfId="67" quotePrefix="1" applyNumberFormat="1" applyFont="1" applyBorder="1" applyAlignment="1">
      <alignment horizontal="right" vertical="center" shrinkToFit="1"/>
    </xf>
    <xf numFmtId="165" fontId="42" fillId="0" borderId="38" xfId="67" applyNumberFormat="1" applyFont="1" applyBorder="1" applyAlignment="1">
      <alignment horizontal="right" vertical="center" shrinkToFit="1"/>
    </xf>
    <xf numFmtId="0" fontId="89" fillId="0" borderId="0" xfId="133" applyFont="1"/>
    <xf numFmtId="0" fontId="90" fillId="0" borderId="0" xfId="72" applyFont="1">
      <alignment vertical="center"/>
    </xf>
    <xf numFmtId="0" fontId="35" fillId="40" borderId="17" xfId="0" applyFont="1" applyFill="1" applyBorder="1" applyAlignment="1">
      <alignment vertical="top" wrapText="1" shrinkToFit="1"/>
    </xf>
    <xf numFmtId="9" fontId="48" fillId="40" borderId="15" xfId="71" applyFont="1" applyFill="1" applyBorder="1" applyAlignment="1">
      <alignment vertical="top" wrapText="1" shrinkToFit="1"/>
    </xf>
    <xf numFmtId="0" fontId="48" fillId="40" borderId="16" xfId="0" applyFont="1" applyFill="1" applyBorder="1" applyAlignment="1">
      <alignment vertical="top" wrapText="1" shrinkToFit="1"/>
    </xf>
    <xf numFmtId="0" fontId="35" fillId="40" borderId="17" xfId="0" applyFont="1" applyFill="1" applyBorder="1" applyAlignment="1">
      <alignment vertical="top" shrinkToFit="1"/>
    </xf>
    <xf numFmtId="14" fontId="46" fillId="0" borderId="0" xfId="134" applyNumberFormat="1" applyFont="1" applyAlignment="1">
      <alignment vertical="center" shrinkToFit="1"/>
    </xf>
    <xf numFmtId="0" fontId="63" fillId="0" borderId="0" xfId="134" applyFont="1" applyAlignment="1">
      <alignment horizontal="right" vertical="center" wrapText="1"/>
    </xf>
    <xf numFmtId="165" fontId="38" fillId="0" borderId="0" xfId="134" applyNumberFormat="1" applyFont="1" applyAlignment="1">
      <alignment horizontal="right" vertical="center"/>
    </xf>
    <xf numFmtId="2" fontId="55" fillId="42" borderId="0" xfId="134" applyNumberFormat="1" applyFont="1" applyFill="1" applyAlignment="1">
      <alignment horizontal="right" vertical="center"/>
    </xf>
    <xf numFmtId="0" fontId="91" fillId="0" borderId="0" xfId="133" applyFont="1" applyBorder="1" applyAlignment="1">
      <alignment vertical="center"/>
    </xf>
    <xf numFmtId="165" fontId="38" fillId="0" borderId="0" xfId="67" applyNumberFormat="1" applyFont="1" applyAlignment="1">
      <alignment horizontal="right" vertical="center"/>
    </xf>
    <xf numFmtId="2" fontId="38" fillId="0" borderId="0" xfId="67" applyNumberFormat="1" applyFont="1" applyAlignment="1">
      <alignment horizontal="right" vertical="center"/>
    </xf>
    <xf numFmtId="165" fontId="55" fillId="0" borderId="0" xfId="67" applyNumberFormat="1" applyFont="1" applyAlignment="1">
      <alignment horizontal="right" vertical="center"/>
    </xf>
    <xf numFmtId="2" fontId="55" fillId="0" borderId="0" xfId="67" applyNumberFormat="1" applyFont="1" applyAlignment="1">
      <alignment horizontal="right" vertical="center"/>
    </xf>
    <xf numFmtId="0" fontId="38" fillId="0" borderId="0" xfId="134" applyFont="1" applyAlignment="1">
      <alignment horizontal="right" vertical="center" wrapText="1"/>
    </xf>
    <xf numFmtId="0" fontId="91" fillId="0" borderId="0" xfId="133" applyFont="1"/>
    <xf numFmtId="165" fontId="71" fillId="0" borderId="0" xfId="67" applyNumberFormat="1" applyFont="1" applyAlignment="1">
      <alignment horizontal="right" vertical="center"/>
    </xf>
    <xf numFmtId="165" fontId="63" fillId="0" borderId="0" xfId="67" applyNumberFormat="1" applyFont="1" applyAlignment="1">
      <alignment horizontal="right" vertical="center"/>
    </xf>
    <xf numFmtId="14" fontId="38" fillId="0" borderId="0" xfId="64" applyNumberFormat="1" applyFont="1">
      <alignment vertical="center"/>
    </xf>
    <xf numFmtId="0" fontId="36" fillId="36" borderId="0" xfId="0" applyFont="1" applyFill="1" applyAlignment="1">
      <alignment vertical="center"/>
    </xf>
    <xf numFmtId="0" fontId="9" fillId="38" borderId="0" xfId="0" applyFont="1" applyFill="1" applyAlignment="1">
      <alignment vertical="center"/>
    </xf>
    <xf numFmtId="9" fontId="50" fillId="0" borderId="0" xfId="0" applyNumberFormat="1" applyFont="1" applyAlignment="1">
      <alignment vertical="center"/>
    </xf>
    <xf numFmtId="9" fontId="33" fillId="36" borderId="0" xfId="0" applyNumberFormat="1" applyFont="1" applyFill="1" applyAlignment="1">
      <alignment vertical="center"/>
    </xf>
    <xf numFmtId="9" fontId="9" fillId="38" borderId="0" xfId="0" applyNumberFormat="1" applyFont="1" applyFill="1" applyAlignment="1">
      <alignment vertical="center"/>
    </xf>
    <xf numFmtId="9" fontId="9" fillId="0" borderId="23" xfId="0" applyNumberFormat="1" applyFont="1" applyBorder="1" applyAlignment="1">
      <alignment vertical="center"/>
    </xf>
    <xf numFmtId="9" fontId="0" fillId="0" borderId="0" xfId="0" applyNumberFormat="1"/>
    <xf numFmtId="9" fontId="9" fillId="0" borderId="0" xfId="0" applyNumberFormat="1" applyFont="1" applyAlignment="1">
      <alignment vertical="center" shrinkToFit="1"/>
    </xf>
    <xf numFmtId="0" fontId="9" fillId="0" borderId="0" xfId="0" quotePrefix="1" applyFont="1" applyAlignment="1">
      <alignment shrinkToFit="1"/>
    </xf>
    <xf numFmtId="0" fontId="63" fillId="0" borderId="0" xfId="69" applyFont="1" applyAlignment="1">
      <alignment horizontal="right" vertical="center"/>
    </xf>
    <xf numFmtId="0" fontId="38" fillId="42" borderId="0" xfId="134" applyFont="1" applyFill="1">
      <alignment vertical="center"/>
    </xf>
    <xf numFmtId="0" fontId="38" fillId="42" borderId="0" xfId="67" applyFont="1" applyFill="1">
      <alignment vertical="center"/>
    </xf>
    <xf numFmtId="0" fontId="9" fillId="0" borderId="0" xfId="0" applyFont="1" applyAlignment="1">
      <alignment shrinkToFit="1"/>
    </xf>
    <xf numFmtId="0" fontId="63" fillId="43" borderId="0" xfId="72" applyFont="1" applyFill="1">
      <alignment vertical="center"/>
    </xf>
    <xf numFmtId="168" fontId="63" fillId="43" borderId="0" xfId="72" applyNumberFormat="1" applyFont="1" applyFill="1">
      <alignment vertical="center"/>
    </xf>
    <xf numFmtId="0" fontId="38" fillId="43" borderId="0" xfId="72" applyFont="1" applyFill="1">
      <alignment vertical="center"/>
    </xf>
    <xf numFmtId="49" fontId="39" fillId="43" borderId="0" xfId="72" applyNumberFormat="1" applyFont="1" applyFill="1" applyAlignment="1" applyProtection="1">
      <alignment horizontal="left" vertical="center"/>
      <protection locked="0"/>
    </xf>
    <xf numFmtId="0" fontId="39" fillId="43" borderId="0" xfId="72" applyFont="1" applyFill="1" applyAlignment="1" applyProtection="1">
      <alignment horizontal="left" vertical="center"/>
      <protection locked="0"/>
    </xf>
    <xf numFmtId="0" fontId="43" fillId="43" borderId="0" xfId="72" applyFont="1" applyFill="1">
      <alignment vertical="center"/>
    </xf>
    <xf numFmtId="0" fontId="94" fillId="43" borderId="0" xfId="72" applyFont="1" applyFill="1" applyAlignment="1">
      <alignment horizontal="right" vertical="center"/>
    </xf>
    <xf numFmtId="0" fontId="38" fillId="36" borderId="0" xfId="72" applyFont="1" applyFill="1">
      <alignment vertical="center"/>
    </xf>
    <xf numFmtId="0" fontId="40" fillId="36" borderId="0" xfId="72" applyFont="1" applyFill="1">
      <alignment vertical="center"/>
    </xf>
    <xf numFmtId="0" fontId="78" fillId="36" borderId="0" xfId="72" applyFont="1" applyFill="1">
      <alignment vertical="center"/>
    </xf>
    <xf numFmtId="0" fontId="98" fillId="36" borderId="0" xfId="72" applyFont="1" applyFill="1">
      <alignment vertical="center"/>
    </xf>
    <xf numFmtId="168" fontId="63" fillId="43" borderId="0" xfId="72" applyNumberFormat="1" applyFont="1" applyFill="1" applyAlignment="1">
      <alignment horizontal="right" vertical="center"/>
    </xf>
    <xf numFmtId="0" fontId="94" fillId="43" borderId="0" xfId="72" applyFont="1" applyFill="1">
      <alignment vertical="center"/>
    </xf>
    <xf numFmtId="0" fontId="40" fillId="0" borderId="0" xfId="72" applyFont="1" applyAlignment="1" applyProtection="1">
      <alignment horizontal="center" vertical="center" shrinkToFit="1"/>
      <protection hidden="1"/>
    </xf>
    <xf numFmtId="0" fontId="38" fillId="0" borderId="0" xfId="72" applyFont="1" applyAlignment="1" applyProtection="1">
      <alignment horizontal="center" vertical="center" shrinkToFit="1"/>
      <protection locked="0" hidden="1"/>
    </xf>
    <xf numFmtId="0" fontId="38" fillId="0" borderId="0" xfId="72" applyFont="1" applyAlignment="1" applyProtection="1">
      <alignment horizontal="center" vertical="center"/>
      <protection locked="0" hidden="1"/>
    </xf>
    <xf numFmtId="0" fontId="38" fillId="0" borderId="0" xfId="72" applyFont="1" applyAlignment="1" applyProtection="1">
      <alignment horizontal="center" vertical="center" shrinkToFit="1"/>
      <protection hidden="1"/>
    </xf>
    <xf numFmtId="0" fontId="38" fillId="43" borderId="0" xfId="72" applyFont="1" applyFill="1" applyProtection="1">
      <alignment vertical="center"/>
      <protection locked="0"/>
    </xf>
    <xf numFmtId="168" fontId="63" fillId="43" borderId="0" xfId="72" applyNumberFormat="1" applyFont="1" applyFill="1" applyProtection="1">
      <alignment vertical="center"/>
      <protection locked="0"/>
    </xf>
    <xf numFmtId="49" fontId="42" fillId="0" borderId="0" xfId="67" applyNumberFormat="1" applyFont="1" applyAlignment="1">
      <alignment horizontal="right" vertical="center"/>
    </xf>
    <xf numFmtId="168" fontId="68" fillId="0" borderId="30" xfId="72" applyNumberFormat="1" applyFont="1" applyBorder="1" applyAlignment="1" applyProtection="1">
      <alignment horizontal="center" vertical="center" shrinkToFit="1"/>
      <protection hidden="1"/>
    </xf>
    <xf numFmtId="0" fontId="102" fillId="0" borderId="29" xfId="72" applyFont="1" applyBorder="1" applyAlignment="1" applyProtection="1">
      <alignment horizontal="right" vertical="center" shrinkToFit="1"/>
      <protection hidden="1"/>
    </xf>
    <xf numFmtId="168" fontId="59" fillId="0" borderId="0" xfId="72" applyNumberFormat="1" applyFont="1" applyProtection="1">
      <alignment vertical="center"/>
      <protection locked="0"/>
    </xf>
    <xf numFmtId="0" fontId="103" fillId="43" borderId="0" xfId="72" applyFont="1" applyFill="1">
      <alignment vertical="center"/>
    </xf>
    <xf numFmtId="0" fontId="104" fillId="0" borderId="0" xfId="73" applyFont="1">
      <alignment vertical="center"/>
    </xf>
    <xf numFmtId="0" fontId="105" fillId="0" borderId="0" xfId="214" applyFont="1"/>
    <xf numFmtId="170" fontId="105" fillId="0" borderId="0" xfId="214" applyNumberFormat="1" applyFont="1"/>
    <xf numFmtId="172" fontId="105" fillId="0" borderId="0" xfId="214" applyNumberFormat="1" applyFont="1"/>
    <xf numFmtId="171" fontId="105" fillId="0" borderId="0" xfId="214" applyNumberFormat="1" applyFont="1"/>
    <xf numFmtId="173" fontId="105" fillId="0" borderId="0" xfId="214" applyNumberFormat="1" applyFont="1"/>
    <xf numFmtId="0" fontId="105" fillId="0" borderId="0" xfId="214" applyFont="1" applyAlignment="1">
      <alignment horizontal="right"/>
    </xf>
    <xf numFmtId="0" fontId="100" fillId="0" borderId="0" xfId="0" applyFont="1"/>
    <xf numFmtId="0" fontId="59" fillId="43" borderId="0" xfId="72" applyFont="1" applyFill="1">
      <alignment vertical="center"/>
    </xf>
    <xf numFmtId="0" fontId="59" fillId="43" borderId="0" xfId="72" applyFont="1" applyFill="1" applyAlignment="1">
      <alignment vertical="top"/>
    </xf>
    <xf numFmtId="0" fontId="38" fillId="58" borderId="0" xfId="72" applyFont="1" applyFill="1" applyProtection="1">
      <alignment vertical="center"/>
      <protection locked="0"/>
    </xf>
    <xf numFmtId="0" fontId="39" fillId="58" borderId="0" xfId="72" applyFont="1" applyFill="1" applyAlignment="1" applyProtection="1">
      <alignment horizontal="left" vertical="center"/>
      <protection locked="0"/>
    </xf>
    <xf numFmtId="0" fontId="40" fillId="58" borderId="0" xfId="72" applyFont="1" applyFill="1" applyAlignment="1" applyProtection="1">
      <alignment horizontal="left" vertical="center"/>
      <protection locked="0"/>
    </xf>
    <xf numFmtId="0" fontId="40" fillId="58" borderId="0" xfId="72" applyFont="1" applyFill="1">
      <alignment vertical="center"/>
    </xf>
    <xf numFmtId="0" fontId="40" fillId="58" borderId="0" xfId="72" applyFont="1" applyFill="1" applyProtection="1">
      <alignment vertical="center"/>
      <protection locked="0"/>
    </xf>
    <xf numFmtId="168" fontId="59" fillId="58" borderId="0" xfId="72" applyNumberFormat="1" applyFont="1" applyFill="1" applyProtection="1">
      <alignment vertical="center"/>
      <protection locked="0"/>
    </xf>
    <xf numFmtId="0" fontId="46" fillId="58" borderId="0" xfId="72" applyFont="1" applyFill="1" applyProtection="1">
      <alignment vertical="center"/>
      <protection locked="0"/>
    </xf>
    <xf numFmtId="0" fontId="38" fillId="58" borderId="0" xfId="73" applyFont="1" applyFill="1" applyProtection="1">
      <alignment vertical="center"/>
      <protection locked="0"/>
    </xf>
    <xf numFmtId="0" fontId="38" fillId="58" borderId="0" xfId="72" applyFont="1" applyFill="1" applyAlignment="1" applyProtection="1">
      <alignment vertical="center" shrinkToFit="1"/>
      <protection locked="0"/>
    </xf>
    <xf numFmtId="0" fontId="98" fillId="58" borderId="42" xfId="72" applyFont="1" applyFill="1" applyBorder="1" applyAlignment="1" applyProtection="1">
      <alignment vertical="top"/>
      <protection locked="0" hidden="1"/>
    </xf>
    <xf numFmtId="0" fontId="98" fillId="58" borderId="42" xfId="72" quotePrefix="1" applyFont="1" applyFill="1" applyBorder="1" applyAlignment="1" applyProtection="1">
      <alignment vertical="top"/>
      <protection locked="0" hidden="1"/>
    </xf>
    <xf numFmtId="0" fontId="76" fillId="59" borderId="42" xfId="74" applyFont="1" applyFill="1" applyBorder="1" applyAlignment="1" applyProtection="1">
      <alignment vertical="top" wrapText="1"/>
      <protection locked="0"/>
    </xf>
    <xf numFmtId="0" fontId="40" fillId="58" borderId="42" xfId="73" applyFont="1" applyFill="1" applyBorder="1" applyAlignment="1" applyProtection="1">
      <alignment horizontal="left" vertical="top"/>
      <protection locked="0"/>
    </xf>
    <xf numFmtId="0" fontId="40" fillId="58" borderId="42" xfId="73" applyFont="1" applyFill="1" applyBorder="1" applyAlignment="1" applyProtection="1">
      <alignment horizontal="left" vertical="top" wrapText="1"/>
      <protection locked="0"/>
    </xf>
    <xf numFmtId="168" fontId="99" fillId="58" borderId="42" xfId="73" applyNumberFormat="1" applyFont="1" applyFill="1" applyBorder="1" applyAlignment="1">
      <alignment vertical="top" wrapText="1"/>
    </xf>
    <xf numFmtId="168" fontId="34" fillId="58" borderId="42" xfId="73" quotePrefix="1" applyNumberFormat="1" applyFont="1" applyFill="1" applyBorder="1" applyAlignment="1">
      <alignment horizontal="left" vertical="top" wrapText="1"/>
    </xf>
    <xf numFmtId="0" fontId="34" fillId="58" borderId="42" xfId="73" applyFont="1" applyFill="1" applyBorder="1" applyAlignment="1">
      <alignment vertical="top" wrapText="1"/>
    </xf>
    <xf numFmtId="0" fontId="34" fillId="58" borderId="42" xfId="73" applyFont="1" applyFill="1" applyBorder="1" applyAlignment="1">
      <alignment vertical="top" shrinkToFit="1"/>
    </xf>
    <xf numFmtId="0" fontId="73" fillId="58" borderId="42" xfId="73" applyFont="1" applyFill="1" applyBorder="1" applyAlignment="1">
      <alignment wrapText="1"/>
    </xf>
    <xf numFmtId="0" fontId="39" fillId="43" borderId="0" xfId="72" applyFont="1" applyFill="1">
      <alignment vertical="center"/>
    </xf>
    <xf numFmtId="0" fontId="73" fillId="58" borderId="42" xfId="73" quotePrefix="1" applyFont="1" applyFill="1" applyBorder="1" applyAlignment="1" applyProtection="1">
      <alignment horizontal="center" vertical="top"/>
      <protection locked="0"/>
    </xf>
    <xf numFmtId="0" fontId="109" fillId="0" borderId="0" xfId="72" quotePrefix="1" applyFont="1" applyAlignment="1" applyProtection="1">
      <alignment horizontal="center" vertical="center"/>
      <protection hidden="1"/>
    </xf>
    <xf numFmtId="0" fontId="11" fillId="42" borderId="0" xfId="0" applyFont="1" applyFill="1" applyAlignment="1">
      <alignment vertical="center"/>
    </xf>
    <xf numFmtId="0" fontId="96" fillId="0" borderId="0" xfId="0" applyFont="1" applyAlignment="1">
      <alignment vertical="center"/>
    </xf>
    <xf numFmtId="0" fontId="11" fillId="0" borderId="0" xfId="0" applyFont="1" applyAlignment="1">
      <alignment vertical="center"/>
    </xf>
    <xf numFmtId="0" fontId="41" fillId="0" borderId="0" xfId="134" quotePrefix="1" applyFont="1">
      <alignment vertical="center"/>
    </xf>
    <xf numFmtId="174" fontId="38" fillId="0" borderId="0" xfId="67" applyNumberFormat="1" applyFont="1">
      <alignment vertical="center"/>
    </xf>
    <xf numFmtId="174" fontId="0" fillId="0" borderId="0" xfId="0" applyNumberFormat="1"/>
    <xf numFmtId="0" fontId="102" fillId="43" borderId="0" xfId="72" applyFont="1" applyFill="1">
      <alignment vertical="center"/>
    </xf>
    <xf numFmtId="0" fontId="38" fillId="43" borderId="0" xfId="72" applyFont="1" applyFill="1" applyAlignment="1">
      <alignment vertical="center" shrinkToFit="1"/>
    </xf>
    <xf numFmtId="0" fontId="39" fillId="43" borderId="0" xfId="72" applyFont="1" applyFill="1" applyAlignment="1" applyProtection="1">
      <alignment horizontal="center" vertical="center"/>
      <protection locked="0"/>
    </xf>
    <xf numFmtId="0" fontId="39" fillId="43" borderId="0" xfId="72" applyFont="1" applyFill="1" applyAlignment="1" applyProtection="1">
      <alignment horizontal="right" vertical="center"/>
      <protection locked="0"/>
    </xf>
    <xf numFmtId="0" fontId="39" fillId="36" borderId="0" xfId="72" applyFont="1" applyFill="1">
      <alignment vertical="center"/>
    </xf>
    <xf numFmtId="168" fontId="63" fillId="36" borderId="0" xfId="72" applyNumberFormat="1" applyFont="1" applyFill="1">
      <alignment vertical="center"/>
    </xf>
    <xf numFmtId="0" fontId="94" fillId="43" borderId="0" xfId="72" applyFont="1" applyFill="1" applyAlignment="1" applyProtection="1">
      <alignment horizontal="right" vertical="center" shrinkToFit="1"/>
      <protection hidden="1"/>
    </xf>
    <xf numFmtId="168" fontId="108" fillId="43" borderId="0" xfId="72" applyNumberFormat="1" applyFont="1" applyFill="1" applyAlignment="1" applyProtection="1">
      <alignment horizontal="right" vertical="center"/>
      <protection hidden="1"/>
    </xf>
    <xf numFmtId="168" fontId="63" fillId="43" borderId="0" xfId="72" applyNumberFormat="1" applyFont="1" applyFill="1" applyAlignment="1" applyProtection="1">
      <alignment horizontal="right" vertical="center"/>
      <protection hidden="1"/>
    </xf>
    <xf numFmtId="0" fontId="43" fillId="0" borderId="0" xfId="72" applyFont="1" applyAlignment="1" applyProtection="1">
      <alignment vertical="center" shrinkToFit="1"/>
      <protection hidden="1"/>
    </xf>
    <xf numFmtId="0" fontId="38" fillId="43" borderId="0" xfId="72" applyFont="1" applyFill="1" applyProtection="1">
      <alignment vertical="center"/>
      <protection hidden="1"/>
    </xf>
    <xf numFmtId="0" fontId="110" fillId="58" borderId="42" xfId="73" applyFont="1" applyFill="1" applyBorder="1" applyAlignment="1" applyProtection="1">
      <alignment horizontal="center" vertical="top"/>
      <protection locked="0"/>
    </xf>
    <xf numFmtId="0" fontId="41" fillId="0" borderId="0" xfId="72" applyFont="1">
      <alignment vertical="center"/>
    </xf>
    <xf numFmtId="0" fontId="103" fillId="43" borderId="0" xfId="72" applyFont="1" applyFill="1" applyAlignment="1">
      <alignment horizontal="right" vertical="center"/>
    </xf>
    <xf numFmtId="0" fontId="102" fillId="43" borderId="0" xfId="72" applyFont="1" applyFill="1" applyAlignment="1">
      <alignment horizontal="left" vertical="center" shrinkToFit="1"/>
    </xf>
    <xf numFmtId="9" fontId="103" fillId="43" borderId="0" xfId="72" applyNumberFormat="1" applyFont="1" applyFill="1" applyAlignment="1">
      <alignment horizontal="left" vertical="center"/>
    </xf>
    <xf numFmtId="0" fontId="111" fillId="0" borderId="0" xfId="0" applyFont="1"/>
    <xf numFmtId="0" fontId="112" fillId="36" borderId="0" xfId="72" applyFont="1" applyFill="1">
      <alignment vertical="center"/>
    </xf>
    <xf numFmtId="0" fontId="112" fillId="58" borderId="0" xfId="72" applyFont="1" applyFill="1">
      <alignment vertical="center"/>
    </xf>
    <xf numFmtId="0" fontId="114" fillId="43" borderId="0" xfId="72" applyFont="1" applyFill="1" applyAlignment="1">
      <alignment vertical="center" shrinkToFit="1"/>
    </xf>
    <xf numFmtId="0" fontId="43" fillId="2" borderId="0" xfId="72" applyFont="1" applyFill="1" applyAlignment="1" applyProtection="1">
      <alignment vertical="center" shrinkToFit="1"/>
      <protection locked="0"/>
    </xf>
    <xf numFmtId="0" fontId="63" fillId="2" borderId="0" xfId="72" applyFont="1" applyFill="1" applyAlignment="1" applyProtection="1">
      <alignment vertical="center" shrinkToFit="1"/>
      <protection locked="0"/>
    </xf>
    <xf numFmtId="0" fontId="119" fillId="42" borderId="0" xfId="134" applyFont="1" applyFill="1">
      <alignment vertical="center"/>
    </xf>
    <xf numFmtId="0" fontId="118" fillId="43" borderId="0" xfId="72" applyFont="1" applyFill="1" applyAlignment="1" applyProtection="1">
      <alignment horizontal="right" vertical="center"/>
      <protection hidden="1"/>
    </xf>
    <xf numFmtId="0" fontId="121" fillId="0" borderId="0" xfId="134" applyFont="1">
      <alignment vertical="center"/>
    </xf>
    <xf numFmtId="0" fontId="113" fillId="2" borderId="0" xfId="72" applyFont="1" applyFill="1" applyAlignment="1" applyProtection="1">
      <alignment vertical="center" shrinkToFit="1"/>
      <protection locked="0"/>
    </xf>
    <xf numFmtId="0" fontId="113" fillId="2" borderId="0" xfId="71" applyNumberFormat="1" applyFont="1" applyFill="1" applyAlignment="1" applyProtection="1">
      <alignment vertical="center" shrinkToFit="1"/>
      <protection locked="0"/>
    </xf>
    <xf numFmtId="0" fontId="87" fillId="43" borderId="0" xfId="72" applyFont="1" applyFill="1" applyAlignment="1" applyProtection="1">
      <alignment horizontal="left" vertical="center"/>
      <protection locked="0"/>
    </xf>
    <xf numFmtId="0" fontId="39" fillId="0" borderId="0" xfId="72" applyFont="1" applyAlignment="1" applyProtection="1">
      <alignment horizontal="right" vertical="center" shrinkToFit="1"/>
      <protection locked="0"/>
    </xf>
    <xf numFmtId="0" fontId="63" fillId="0" borderId="0" xfId="72" applyFont="1" applyAlignment="1">
      <alignment horizontal="right" vertical="center" shrinkToFit="1"/>
    </xf>
    <xf numFmtId="38" fontId="39" fillId="0" borderId="0" xfId="137" applyFont="1" applyFill="1" applyBorder="1" applyAlignment="1" applyProtection="1">
      <alignment horizontal="right" vertical="center" shrinkToFit="1"/>
      <protection locked="0"/>
    </xf>
    <xf numFmtId="174" fontId="96" fillId="0" borderId="0" xfId="72" applyNumberFormat="1" applyFont="1" applyAlignment="1" applyProtection="1">
      <alignment horizontal="right" vertical="center" shrinkToFit="1"/>
      <protection locked="0"/>
    </xf>
    <xf numFmtId="2" fontId="42" fillId="0" borderId="29" xfId="134" applyNumberFormat="1" applyFont="1" applyBorder="1" applyAlignment="1">
      <alignment horizontal="left" vertical="center" shrinkToFit="1"/>
    </xf>
    <xf numFmtId="2" fontId="42" fillId="0" borderId="29" xfId="67" applyNumberFormat="1" applyFont="1" applyBorder="1" applyAlignment="1">
      <alignment horizontal="left" vertical="center" shrinkToFit="1"/>
    </xf>
    <xf numFmtId="2" fontId="42" fillId="0" borderId="40" xfId="67" applyNumberFormat="1" applyFont="1" applyBorder="1" applyAlignment="1">
      <alignment horizontal="left" vertical="center" shrinkToFit="1"/>
    </xf>
    <xf numFmtId="2" fontId="42" fillId="0" borderId="37" xfId="67" applyNumberFormat="1" applyFont="1" applyBorder="1" applyAlignment="1">
      <alignment horizontal="left" vertical="center" shrinkToFit="1"/>
    </xf>
    <xf numFmtId="0" fontId="34" fillId="58" borderId="42" xfId="73" applyFont="1" applyFill="1" applyBorder="1" applyAlignment="1">
      <alignment vertical="top" wrapText="1" shrinkToFit="1"/>
    </xf>
    <xf numFmtId="0" fontId="122" fillId="0" borderId="0" xfId="0" applyFont="1" applyAlignment="1">
      <alignment vertical="center"/>
    </xf>
    <xf numFmtId="0" fontId="122" fillId="0" borderId="0" xfId="0" applyFont="1" applyAlignment="1">
      <alignment horizontal="center" vertical="center"/>
    </xf>
    <xf numFmtId="2" fontId="122" fillId="0" borderId="0" xfId="0" applyNumberFormat="1" applyFont="1" applyAlignment="1">
      <alignment vertical="center"/>
    </xf>
    <xf numFmtId="0" fontId="123" fillId="0" borderId="0" xfId="0" applyFont="1" applyAlignment="1">
      <alignment vertical="center"/>
    </xf>
    <xf numFmtId="175" fontId="122" fillId="0" borderId="0" xfId="0" applyNumberFormat="1" applyFont="1" applyAlignment="1">
      <alignment vertical="center"/>
    </xf>
    <xf numFmtId="0" fontId="126" fillId="0" borderId="0" xfId="0" applyFont="1" applyAlignment="1">
      <alignment vertical="center"/>
    </xf>
    <xf numFmtId="0" fontId="126" fillId="0" borderId="0" xfId="0" applyFont="1" applyAlignment="1">
      <alignment horizontal="center" vertical="center"/>
    </xf>
    <xf numFmtId="175" fontId="123" fillId="0" borderId="0" xfId="0" applyNumberFormat="1" applyFont="1" applyAlignment="1">
      <alignment vertical="center"/>
    </xf>
    <xf numFmtId="0" fontId="128" fillId="0" borderId="0" xfId="0" applyFont="1" applyAlignment="1">
      <alignment vertical="center"/>
    </xf>
    <xf numFmtId="0" fontId="130" fillId="0" borderId="0" xfId="0" applyFont="1" applyAlignment="1">
      <alignment vertical="center"/>
    </xf>
    <xf numFmtId="0" fontId="14" fillId="0" borderId="0" xfId="133" applyAlignment="1">
      <alignment vertical="center"/>
    </xf>
    <xf numFmtId="0" fontId="126" fillId="0" borderId="0" xfId="0" applyFont="1" applyAlignment="1">
      <alignment horizontal="left" vertical="center"/>
    </xf>
    <xf numFmtId="2" fontId="122" fillId="0" borderId="0" xfId="0" applyNumberFormat="1" applyFont="1" applyAlignment="1">
      <alignment horizontal="center" vertical="center"/>
    </xf>
    <xf numFmtId="0" fontId="132" fillId="0" borderId="0" xfId="0" applyFont="1" applyAlignment="1">
      <alignment vertical="center"/>
    </xf>
    <xf numFmtId="0" fontId="122" fillId="0" borderId="43" xfId="0" applyFont="1" applyBorder="1" applyAlignment="1">
      <alignment horizontal="center" vertical="center" wrapText="1"/>
    </xf>
    <xf numFmtId="0" fontId="124" fillId="0" borderId="0" xfId="0" applyFont="1" applyAlignment="1">
      <alignment horizontal="center" vertical="center" wrapText="1"/>
    </xf>
    <xf numFmtId="0" fontId="125" fillId="0" borderId="0" xfId="0" applyFont="1" applyAlignment="1">
      <alignment horizontal="center" vertical="center" wrapText="1"/>
    </xf>
    <xf numFmtId="0" fontId="122" fillId="0" borderId="0" xfId="0" applyFont="1" applyAlignment="1">
      <alignment horizontal="center" vertical="center" wrapText="1"/>
    </xf>
    <xf numFmtId="0" fontId="132" fillId="0" borderId="43" xfId="0" applyFont="1" applyBorder="1" applyAlignment="1">
      <alignment horizontal="center" vertical="center" wrapText="1"/>
    </xf>
    <xf numFmtId="0" fontId="133" fillId="0" borderId="0" xfId="0" applyFont="1" applyAlignment="1">
      <alignment vertical="center"/>
    </xf>
    <xf numFmtId="0" fontId="134" fillId="0" borderId="0" xfId="0" applyFont="1" applyAlignment="1">
      <alignment horizontal="left" vertical="center"/>
    </xf>
    <xf numFmtId="0" fontId="127" fillId="0" borderId="43" xfId="0" quotePrefix="1" applyFont="1" applyBorder="1" applyAlignment="1">
      <alignment horizontal="center" vertical="center" wrapText="1"/>
    </xf>
    <xf numFmtId="0" fontId="135" fillId="0" borderId="0" xfId="0" applyFont="1" applyAlignment="1">
      <alignment vertical="center"/>
    </xf>
    <xf numFmtId="0" fontId="129" fillId="0" borderId="43" xfId="0" applyFont="1" applyBorder="1" applyAlignment="1">
      <alignment horizontal="center" vertical="center"/>
    </xf>
    <xf numFmtId="0" fontId="136" fillId="0" borderId="43" xfId="0" applyFont="1" applyBorder="1" applyAlignment="1">
      <alignment horizontal="center" vertical="center" wrapText="1"/>
    </xf>
    <xf numFmtId="0" fontId="0" fillId="0" borderId="0" xfId="0" applyAlignment="1">
      <alignment horizontal="center" wrapText="1"/>
    </xf>
    <xf numFmtId="0" fontId="122" fillId="0" borderId="26" xfId="0" applyFont="1" applyBorder="1" applyAlignment="1">
      <alignment horizontal="center" vertical="center" wrapText="1"/>
    </xf>
    <xf numFmtId="0" fontId="0" fillId="0" borderId="0" xfId="0" applyAlignment="1">
      <alignment horizontal="center"/>
    </xf>
    <xf numFmtId="0" fontId="127" fillId="0" borderId="43" xfId="0" applyFont="1" applyBorder="1" applyAlignment="1">
      <alignment horizontal="center" vertical="center" wrapText="1"/>
    </xf>
    <xf numFmtId="0" fontId="134" fillId="0" borderId="0" xfId="0" applyFont="1" applyAlignment="1">
      <alignment vertical="center"/>
    </xf>
    <xf numFmtId="0" fontId="12" fillId="0" borderId="0" xfId="0" applyFont="1" applyAlignment="1">
      <alignment horizontal="left" vertical="center" wrapText="1"/>
    </xf>
    <xf numFmtId="0" fontId="122" fillId="0" borderId="0" xfId="0" applyFont="1" applyAlignment="1">
      <alignment horizontal="left" vertical="center" wrapText="1"/>
    </xf>
    <xf numFmtId="0" fontId="129" fillId="0" borderId="43" xfId="0" applyFont="1" applyBorder="1" applyAlignment="1">
      <alignment horizontal="center" vertical="center" wrapText="1"/>
    </xf>
    <xf numFmtId="0" fontId="137" fillId="0" borderId="43" xfId="0" applyFont="1" applyBorder="1" applyAlignment="1">
      <alignment horizontal="center" vertical="center" wrapText="1"/>
    </xf>
    <xf numFmtId="0" fontId="124" fillId="0" borderId="0" xfId="0" applyFont="1" applyAlignment="1">
      <alignment vertical="center" wrapText="1"/>
    </xf>
    <xf numFmtId="0" fontId="0" fillId="0" borderId="44" xfId="0" applyBorder="1"/>
    <xf numFmtId="0" fontId="122" fillId="0" borderId="44" xfId="0" applyFont="1" applyBorder="1" applyAlignment="1">
      <alignment vertical="center"/>
    </xf>
    <xf numFmtId="0" fontId="0" fillId="0" borderId="44" xfId="0" applyBorder="1" applyAlignment="1">
      <alignment horizontal="center" wrapText="1"/>
    </xf>
    <xf numFmtId="0" fontId="122" fillId="0" borderId="44" xfId="0" applyFont="1" applyBorder="1" applyAlignment="1">
      <alignment horizontal="center" vertical="center"/>
    </xf>
    <xf numFmtId="0" fontId="122" fillId="0" borderId="44" xfId="0" applyFont="1" applyBorder="1" applyAlignment="1">
      <alignment horizontal="center" vertical="center" wrapText="1"/>
    </xf>
    <xf numFmtId="0" fontId="126" fillId="0" borderId="44" xfId="0" applyFont="1" applyBorder="1" applyAlignment="1">
      <alignment vertical="center"/>
    </xf>
    <xf numFmtId="0" fontId="122" fillId="42" borderId="43" xfId="0" applyFont="1" applyFill="1" applyBorder="1" applyAlignment="1">
      <alignment horizontal="center" vertical="center" wrapText="1"/>
    </xf>
    <xf numFmtId="2" fontId="38" fillId="0" borderId="0" xfId="72" applyNumberFormat="1" applyFont="1">
      <alignment vertical="center"/>
    </xf>
    <xf numFmtId="40" fontId="39" fillId="0" borderId="0" xfId="137" applyNumberFormat="1" applyFont="1" applyFill="1" applyBorder="1" applyAlignment="1" applyProtection="1">
      <alignment horizontal="right" vertical="center" shrinkToFit="1"/>
      <protection locked="0"/>
    </xf>
    <xf numFmtId="0" fontId="70" fillId="0" borderId="0" xfId="72" applyFont="1" applyAlignment="1">
      <alignment vertical="top" wrapText="1"/>
    </xf>
    <xf numFmtId="0" fontId="132" fillId="0" borderId="0" xfId="0" applyFont="1" applyAlignment="1">
      <alignment horizontal="left" vertical="center" wrapText="1"/>
    </xf>
    <xf numFmtId="0" fontId="100" fillId="0" borderId="44" xfId="0" applyFont="1" applyBorder="1"/>
    <xf numFmtId="0" fontId="132" fillId="0" borderId="0" xfId="0" applyFont="1" applyAlignment="1">
      <alignment horizontal="left" vertical="center"/>
    </xf>
    <xf numFmtId="2" fontId="0" fillId="0" borderId="0" xfId="0" applyNumberFormat="1"/>
    <xf numFmtId="0" fontId="140" fillId="0" borderId="0" xfId="0" applyFont="1" applyAlignment="1">
      <alignment vertical="center"/>
    </xf>
    <xf numFmtId="0" fontId="141" fillId="0" borderId="0" xfId="0" applyFont="1" applyAlignment="1">
      <alignment vertical="center"/>
    </xf>
    <xf numFmtId="0" fontId="142" fillId="0" borderId="0" xfId="0" applyFont="1"/>
    <xf numFmtId="0" fontId="103" fillId="0" borderId="0" xfId="72" applyFont="1" applyAlignment="1">
      <alignment vertical="top" wrapText="1"/>
    </xf>
    <xf numFmtId="0" fontId="102" fillId="0" borderId="45" xfId="72" applyFont="1" applyBorder="1">
      <alignment vertical="center"/>
    </xf>
    <xf numFmtId="2" fontId="102" fillId="0" borderId="43" xfId="72" applyNumberFormat="1" applyFont="1" applyBorder="1">
      <alignment vertical="center"/>
    </xf>
    <xf numFmtId="2" fontId="102" fillId="0" borderId="0" xfId="72" applyNumberFormat="1" applyFont="1">
      <alignment vertical="center"/>
    </xf>
    <xf numFmtId="2" fontId="102" fillId="0" borderId="45" xfId="72" applyNumberFormat="1" applyFont="1" applyBorder="1" applyAlignment="1">
      <alignment vertical="center" wrapText="1"/>
    </xf>
    <xf numFmtId="0" fontId="102" fillId="0" borderId="0" xfId="72" applyFont="1">
      <alignment vertical="center"/>
    </xf>
    <xf numFmtId="0" fontId="124" fillId="0" borderId="0" xfId="0" applyFont="1" applyAlignment="1">
      <alignment horizontal="center" vertical="center"/>
    </xf>
    <xf numFmtId="0" fontId="125" fillId="0" borderId="0" xfId="0" applyFont="1" applyAlignment="1">
      <alignment horizontal="center" vertical="center"/>
    </xf>
    <xf numFmtId="0" fontId="38" fillId="0" borderId="44" xfId="72" applyFont="1" applyBorder="1">
      <alignment vertical="center"/>
    </xf>
    <xf numFmtId="0" fontId="122" fillId="0" borderId="43" xfId="0" applyFont="1" applyBorder="1" applyAlignment="1">
      <alignment horizontal="left" vertical="center"/>
    </xf>
    <xf numFmtId="2" fontId="122" fillId="0" borderId="43" xfId="0" applyNumberFormat="1" applyFont="1" applyBorder="1" applyAlignment="1">
      <alignment horizontal="center" vertical="center" wrapText="1"/>
    </xf>
    <xf numFmtId="177" fontId="0" fillId="0" borderId="0" xfId="0" applyNumberFormat="1"/>
    <xf numFmtId="0" fontId="38" fillId="2" borderId="0" xfId="72" applyFont="1" applyFill="1" applyAlignment="1">
      <alignment horizontal="left" vertical="center"/>
    </xf>
    <xf numFmtId="0" fontId="38" fillId="2" borderId="0" xfId="72" applyFont="1" applyFill="1" applyAlignment="1">
      <alignment horizontal="center" vertical="center"/>
    </xf>
    <xf numFmtId="0" fontId="34" fillId="2" borderId="42" xfId="73" applyFont="1" applyFill="1" applyBorder="1" applyAlignment="1">
      <alignment vertical="top" shrinkToFit="1"/>
    </xf>
    <xf numFmtId="0" fontId="38" fillId="2" borderId="0" xfId="72" applyFont="1" applyFill="1" applyAlignment="1" applyProtection="1">
      <alignment vertical="center" shrinkToFit="1"/>
      <protection locked="0"/>
    </xf>
    <xf numFmtId="0" fontId="14" fillId="2" borderId="0" xfId="133" applyFill="1" applyBorder="1" applyAlignment="1" applyProtection="1">
      <alignment horizontal="left" vertical="center" shrinkToFit="1"/>
      <protection hidden="1"/>
    </xf>
    <xf numFmtId="0" fontId="38" fillId="0" borderId="46" xfId="72" applyFont="1" applyBorder="1" applyAlignment="1" applyProtection="1">
      <alignment horizontal="right" vertical="center" shrinkToFit="1"/>
      <protection hidden="1"/>
    </xf>
    <xf numFmtId="0" fontId="14" fillId="0" borderId="47" xfId="133" applyBorder="1" applyAlignment="1" applyProtection="1">
      <alignment horizontal="left" vertical="center" shrinkToFit="1"/>
      <protection hidden="1"/>
    </xf>
    <xf numFmtId="0" fontId="63" fillId="0" borderId="0" xfId="72" applyFont="1">
      <alignment vertical="center"/>
    </xf>
    <xf numFmtId="176" fontId="102" fillId="0" borderId="45" xfId="72" applyNumberFormat="1" applyFont="1" applyBorder="1" applyAlignment="1">
      <alignment vertical="center" wrapText="1"/>
    </xf>
    <xf numFmtId="176" fontId="0" fillId="0" borderId="0" xfId="0" applyNumberFormat="1"/>
    <xf numFmtId="0" fontId="144" fillId="0" borderId="0" xfId="0" quotePrefix="1" applyFont="1" applyAlignment="1">
      <alignment vertical="center"/>
    </xf>
    <xf numFmtId="0" fontId="144" fillId="0" borderId="0" xfId="0" applyFont="1" applyAlignment="1">
      <alignment vertical="center"/>
    </xf>
    <xf numFmtId="0" fontId="145" fillId="0" borderId="0" xfId="0" applyFont="1" applyAlignment="1">
      <alignment vertical="center"/>
    </xf>
    <xf numFmtId="0" fontId="146" fillId="0" borderId="0" xfId="72" applyFont="1" applyAlignment="1">
      <alignment vertical="top" wrapText="1"/>
    </xf>
    <xf numFmtId="0" fontId="111" fillId="0" borderId="0" xfId="0" applyFont="1" applyAlignment="1">
      <alignment horizontal="center" wrapText="1"/>
    </xf>
    <xf numFmtId="0" fontId="148" fillId="0" borderId="0" xfId="0" applyFont="1"/>
    <xf numFmtId="2" fontId="102" fillId="0" borderId="45" xfId="72" applyNumberFormat="1" applyFont="1" applyBorder="1">
      <alignment vertical="center"/>
    </xf>
    <xf numFmtId="0" fontId="149" fillId="0" borderId="0" xfId="0" applyFont="1"/>
    <xf numFmtId="49" fontId="42" fillId="0" borderId="0" xfId="72" applyNumberFormat="1" applyFont="1" applyAlignment="1" applyProtection="1">
      <alignment horizontal="left" vertical="center"/>
      <protection locked="0"/>
    </xf>
    <xf numFmtId="168" fontId="38" fillId="0" borderId="0" xfId="72" applyNumberFormat="1" applyFont="1">
      <alignment vertical="center"/>
    </xf>
    <xf numFmtId="0" fontId="150" fillId="0" borderId="0" xfId="72" applyFont="1">
      <alignment vertical="center"/>
    </xf>
    <xf numFmtId="0" fontId="103" fillId="43" borderId="0" xfId="72" applyFont="1" applyFill="1" applyAlignment="1">
      <alignment horizontal="left" vertical="center"/>
    </xf>
    <xf numFmtId="0" fontId="98" fillId="0" borderId="0" xfId="72" applyFont="1">
      <alignment vertical="center"/>
    </xf>
    <xf numFmtId="9" fontId="159" fillId="43" borderId="0" xfId="72" applyNumberFormat="1" applyFont="1" applyFill="1" applyAlignment="1">
      <alignment horizontal="left"/>
    </xf>
    <xf numFmtId="0" fontId="0" fillId="0" borderId="0" xfId="0" applyAlignment="1" applyProtection="1">
      <alignment vertical="top" wrapText="1"/>
      <protection locked="0"/>
    </xf>
    <xf numFmtId="0" fontId="100" fillId="0" borderId="0" xfId="0" applyFont="1" applyAlignment="1" applyProtection="1">
      <alignment vertical="top"/>
      <protection locked="0"/>
    </xf>
    <xf numFmtId="0" fontId="0" fillId="0" borderId="0" xfId="0" applyAlignment="1" applyProtection="1">
      <alignment vertical="top"/>
      <protection locked="0"/>
    </xf>
    <xf numFmtId="0" fontId="100" fillId="0" borderId="0" xfId="0" applyFont="1" applyAlignment="1" applyProtection="1">
      <alignment vertical="top" wrapText="1"/>
      <protection locked="0"/>
    </xf>
    <xf numFmtId="0" fontId="0" fillId="0" borderId="48" xfId="0" applyBorder="1" applyAlignment="1" applyProtection="1">
      <alignment vertical="top" wrapText="1"/>
      <protection locked="0"/>
    </xf>
    <xf numFmtId="0" fontId="91" fillId="0" borderId="0" xfId="133" applyFont="1" applyAlignment="1" applyProtection="1">
      <alignment vertical="top" wrapText="1"/>
      <protection locked="0"/>
    </xf>
    <xf numFmtId="0" fontId="138" fillId="0" borderId="0" xfId="0" applyFont="1" applyAlignment="1" applyProtection="1">
      <alignment vertical="top" wrapText="1"/>
      <protection locked="0"/>
    </xf>
    <xf numFmtId="0" fontId="91" fillId="0" borderId="48" xfId="133" applyFont="1" applyBorder="1" applyAlignment="1" applyProtection="1">
      <alignment vertical="top" wrapText="1"/>
      <protection locked="0"/>
    </xf>
    <xf numFmtId="0" fontId="14" fillId="0" borderId="0" xfId="133" applyAlignment="1" applyProtection="1">
      <alignment vertical="top" wrapText="1"/>
      <protection locked="0"/>
    </xf>
    <xf numFmtId="0" fontId="14" fillId="0" borderId="0" xfId="133" applyAlignment="1" applyProtection="1">
      <alignment vertical="top" wrapText="1"/>
      <protection locked="0"/>
    </xf>
    <xf numFmtId="0" fontId="139" fillId="0" borderId="0" xfId="133" applyFont="1" applyAlignment="1" applyProtection="1">
      <alignment vertical="top" wrapText="1"/>
      <protection locked="0"/>
    </xf>
    <xf numFmtId="0" fontId="14" fillId="0" borderId="48" xfId="133" applyBorder="1" applyAlignment="1" applyProtection="1">
      <alignment vertical="top" wrapText="1"/>
      <protection locked="0"/>
    </xf>
    <xf numFmtId="0" fontId="38" fillId="0" borderId="0" xfId="72" applyFont="1" applyAlignment="1" applyProtection="1">
      <alignment vertical="top" wrapText="1"/>
      <protection locked="0"/>
    </xf>
    <xf numFmtId="0" fontId="38" fillId="2" borderId="0" xfId="72" applyFont="1" applyFill="1" applyAlignment="1" applyProtection="1">
      <alignment vertical="top" wrapText="1"/>
      <protection locked="0"/>
    </xf>
    <xf numFmtId="0" fontId="122" fillId="0" borderId="0" xfId="0" applyFont="1" applyAlignment="1">
      <alignment vertical="center" shrinkToFit="1"/>
    </xf>
    <xf numFmtId="0" fontId="122" fillId="0" borderId="44" xfId="0" applyFont="1" applyBorder="1" applyAlignment="1">
      <alignment vertical="center" shrinkToFit="1"/>
    </xf>
    <xf numFmtId="0" fontId="147" fillId="0" borderId="45" xfId="72" applyFont="1" applyBorder="1" applyAlignment="1">
      <alignment vertical="center" shrinkToFit="1"/>
    </xf>
    <xf numFmtId="2" fontId="147" fillId="0" borderId="43" xfId="72" applyNumberFormat="1" applyFont="1" applyBorder="1" applyAlignment="1">
      <alignment vertical="center" shrinkToFit="1"/>
    </xf>
    <xf numFmtId="2" fontId="147" fillId="0" borderId="0" xfId="72" applyNumberFormat="1" applyFont="1" applyAlignment="1">
      <alignment vertical="center" shrinkToFit="1"/>
    </xf>
    <xf numFmtId="0" fontId="111" fillId="0" borderId="0" xfId="0" applyFont="1" applyAlignment="1">
      <alignment shrinkToFit="1"/>
    </xf>
    <xf numFmtId="176" fontId="147" fillId="0" borderId="45" xfId="72" applyNumberFormat="1" applyFont="1" applyBorder="1" applyAlignment="1">
      <alignment vertical="center" shrinkToFit="1"/>
    </xf>
    <xf numFmtId="176" fontId="0" fillId="0" borderId="0" xfId="0" applyNumberFormat="1" applyAlignment="1">
      <alignment shrinkToFit="1"/>
    </xf>
    <xf numFmtId="2" fontId="0" fillId="0" borderId="0" xfId="0" applyNumberFormat="1" applyAlignment="1">
      <alignment shrinkToFit="1"/>
    </xf>
    <xf numFmtId="0" fontId="122" fillId="0" borderId="43" xfId="0" applyFont="1" applyBorder="1" applyAlignment="1">
      <alignment horizontal="center" vertical="center" shrinkToFit="1"/>
    </xf>
    <xf numFmtId="1" fontId="122" fillId="0" borderId="0" xfId="0" applyNumberFormat="1" applyFont="1" applyAlignment="1">
      <alignment horizontal="center" vertical="center" shrinkToFit="1"/>
    </xf>
    <xf numFmtId="2" fontId="122" fillId="0" borderId="0" xfId="0" applyNumberFormat="1" applyFont="1" applyAlignment="1">
      <alignment horizontal="center" vertical="center" shrinkToFit="1"/>
    </xf>
    <xf numFmtId="175" fontId="122" fillId="0" borderId="43" xfId="0" applyNumberFormat="1" applyFont="1" applyBorder="1" applyAlignment="1">
      <alignment vertical="center" shrinkToFit="1"/>
    </xf>
    <xf numFmtId="0" fontId="0" fillId="0" borderId="44" xfId="0" applyBorder="1" applyAlignment="1">
      <alignment shrinkToFit="1"/>
    </xf>
    <xf numFmtId="1" fontId="122" fillId="0" borderId="26" xfId="0" applyNumberFormat="1" applyFont="1" applyBorder="1" applyAlignment="1">
      <alignment vertical="center" shrinkToFit="1"/>
    </xf>
    <xf numFmtId="0" fontId="122" fillId="0" borderId="0" xfId="0" applyFont="1" applyAlignment="1">
      <alignment horizontal="center" vertical="center" shrinkToFit="1"/>
    </xf>
    <xf numFmtId="175" fontId="0" fillId="0" borderId="43" xfId="0" applyNumberFormat="1" applyBorder="1" applyAlignment="1">
      <alignment shrinkToFit="1"/>
    </xf>
    <xf numFmtId="2" fontId="122" fillId="0" borderId="43" xfId="0" applyNumberFormat="1" applyFont="1" applyBorder="1" applyAlignment="1">
      <alignment vertical="center" shrinkToFit="1"/>
    </xf>
    <xf numFmtId="2" fontId="122" fillId="0" borderId="0" xfId="0" applyNumberFormat="1" applyFont="1" applyAlignment="1">
      <alignment vertical="center" shrinkToFit="1"/>
    </xf>
    <xf numFmtId="173" fontId="122" fillId="0" borderId="0" xfId="0" applyNumberFormat="1" applyFont="1" applyAlignment="1">
      <alignment vertical="center" shrinkToFit="1"/>
    </xf>
    <xf numFmtId="175" fontId="122" fillId="0" borderId="0" xfId="0" applyNumberFormat="1" applyFont="1" applyAlignment="1">
      <alignment vertical="center" shrinkToFit="1"/>
    </xf>
    <xf numFmtId="176" fontId="122" fillId="0" borderId="0" xfId="0" applyNumberFormat="1" applyFont="1" applyAlignment="1">
      <alignment vertical="center" shrinkToFit="1"/>
    </xf>
    <xf numFmtId="173" fontId="122" fillId="0" borderId="43" xfId="0" applyNumberFormat="1" applyFont="1" applyBorder="1" applyAlignment="1">
      <alignment vertical="center" shrinkToFit="1"/>
    </xf>
    <xf numFmtId="11" fontId="122" fillId="42" borderId="43" xfId="0" applyNumberFormat="1" applyFont="1" applyFill="1" applyBorder="1" applyAlignment="1">
      <alignment vertical="center" shrinkToFit="1"/>
    </xf>
    <xf numFmtId="0" fontId="147" fillId="0" borderId="0" xfId="72" applyFont="1" applyAlignment="1">
      <alignment vertical="center" shrinkToFit="1"/>
    </xf>
    <xf numFmtId="0" fontId="131" fillId="0" borderId="0" xfId="0" applyFont="1" applyAlignment="1">
      <alignment vertical="center" shrinkToFit="1"/>
    </xf>
    <xf numFmtId="0" fontId="124" fillId="0" borderId="0" xfId="0" applyFont="1" applyAlignment="1">
      <alignment vertical="center" shrinkToFit="1"/>
    </xf>
    <xf numFmtId="0" fontId="144" fillId="0" borderId="0" xfId="0" applyFont="1" applyAlignment="1">
      <alignment vertical="center" shrinkToFit="1"/>
    </xf>
    <xf numFmtId="0" fontId="126" fillId="0" borderId="0" xfId="0" applyFont="1" applyAlignment="1">
      <alignment vertical="center" shrinkToFit="1"/>
    </xf>
    <xf numFmtId="0" fontId="0" fillId="0" borderId="0" xfId="0" quotePrefix="1"/>
    <xf numFmtId="2" fontId="15" fillId="43" borderId="0" xfId="72" applyNumberFormat="1" applyFont="1" applyFill="1" applyAlignment="1" applyProtection="1">
      <alignment vertical="center" shrinkToFit="1"/>
      <protection hidden="1"/>
    </xf>
    <xf numFmtId="183" fontId="38" fillId="0" borderId="0" xfId="72" applyNumberFormat="1" applyFont="1" applyAlignment="1">
      <alignment horizontal="left" vertical="center"/>
    </xf>
    <xf numFmtId="168" fontId="161" fillId="2" borderId="49" xfId="72" applyNumberFormat="1" applyFont="1" applyFill="1" applyBorder="1" applyAlignment="1">
      <alignment horizontal="left" vertical="center"/>
    </xf>
    <xf numFmtId="168" fontId="161" fillId="2" borderId="50" xfId="72" applyNumberFormat="1" applyFont="1" applyFill="1" applyBorder="1" applyAlignment="1">
      <alignment horizontal="left" vertical="center"/>
    </xf>
    <xf numFmtId="168" fontId="161" fillId="2" borderId="51" xfId="72" applyNumberFormat="1" applyFont="1" applyFill="1" applyBorder="1" applyAlignment="1">
      <alignment horizontal="left" vertical="center"/>
    </xf>
    <xf numFmtId="168" fontId="161" fillId="2" borderId="52" xfId="72" applyNumberFormat="1" applyFont="1" applyFill="1" applyBorder="1" applyAlignment="1">
      <alignment horizontal="left" vertical="center"/>
    </xf>
    <xf numFmtId="168" fontId="161" fillId="2" borderId="53" xfId="72" applyNumberFormat="1" applyFont="1" applyFill="1" applyBorder="1" applyAlignment="1">
      <alignment horizontal="left" vertical="center"/>
    </xf>
    <xf numFmtId="168" fontId="161" fillId="2" borderId="54" xfId="72" applyNumberFormat="1" applyFont="1" applyFill="1" applyBorder="1" applyAlignment="1">
      <alignment horizontal="left" vertical="center"/>
    </xf>
    <xf numFmtId="0" fontId="100" fillId="0" borderId="0" xfId="0" applyFont="1" applyAlignment="1">
      <alignment horizontal="right"/>
    </xf>
    <xf numFmtId="9" fontId="100" fillId="0" borderId="0" xfId="71" applyFont="1" applyAlignment="1">
      <alignment horizontal="center"/>
    </xf>
    <xf numFmtId="174" fontId="0" fillId="0" borderId="0" xfId="0" applyNumberFormat="1" applyAlignment="1">
      <alignment horizontal="left"/>
    </xf>
    <xf numFmtId="168" fontId="161" fillId="2" borderId="0" xfId="72" applyNumberFormat="1" applyFont="1" applyFill="1" applyAlignment="1">
      <alignment horizontal="left" vertical="center"/>
    </xf>
    <xf numFmtId="0" fontId="161" fillId="2" borderId="54" xfId="72" applyFont="1" applyFill="1" applyBorder="1" applyAlignment="1">
      <alignment horizontal="left" vertical="center"/>
    </xf>
    <xf numFmtId="0" fontId="162" fillId="0" borderId="0" xfId="0" applyFont="1" applyAlignment="1">
      <alignment vertical="center"/>
    </xf>
    <xf numFmtId="0" fontId="163" fillId="0" borderId="0" xfId="0" applyFont="1" applyAlignment="1">
      <alignment vertical="center"/>
    </xf>
    <xf numFmtId="0" fontId="164" fillId="0" borderId="0" xfId="0" applyFont="1" applyAlignment="1">
      <alignment horizontal="center" vertical="center"/>
    </xf>
    <xf numFmtId="2" fontId="42" fillId="43" borderId="0" xfId="71" applyNumberFormat="1" applyFont="1" applyFill="1" applyAlignment="1" applyProtection="1">
      <alignment vertical="center" shrinkToFit="1"/>
      <protection hidden="1"/>
    </xf>
    <xf numFmtId="0" fontId="38" fillId="43" borderId="0" xfId="72" applyFont="1" applyFill="1" applyAlignment="1" applyProtection="1">
      <alignment horizontal="right" vertical="center" shrinkToFit="1"/>
      <protection hidden="1"/>
    </xf>
    <xf numFmtId="2" fontId="39" fillId="43" borderId="0" xfId="72" applyNumberFormat="1" applyFont="1" applyFill="1" applyAlignment="1" applyProtection="1">
      <alignment vertical="center" shrinkToFit="1"/>
      <protection hidden="1"/>
    </xf>
    <xf numFmtId="0" fontId="113" fillId="0" borderId="0" xfId="72" applyFont="1">
      <alignment vertical="center"/>
    </xf>
    <xf numFmtId="0" fontId="166" fillId="43" borderId="0" xfId="72" applyFont="1" applyFill="1">
      <alignment vertical="center"/>
    </xf>
    <xf numFmtId="0" fontId="143" fillId="43" borderId="0" xfId="72" applyFont="1" applyFill="1" applyAlignment="1">
      <alignment horizontal="left" vertical="center"/>
    </xf>
    <xf numFmtId="0" fontId="165" fillId="43" borderId="0" xfId="72" applyFont="1" applyFill="1" applyAlignment="1" applyProtection="1">
      <alignment horizontal="left" vertical="center"/>
      <protection hidden="1"/>
    </xf>
    <xf numFmtId="178" fontId="70" fillId="43" borderId="0" xfId="72" applyNumberFormat="1" applyFont="1" applyFill="1" applyProtection="1">
      <alignment vertical="center"/>
      <protection hidden="1"/>
    </xf>
    <xf numFmtId="179" fontId="70" fillId="43" borderId="0" xfId="72" applyNumberFormat="1" applyFont="1" applyFill="1" applyProtection="1">
      <alignment vertical="center"/>
      <protection hidden="1"/>
    </xf>
    <xf numFmtId="180" fontId="70" fillId="43" borderId="0" xfId="72" applyNumberFormat="1" applyFont="1" applyFill="1" applyProtection="1">
      <alignment vertical="center"/>
      <protection hidden="1"/>
    </xf>
    <xf numFmtId="181" fontId="70" fillId="43" borderId="0" xfId="72" applyNumberFormat="1" applyFont="1" applyFill="1" applyProtection="1">
      <alignment vertical="center"/>
      <protection hidden="1"/>
    </xf>
    <xf numFmtId="182" fontId="70" fillId="43" borderId="0" xfId="72" applyNumberFormat="1" applyFont="1" applyFill="1" applyProtection="1">
      <alignment vertical="center"/>
      <protection hidden="1"/>
    </xf>
    <xf numFmtId="0" fontId="70" fillId="43" borderId="0" xfId="72" applyFont="1" applyFill="1" applyProtection="1">
      <alignment vertical="center"/>
      <protection hidden="1"/>
    </xf>
    <xf numFmtId="0" fontId="167" fillId="0" borderId="0" xfId="134" applyFont="1" applyAlignment="1">
      <alignment horizontal="right" vertical="center"/>
    </xf>
    <xf numFmtId="2" fontId="168" fillId="0" borderId="0" xfId="134" applyNumberFormat="1" applyFont="1" applyAlignment="1">
      <alignment horizontal="right" vertical="center"/>
    </xf>
    <xf numFmtId="0" fontId="167" fillId="0" borderId="0" xfId="64" applyFont="1" applyAlignment="1">
      <alignment horizontal="right" vertical="center"/>
    </xf>
    <xf numFmtId="169" fontId="168" fillId="0" borderId="0" xfId="134" applyNumberFormat="1" applyFont="1" applyAlignment="1">
      <alignment horizontal="right" vertical="center"/>
    </xf>
    <xf numFmtId="169" fontId="167" fillId="0" borderId="0" xfId="67" applyNumberFormat="1" applyFont="1" applyAlignment="1">
      <alignment horizontal="right" vertical="center"/>
    </xf>
    <xf numFmtId="11" fontId="122" fillId="60" borderId="0" xfId="0" applyNumberFormat="1" applyFont="1" applyFill="1" applyAlignment="1">
      <alignment horizontal="center" vertical="center" shrinkToFit="1"/>
    </xf>
    <xf numFmtId="175" fontId="122" fillId="60" borderId="43" xfId="0" applyNumberFormat="1" applyFont="1" applyFill="1" applyBorder="1" applyAlignment="1">
      <alignment vertical="center" shrinkToFit="1"/>
    </xf>
    <xf numFmtId="0" fontId="122" fillId="60" borderId="0" xfId="0" applyFont="1" applyFill="1" applyAlignment="1">
      <alignment vertical="center" shrinkToFit="1"/>
    </xf>
    <xf numFmtId="0" fontId="169" fillId="0" borderId="0" xfId="133" applyFont="1" applyAlignment="1" applyProtection="1">
      <alignment vertical="top" wrapText="1"/>
      <protection locked="0"/>
    </xf>
    <xf numFmtId="0" fontId="170" fillId="43" borderId="0" xfId="133" applyFont="1" applyFill="1" applyAlignment="1" applyProtection="1">
      <alignment horizontal="left" vertical="top"/>
      <protection hidden="1"/>
    </xf>
    <xf numFmtId="0" fontId="91" fillId="0" borderId="0" xfId="133" applyFont="1" applyBorder="1" applyAlignment="1" applyProtection="1">
      <alignment vertical="top" wrapText="1"/>
      <protection locked="0"/>
    </xf>
    <xf numFmtId="0" fontId="14" fillId="0" borderId="0" xfId="133" applyBorder="1" applyAlignment="1" applyProtection="1">
      <alignment vertical="top" wrapText="1"/>
      <protection locked="0"/>
    </xf>
    <xf numFmtId="0" fontId="40" fillId="36" borderId="0" xfId="73" applyFont="1" applyFill="1" applyAlignment="1" applyProtection="1">
      <alignment horizontal="left" vertical="top"/>
      <protection locked="0"/>
    </xf>
    <xf numFmtId="0" fontId="42" fillId="0" borderId="30" xfId="72" applyFont="1" applyBorder="1" applyAlignment="1" applyProtection="1">
      <alignment horizontal="left" vertical="center" shrinkToFit="1"/>
      <protection locked="0"/>
    </xf>
    <xf numFmtId="0" fontId="171" fillId="0" borderId="0" xfId="0" applyFont="1" applyAlignment="1">
      <alignment vertical="center" shrinkToFit="1"/>
    </xf>
    <xf numFmtId="0" fontId="50" fillId="0" borderId="0" xfId="0" applyFont="1" applyAlignment="1" applyProtection="1">
      <alignment vertical="center"/>
      <protection hidden="1"/>
    </xf>
    <xf numFmtId="0" fontId="9" fillId="0" borderId="0" xfId="0" applyFont="1" applyAlignment="1" applyProtection="1">
      <alignment vertical="center"/>
      <protection hidden="1"/>
    </xf>
    <xf numFmtId="0" fontId="9" fillId="0" borderId="0" xfId="0" pivotButton="1" applyFont="1" applyAlignment="1" applyProtection="1">
      <alignment vertical="center"/>
      <protection hidden="1"/>
    </xf>
    <xf numFmtId="0" fontId="0" fillId="0" borderId="0" xfId="0" applyProtection="1">
      <protection hidden="1"/>
    </xf>
    <xf numFmtId="0" fontId="9" fillId="0" borderId="0" xfId="0" applyFont="1" applyAlignment="1" applyProtection="1">
      <alignment vertical="center" shrinkToFit="1"/>
      <protection hidden="1"/>
    </xf>
    <xf numFmtId="0" fontId="37" fillId="36" borderId="55" xfId="0" applyFont="1" applyFill="1" applyBorder="1" applyAlignment="1">
      <alignment vertical="top" wrapText="1"/>
    </xf>
    <xf numFmtId="0" fontId="35" fillId="36" borderId="60" xfId="0" applyFont="1" applyFill="1" applyBorder="1" applyAlignment="1">
      <alignment vertical="top" wrapText="1"/>
    </xf>
    <xf numFmtId="0" fontId="9" fillId="0" borderId="56" xfId="0" pivotButton="1" applyFont="1" applyBorder="1" applyAlignment="1">
      <alignment vertical="center"/>
    </xf>
    <xf numFmtId="0" fontId="9" fillId="0" borderId="55" xfId="0" applyFont="1" applyBorder="1" applyAlignment="1">
      <alignment vertical="center"/>
    </xf>
    <xf numFmtId="0" fontId="9" fillId="0" borderId="56" xfId="0" applyFont="1" applyBorder="1" applyAlignment="1">
      <alignment vertical="center"/>
    </xf>
    <xf numFmtId="0" fontId="9" fillId="0" borderId="58" xfId="0" applyFont="1" applyBorder="1" applyAlignment="1">
      <alignment vertical="center"/>
    </xf>
    <xf numFmtId="0" fontId="9" fillId="0" borderId="59" xfId="0" applyFont="1" applyBorder="1" applyAlignment="1">
      <alignment vertical="center"/>
    </xf>
    <xf numFmtId="0" fontId="35" fillId="36" borderId="55" xfId="0" applyFont="1" applyFill="1" applyBorder="1" applyAlignment="1">
      <alignment vertical="top" wrapText="1"/>
    </xf>
    <xf numFmtId="0" fontId="37" fillId="36" borderId="55" xfId="0" applyFont="1" applyFill="1" applyBorder="1" applyAlignment="1">
      <alignment vertical="top" shrinkToFit="1"/>
    </xf>
    <xf numFmtId="0" fontId="9" fillId="0" borderId="55" xfId="0" applyFont="1" applyBorder="1" applyAlignment="1" applyProtection="1">
      <alignment vertical="center"/>
      <protection locked="0"/>
    </xf>
    <xf numFmtId="0" fontId="9" fillId="0" borderId="58" xfId="0" applyFont="1" applyBorder="1" applyAlignment="1" applyProtection="1">
      <alignment vertical="center"/>
      <protection locked="0"/>
    </xf>
    <xf numFmtId="0" fontId="77" fillId="36" borderId="55" xfId="0" applyFont="1" applyFill="1" applyBorder="1" applyAlignment="1">
      <alignment vertical="top" wrapText="1"/>
    </xf>
    <xf numFmtId="9" fontId="35" fillId="36" borderId="60" xfId="0" applyNumberFormat="1" applyFont="1" applyFill="1" applyBorder="1" applyAlignment="1">
      <alignment vertical="top" wrapText="1"/>
    </xf>
    <xf numFmtId="0" fontId="0" fillId="0" borderId="55" xfId="0" pivotButton="1" applyBorder="1" applyAlignment="1" applyProtection="1">
      <alignment vertical="top" wrapText="1"/>
      <protection locked="0"/>
    </xf>
    <xf numFmtId="0" fontId="0" fillId="0" borderId="56" xfId="0" applyBorder="1" applyAlignment="1" applyProtection="1">
      <alignment vertical="top" wrapText="1"/>
      <protection locked="0"/>
    </xf>
    <xf numFmtId="0" fontId="0" fillId="0" borderId="55" xfId="0" applyBorder="1" applyAlignment="1" applyProtection="1">
      <alignment vertical="top" wrapText="1"/>
      <protection locked="0"/>
    </xf>
    <xf numFmtId="0" fontId="0" fillId="0" borderId="57" xfId="0" applyBorder="1" applyAlignment="1" applyProtection="1">
      <alignment vertical="top" wrapText="1"/>
      <protection locked="0"/>
    </xf>
    <xf numFmtId="0" fontId="0" fillId="0" borderId="62" xfId="0" applyBorder="1" applyAlignment="1" applyProtection="1">
      <alignment vertical="top" wrapText="1"/>
      <protection locked="0"/>
    </xf>
    <xf numFmtId="0" fontId="0" fillId="0" borderId="58" xfId="0" applyBorder="1" applyAlignment="1" applyProtection="1">
      <alignment vertical="top" wrapText="1"/>
      <protection locked="0"/>
    </xf>
    <xf numFmtId="0" fontId="0" fillId="0" borderId="64" xfId="0" applyBorder="1" applyAlignment="1" applyProtection="1">
      <alignment vertical="top" wrapText="1"/>
      <protection locked="0"/>
    </xf>
    <xf numFmtId="0" fontId="55" fillId="0" borderId="0" xfId="64" applyFont="1">
      <alignment vertical="center"/>
    </xf>
    <xf numFmtId="0" fontId="9" fillId="0" borderId="65" xfId="0" applyFont="1" applyBorder="1" applyAlignment="1">
      <alignment vertical="center"/>
    </xf>
    <xf numFmtId="0" fontId="63" fillId="0" borderId="0" xfId="64" applyFont="1" applyAlignment="1">
      <alignment horizontal="right" vertical="center"/>
    </xf>
    <xf numFmtId="0" fontId="9" fillId="0" borderId="57" xfId="0" applyFont="1" applyBorder="1" applyAlignment="1">
      <alignment vertical="center"/>
    </xf>
    <xf numFmtId="9" fontId="9" fillId="0" borderId="55" xfId="0" applyNumberFormat="1" applyFont="1" applyBorder="1" applyAlignment="1">
      <alignment vertical="center"/>
    </xf>
    <xf numFmtId="9" fontId="9" fillId="0" borderId="57" xfId="0" applyNumberFormat="1" applyFont="1" applyBorder="1" applyAlignment="1">
      <alignment vertical="center"/>
    </xf>
    <xf numFmtId="0" fontId="37" fillId="36" borderId="61" xfId="0" applyFont="1" applyFill="1" applyBorder="1" applyAlignment="1">
      <alignment vertical="top" wrapText="1"/>
    </xf>
    <xf numFmtId="0" fontId="0" fillId="0" borderId="63" xfId="0" applyBorder="1" applyAlignment="1" applyProtection="1">
      <alignment vertical="top" wrapText="1"/>
      <protection locked="0"/>
    </xf>
    <xf numFmtId="0" fontId="0" fillId="0" borderId="59" xfId="0" applyBorder="1" applyAlignment="1" applyProtection="1">
      <alignment vertical="top" wrapText="1"/>
      <protection locked="0"/>
    </xf>
  </cellXfs>
  <cellStyles count="215">
    <cellStyle name=" 1" xfId="114" xr:uid="{00000000-0005-0000-0000-000000000000}"/>
    <cellStyle name="20% - Accent1" xfId="115" xr:uid="{00000000-0005-0000-0000-000001000000}"/>
    <cellStyle name="20% - Accent2" xfId="116" xr:uid="{00000000-0005-0000-0000-000002000000}"/>
    <cellStyle name="20% - Accent3" xfId="117" xr:uid="{00000000-0005-0000-0000-000003000000}"/>
    <cellStyle name="20% - Accent4" xfId="118" xr:uid="{00000000-0005-0000-0000-000004000000}"/>
    <cellStyle name="20% - Accent5" xfId="119" xr:uid="{00000000-0005-0000-0000-000005000000}"/>
    <cellStyle name="20% - Accent6" xfId="120" xr:uid="{00000000-0005-0000-0000-000006000000}"/>
    <cellStyle name="20% - アクセント 1" xfId="19" xr:uid="{00000000-0005-0000-0000-000007000000}"/>
    <cellStyle name="20% - アクセント 1 2" xfId="51" xr:uid="{00000000-0005-0000-0000-000008000000}"/>
    <cellStyle name="20% - アクセント 1 2 2" xfId="156" xr:uid="{239F7462-2BC5-441E-9DAB-BD773E4CBF09}"/>
    <cellStyle name="20% - アクセント 1 3" xfId="75" xr:uid="{00000000-0005-0000-0000-000009000000}"/>
    <cellStyle name="20% - アクセント 1 3 2" xfId="177" xr:uid="{2F7BA23A-E0FB-4610-953C-87376CD272D3}"/>
    <cellStyle name="20% - アクセント 1 4" xfId="76" xr:uid="{00000000-0005-0000-0000-00000A000000}"/>
    <cellStyle name="20% - アクセント 1 4 2" xfId="178" xr:uid="{36B46A06-85F5-4484-B0DB-E11474E77AA3}"/>
    <cellStyle name="20% - アクセント 1 5" xfId="138" xr:uid="{F15EB9CB-695F-4937-8DD0-E4DDC27235C7}"/>
    <cellStyle name="20% - アクセント 2" xfId="23" xr:uid="{00000000-0005-0000-0000-00000B000000}"/>
    <cellStyle name="20% - アクセント 2 2" xfId="53" xr:uid="{00000000-0005-0000-0000-00000C000000}"/>
    <cellStyle name="20% - アクセント 2 2 2" xfId="158" xr:uid="{14AF1867-E15B-4623-BFB0-30EC7BE77AB8}"/>
    <cellStyle name="20% - アクセント 2 3" xfId="77" xr:uid="{00000000-0005-0000-0000-00000D000000}"/>
    <cellStyle name="20% - アクセント 2 3 2" xfId="179" xr:uid="{9E98981F-6F33-4B07-999E-C06487F47E7C}"/>
    <cellStyle name="20% - アクセント 2 4" xfId="78" xr:uid="{00000000-0005-0000-0000-00000E000000}"/>
    <cellStyle name="20% - アクセント 2 4 2" xfId="180" xr:uid="{CA944D6C-E401-4416-BC16-7CB3EEA458E0}"/>
    <cellStyle name="20% - アクセント 2 5" xfId="140" xr:uid="{D57E5132-4915-4D05-8EB4-98CBD876B658}"/>
    <cellStyle name="20% - アクセント 3" xfId="27" xr:uid="{00000000-0005-0000-0000-00000F000000}"/>
    <cellStyle name="20% - アクセント 3 2" xfId="55" xr:uid="{00000000-0005-0000-0000-000010000000}"/>
    <cellStyle name="20% - アクセント 3 2 2" xfId="160" xr:uid="{B5005A3F-B19E-4B25-B1AD-CF4CC5C481A0}"/>
    <cellStyle name="20% - アクセント 3 3" xfId="79" xr:uid="{00000000-0005-0000-0000-000011000000}"/>
    <cellStyle name="20% - アクセント 3 3 2" xfId="181" xr:uid="{5AA63785-A3FC-443B-8D1D-A67B8A74DCCA}"/>
    <cellStyle name="20% - アクセント 3 4" xfId="80" xr:uid="{00000000-0005-0000-0000-000012000000}"/>
    <cellStyle name="20% - アクセント 3 4 2" xfId="182" xr:uid="{02A42E34-1816-4D60-9298-9222912C660E}"/>
    <cellStyle name="20% - アクセント 3 5" xfId="142" xr:uid="{37301EF3-62C5-4E19-83F4-6BB2F73C6B41}"/>
    <cellStyle name="20% - アクセント 4" xfId="31" xr:uid="{00000000-0005-0000-0000-000013000000}"/>
    <cellStyle name="20% - アクセント 4 2" xfId="57" xr:uid="{00000000-0005-0000-0000-000014000000}"/>
    <cellStyle name="20% - アクセント 4 2 2" xfId="162" xr:uid="{14238742-5497-44FD-AE7C-A407577DAE2D}"/>
    <cellStyle name="20% - アクセント 4 3" xfId="81" xr:uid="{00000000-0005-0000-0000-000015000000}"/>
    <cellStyle name="20% - アクセント 4 3 2" xfId="183" xr:uid="{EDC3EA27-1B78-48A7-8B04-4C973A3C34EA}"/>
    <cellStyle name="20% - アクセント 4 4" xfId="82" xr:uid="{00000000-0005-0000-0000-000016000000}"/>
    <cellStyle name="20% - アクセント 4 4 2" xfId="184" xr:uid="{0EE8092C-72D7-4125-BCE3-AC38E0E8E853}"/>
    <cellStyle name="20% - アクセント 4 5" xfId="144" xr:uid="{4F7C9CC1-1A08-4A32-895B-E48A155EE8E9}"/>
    <cellStyle name="20% - アクセント 5" xfId="35" xr:uid="{00000000-0005-0000-0000-000017000000}"/>
    <cellStyle name="20% - アクセント 5 2" xfId="59" xr:uid="{00000000-0005-0000-0000-000018000000}"/>
    <cellStyle name="20% - アクセント 5 2 2" xfId="164" xr:uid="{7A255D36-E18D-4A3D-92EA-836659B452AA}"/>
    <cellStyle name="20% - アクセント 5 3" xfId="83" xr:uid="{00000000-0005-0000-0000-000019000000}"/>
    <cellStyle name="20% - アクセント 5 3 2" xfId="185" xr:uid="{4E52F10D-4B69-4290-AF64-5E4ECFBF18C6}"/>
    <cellStyle name="20% - アクセント 5 4" xfId="84" xr:uid="{00000000-0005-0000-0000-00001A000000}"/>
    <cellStyle name="20% - アクセント 5 4 2" xfId="186" xr:uid="{E7CA5C31-A275-43B7-9178-B2B8D9F6C343}"/>
    <cellStyle name="20% - アクセント 5 5" xfId="146" xr:uid="{D732B5CB-947B-4AFE-908B-066C85C49F3A}"/>
    <cellStyle name="20% - アクセント 6" xfId="39" xr:uid="{00000000-0005-0000-0000-00001B000000}"/>
    <cellStyle name="20% - アクセント 6 2" xfId="61" xr:uid="{00000000-0005-0000-0000-00001C000000}"/>
    <cellStyle name="20% - アクセント 6 2 2" xfId="166" xr:uid="{6B1D21E3-85AB-445B-9FD5-E2D772175919}"/>
    <cellStyle name="20% - アクセント 6 3" xfId="85" xr:uid="{00000000-0005-0000-0000-00001D000000}"/>
    <cellStyle name="20% - アクセント 6 3 2" xfId="187" xr:uid="{AF26417B-BC21-4819-9802-7695CBBE91A7}"/>
    <cellStyle name="20% - アクセント 6 4" xfId="86" xr:uid="{00000000-0005-0000-0000-00001E000000}"/>
    <cellStyle name="20% - アクセント 6 4 2" xfId="188" xr:uid="{4C722A45-136E-4624-B80D-0296457F0218}"/>
    <cellStyle name="20% - アクセント 6 5" xfId="148" xr:uid="{9C3B2174-1E07-4944-A60E-9D75C404DE98}"/>
    <cellStyle name="40% - Accent1" xfId="121" xr:uid="{00000000-0005-0000-0000-00001F000000}"/>
    <cellStyle name="40% - Accent2" xfId="122" xr:uid="{00000000-0005-0000-0000-000020000000}"/>
    <cellStyle name="40% - Accent3" xfId="123" xr:uid="{00000000-0005-0000-0000-000021000000}"/>
    <cellStyle name="40% - Accent4" xfId="124" xr:uid="{00000000-0005-0000-0000-000022000000}"/>
    <cellStyle name="40% - Accent5" xfId="125" xr:uid="{00000000-0005-0000-0000-000023000000}"/>
    <cellStyle name="40% - Accent6" xfId="126" xr:uid="{00000000-0005-0000-0000-000024000000}"/>
    <cellStyle name="40% - アクセント 1" xfId="20" xr:uid="{00000000-0005-0000-0000-000025000000}"/>
    <cellStyle name="40% - アクセント 1 2" xfId="52" xr:uid="{00000000-0005-0000-0000-000026000000}"/>
    <cellStyle name="40% - アクセント 1 2 2" xfId="157" xr:uid="{C992661A-23DE-4CA7-9F38-3FFF7E106F61}"/>
    <cellStyle name="40% - アクセント 1 3" xfId="87" xr:uid="{00000000-0005-0000-0000-000027000000}"/>
    <cellStyle name="40% - アクセント 1 3 2" xfId="189" xr:uid="{064090AB-F9B7-455F-8815-7D4AD4B3034C}"/>
    <cellStyle name="40% - アクセント 1 4" xfId="88" xr:uid="{00000000-0005-0000-0000-000028000000}"/>
    <cellStyle name="40% - アクセント 1 4 2" xfId="190" xr:uid="{349D5D34-A7A3-4141-A1AE-0463912CC005}"/>
    <cellStyle name="40% - アクセント 1 5" xfId="139" xr:uid="{31954716-1F6F-47B9-9D41-1753F05D4E26}"/>
    <cellStyle name="40% - アクセント 2" xfId="24" xr:uid="{00000000-0005-0000-0000-000029000000}"/>
    <cellStyle name="40% - アクセント 2 2" xfId="54" xr:uid="{00000000-0005-0000-0000-00002A000000}"/>
    <cellStyle name="40% - アクセント 2 2 2" xfId="159" xr:uid="{1603CC86-C5E8-4320-B17C-8DC4FF532130}"/>
    <cellStyle name="40% - アクセント 2 3" xfId="89" xr:uid="{00000000-0005-0000-0000-00002B000000}"/>
    <cellStyle name="40% - アクセント 2 3 2" xfId="191" xr:uid="{425C952E-9919-4275-80BC-56CE65B05775}"/>
    <cellStyle name="40% - アクセント 2 4" xfId="90" xr:uid="{00000000-0005-0000-0000-00002C000000}"/>
    <cellStyle name="40% - アクセント 2 4 2" xfId="192" xr:uid="{8A936A17-87D7-4F1D-9738-4AADED767474}"/>
    <cellStyle name="40% - アクセント 2 5" xfId="141" xr:uid="{07C0D955-606F-40B7-973F-3599AF5E6605}"/>
    <cellStyle name="40% - アクセント 3" xfId="28" xr:uid="{00000000-0005-0000-0000-00002D000000}"/>
    <cellStyle name="40% - アクセント 3 2" xfId="56" xr:uid="{00000000-0005-0000-0000-00002E000000}"/>
    <cellStyle name="40% - アクセント 3 2 2" xfId="161" xr:uid="{A07AE815-8E60-4412-BFD4-FEA886E7751E}"/>
    <cellStyle name="40% - アクセント 3 3" xfId="91" xr:uid="{00000000-0005-0000-0000-00002F000000}"/>
    <cellStyle name="40% - アクセント 3 3 2" xfId="193" xr:uid="{2788E572-C424-4406-B538-A4FEE9901343}"/>
    <cellStyle name="40% - アクセント 3 4" xfId="92" xr:uid="{00000000-0005-0000-0000-000030000000}"/>
    <cellStyle name="40% - アクセント 3 4 2" xfId="194" xr:uid="{730955DA-C358-4D62-A04A-D124594D04A7}"/>
    <cellStyle name="40% - アクセント 3 5" xfId="143" xr:uid="{F47ECD15-40B9-4A78-9915-9C070ABF9612}"/>
    <cellStyle name="40% - アクセント 4" xfId="32" xr:uid="{00000000-0005-0000-0000-000031000000}"/>
    <cellStyle name="40% - アクセント 4 2" xfId="58" xr:uid="{00000000-0005-0000-0000-000032000000}"/>
    <cellStyle name="40% - アクセント 4 2 2" xfId="163" xr:uid="{DA869DFC-5DCE-43B7-A88E-A26A1D979654}"/>
    <cellStyle name="40% - アクセント 4 3" xfId="93" xr:uid="{00000000-0005-0000-0000-000033000000}"/>
    <cellStyle name="40% - アクセント 4 3 2" xfId="195" xr:uid="{4419F3D2-3FC6-40EA-B1FB-A0EE9C10C387}"/>
    <cellStyle name="40% - アクセント 4 4" xfId="94" xr:uid="{00000000-0005-0000-0000-000034000000}"/>
    <cellStyle name="40% - アクセント 4 4 2" xfId="196" xr:uid="{672AFE98-CE57-4821-B263-DE428DCCF8B8}"/>
    <cellStyle name="40% - アクセント 4 5" xfId="145" xr:uid="{43C222FE-074C-4767-8B9F-261FCCE35E04}"/>
    <cellStyle name="40% - アクセント 5" xfId="36" xr:uid="{00000000-0005-0000-0000-000035000000}"/>
    <cellStyle name="40% - アクセント 5 2" xfId="60" xr:uid="{00000000-0005-0000-0000-000036000000}"/>
    <cellStyle name="40% - アクセント 5 2 2" xfId="165" xr:uid="{9832AED1-A552-4848-A038-F0C8CD7B7B83}"/>
    <cellStyle name="40% - アクセント 5 3" xfId="95" xr:uid="{00000000-0005-0000-0000-000037000000}"/>
    <cellStyle name="40% - アクセント 5 3 2" xfId="197" xr:uid="{85718F2C-632C-4585-B206-E75DA54C0306}"/>
    <cellStyle name="40% - アクセント 5 4" xfId="96" xr:uid="{00000000-0005-0000-0000-000038000000}"/>
    <cellStyle name="40% - アクセント 5 4 2" xfId="198" xr:uid="{BC9A8654-671F-4C67-8612-6A644C354B98}"/>
    <cellStyle name="40% - アクセント 5 5" xfId="147" xr:uid="{2DC06756-AD7B-4201-A0A9-F329DB7AD8F1}"/>
    <cellStyle name="40% - アクセント 6" xfId="40" xr:uid="{00000000-0005-0000-0000-000039000000}"/>
    <cellStyle name="40% - アクセント 6 2" xfId="62" xr:uid="{00000000-0005-0000-0000-00003A000000}"/>
    <cellStyle name="40% - アクセント 6 2 2" xfId="167" xr:uid="{1D34F24E-3FE3-4313-8118-7FC58E12AC22}"/>
    <cellStyle name="40% - アクセント 6 3" xfId="97" xr:uid="{00000000-0005-0000-0000-00003B000000}"/>
    <cellStyle name="40% - アクセント 6 3 2" xfId="199" xr:uid="{B6BC3B7C-992E-4A88-BD8D-EE608BA0938A}"/>
    <cellStyle name="40% - アクセント 6 4" xfId="98" xr:uid="{00000000-0005-0000-0000-00003C000000}"/>
    <cellStyle name="40% - アクセント 6 4 2" xfId="200" xr:uid="{C1D47236-E077-4FE5-8D36-A3CF76439166}"/>
    <cellStyle name="40% - アクセント 6 5" xfId="149" xr:uid="{A275A112-74C7-432F-B9F9-DDA2885F9542}"/>
    <cellStyle name="60% - Accent1" xfId="21" xr:uid="{00000000-0005-0000-0000-00003D000000}"/>
    <cellStyle name="60% - Accent2" xfId="25" xr:uid="{00000000-0005-0000-0000-00003E000000}"/>
    <cellStyle name="60% - Accent3" xfId="29" xr:uid="{00000000-0005-0000-0000-00003F000000}"/>
    <cellStyle name="60% - Accent4" xfId="33" xr:uid="{00000000-0005-0000-0000-000040000000}"/>
    <cellStyle name="60% - Accent5" xfId="37" xr:uid="{00000000-0005-0000-0000-000041000000}"/>
    <cellStyle name="60% - Accent6" xfId="41" xr:uid="{00000000-0005-0000-0000-000042000000}"/>
    <cellStyle name="Accent1" xfId="18" xr:uid="{00000000-0005-0000-0000-000049000000}"/>
    <cellStyle name="Accent2" xfId="22" xr:uid="{00000000-0005-0000-0000-00004A000000}"/>
    <cellStyle name="Accent3" xfId="26" xr:uid="{00000000-0005-0000-0000-00004B000000}"/>
    <cellStyle name="Accent4" xfId="30" xr:uid="{00000000-0005-0000-0000-00004C000000}"/>
    <cellStyle name="Accent5" xfId="34" xr:uid="{00000000-0005-0000-0000-00004D000000}"/>
    <cellStyle name="Accent6" xfId="38" xr:uid="{00000000-0005-0000-0000-00004E000000}"/>
    <cellStyle name="Automatic Colour" xfId="127" xr:uid="{00000000-0005-0000-0000-00004F000000}"/>
    <cellStyle name="Bad" xfId="8" xr:uid="{00000000-0005-0000-0000-000050000000}"/>
    <cellStyle name="Calculation" xfId="12" xr:uid="{00000000-0005-0000-0000-000051000000}"/>
    <cellStyle name="Check Cell" xfId="14" xr:uid="{00000000-0005-0000-0000-000052000000}"/>
    <cellStyle name="Comma [0]" xfId="137" builtinId="6"/>
    <cellStyle name="Comma 2" xfId="128" xr:uid="{00000000-0005-0000-0000-000053000000}"/>
    <cellStyle name="Comma 2 2" xfId="210" xr:uid="{C59076EB-090E-4C96-A9FF-F18C4C1D91D3}"/>
    <cellStyle name="Explanatory Text" xfId="16" xr:uid="{00000000-0005-0000-0000-000054000000}"/>
    <cellStyle name="Good" xfId="7" xr:uid="{00000000-0005-0000-0000-000055000000}"/>
    <cellStyle name="Heading 1" xfId="3" xr:uid="{00000000-0005-0000-0000-000056000000}"/>
    <cellStyle name="Heading 2" xfId="4" xr:uid="{00000000-0005-0000-0000-000057000000}"/>
    <cellStyle name="Heading 3" xfId="5" xr:uid="{00000000-0005-0000-0000-000058000000}"/>
    <cellStyle name="Heading 4" xfId="6" xr:uid="{00000000-0005-0000-0000-000059000000}"/>
    <cellStyle name="Hyperlink" xfId="133" xr:uid="{00000000-000B-0000-0000-000008000000}"/>
    <cellStyle name="Input" xfId="10" xr:uid="{00000000-0005-0000-0000-00005A000000}"/>
    <cellStyle name="Linked Cell" xfId="13" xr:uid="{00000000-0005-0000-0000-00005B000000}"/>
    <cellStyle name="Neutral" xfId="9" xr:uid="{00000000-0005-0000-0000-00005C000000}"/>
    <cellStyle name="Normal" xfId="0" builtinId="0"/>
    <cellStyle name="Normal 2" xfId="129" xr:uid="{00000000-0005-0000-0000-00005D000000}"/>
    <cellStyle name="Note" xfId="130" xr:uid="{00000000-0005-0000-0000-00005E000000}"/>
    <cellStyle name="Output" xfId="11" xr:uid="{00000000-0005-0000-0000-00005F000000}"/>
    <cellStyle name="Percent" xfId="71" builtinId="5"/>
    <cellStyle name="Takaso" xfId="131" xr:uid="{00000000-0005-0000-0000-000060000000}"/>
    <cellStyle name="Title" xfId="2" xr:uid="{00000000-0005-0000-0000-000061000000}"/>
    <cellStyle name="Total" xfId="17" xr:uid="{00000000-0005-0000-0000-000062000000}"/>
    <cellStyle name="Warning Text" xfId="15" xr:uid="{00000000-0005-0000-0000-000063000000}"/>
    <cellStyle name="スタイル 1" xfId="99" xr:uid="{00000000-0005-0000-0000-00006A000000}"/>
    <cellStyle name="パーセント 2" xfId="66" xr:uid="{00000000-0005-0000-0000-00006F000000}"/>
    <cellStyle name="パーセント 2 2" xfId="68" xr:uid="{00000000-0005-0000-0000-000070000000}"/>
    <cellStyle name="パーセント 2 2 2" xfId="135" xr:uid="{00000000-0005-0000-0000-000071000000}"/>
    <cellStyle name="パーセント 2 2 2 2" xfId="212" xr:uid="{0FD74AA1-5484-4CFC-843F-C20FEC096C80}"/>
    <cellStyle name="パーセント 2 2 3" xfId="171" xr:uid="{82E634E7-A070-4537-8C17-48800FEB153B}"/>
    <cellStyle name="パーセント 2 3" xfId="169" xr:uid="{12A0E89C-CC04-4CE0-A593-2FA27BF3587F}"/>
    <cellStyle name="パーセント 3" xfId="70" xr:uid="{00000000-0005-0000-0000-000072000000}"/>
    <cellStyle name="パーセント 3 2" xfId="173" xr:uid="{91A3B6EB-A7B1-42BB-AC0B-01A71A9A4BE8}"/>
    <cellStyle name="ハイパーリンク 2" xfId="48" xr:uid="{00000000-0005-0000-0000-000074000000}"/>
    <cellStyle name="メモ 2" xfId="43" xr:uid="{00000000-0005-0000-0000-000075000000}"/>
    <cellStyle name="メモ 2 2" xfId="151" xr:uid="{F271B240-9327-44B2-A4F6-5E288193B329}"/>
    <cellStyle name="メモ 3" xfId="50" xr:uid="{00000000-0005-0000-0000-000076000000}"/>
    <cellStyle name="メモ 3 2" xfId="155" xr:uid="{CD961A08-FE35-40D5-9EAD-EE06ED4CA47E}"/>
    <cellStyle name="メモ 4" xfId="100" xr:uid="{00000000-0005-0000-0000-000077000000}"/>
    <cellStyle name="メモ 4 2" xfId="201" xr:uid="{14956F81-26D9-479D-BA77-B0EBAC999EC4}"/>
    <cellStyle name="一般_2001SFOR12" xfId="132" xr:uid="{00000000-0005-0000-0000-00007A000000}"/>
    <cellStyle name="桁区切り 2" xfId="45" xr:uid="{00000000-0005-0000-0000-00007D000000}"/>
    <cellStyle name="桁区切り 3" xfId="101" xr:uid="{00000000-0005-0000-0000-00007E000000}"/>
    <cellStyle name="桁区切り 4" xfId="102" xr:uid="{00000000-0005-0000-0000-00007F000000}"/>
    <cellStyle name="桁区切り 5" xfId="103" xr:uid="{00000000-0005-0000-0000-000080000000}"/>
    <cellStyle name="桁区切り 5 2" xfId="202" xr:uid="{1F1E729E-8B46-4E22-93B0-B2F7DC4CC2FD}"/>
    <cellStyle name="標準 10" xfId="104" xr:uid="{00000000-0005-0000-0000-00008A000000}"/>
    <cellStyle name="標準 10 2" xfId="203" xr:uid="{7994A652-6DDF-45BA-8029-651752EFE76D}"/>
    <cellStyle name="標準 11" xfId="105" xr:uid="{00000000-0005-0000-0000-00008B000000}"/>
    <cellStyle name="標準 11 2" xfId="204" xr:uid="{2DEBCF00-CED0-4119-B39D-C1600E7BFE1E}"/>
    <cellStyle name="標準 12" xfId="106" xr:uid="{00000000-0005-0000-0000-00008C000000}"/>
    <cellStyle name="標準 12 2" xfId="205" xr:uid="{098B03C8-AB80-402E-9DF5-5A927218DC59}"/>
    <cellStyle name="標準 13" xfId="107" xr:uid="{00000000-0005-0000-0000-00008D000000}"/>
    <cellStyle name="標準 13 2" xfId="206" xr:uid="{F2B0E575-73CB-48CD-96F7-E6C6580F404D}"/>
    <cellStyle name="標準 14" xfId="108" xr:uid="{00000000-0005-0000-0000-00008E000000}"/>
    <cellStyle name="標準 14 2" xfId="207" xr:uid="{04C69493-D58A-4C1F-919A-398087FD2E29}"/>
    <cellStyle name="標準 15" xfId="214" xr:uid="{E187DBBC-A1CE-4DDD-B389-4419A68A5BE6}"/>
    <cellStyle name="標準 2" xfId="1" xr:uid="{00000000-0005-0000-0000-00008F000000}"/>
    <cellStyle name="標準 2 2" xfId="109" xr:uid="{00000000-0005-0000-0000-000090000000}"/>
    <cellStyle name="標準 2 2 2" xfId="110" xr:uid="{00000000-0005-0000-0000-000091000000}"/>
    <cellStyle name="標準 2 3" xfId="111" xr:uid="{00000000-0005-0000-0000-000092000000}"/>
    <cellStyle name="標準 3" xfId="44" xr:uid="{00000000-0005-0000-0000-000093000000}"/>
    <cellStyle name="標準 3 2" xfId="112" xr:uid="{00000000-0005-0000-0000-000094000000}"/>
    <cellStyle name="標準 3 2 2" xfId="208" xr:uid="{881E9F28-8600-4FC2-9FC5-C055704D4BEB}"/>
    <cellStyle name="標準 4" xfId="42" xr:uid="{00000000-0005-0000-0000-000095000000}"/>
    <cellStyle name="標準 4 2" xfId="150" xr:uid="{A54162B7-8CA8-488B-8121-401A5DD941CB}"/>
    <cellStyle name="標準 5" xfId="46" xr:uid="{00000000-0005-0000-0000-000096000000}"/>
    <cellStyle name="標準 5 2" xfId="47" xr:uid="{00000000-0005-0000-0000-000097000000}"/>
    <cellStyle name="標準 5 2 2" xfId="74" xr:uid="{00000000-0005-0000-0000-000098000000}"/>
    <cellStyle name="標準 5 2 2 2" xfId="176" xr:uid="{59655564-84DE-4DA0-BAD9-4CA6186ABE44}"/>
    <cellStyle name="標準 5 2 3" xfId="73" xr:uid="{00000000-0005-0000-0000-000099000000}"/>
    <cellStyle name="標準 5 2 3 2" xfId="175" xr:uid="{EF0ADE29-D07B-4950-B390-5DBEF4D8582D}"/>
    <cellStyle name="標準 5 2 4" xfId="153" xr:uid="{F12D0908-AA91-4880-AF95-2B6AF5258B7D}"/>
    <cellStyle name="標準 5 3" xfId="65" xr:uid="{00000000-0005-0000-0000-00009A000000}"/>
    <cellStyle name="標準 5 3 2" xfId="72" xr:uid="{00000000-0005-0000-0000-00009B000000}"/>
    <cellStyle name="標準 5 3 2 2" xfId="174" xr:uid="{7BC489E8-8950-4D71-8144-3DAF0FDD0F96}"/>
    <cellStyle name="標準 5 4" xfId="152" xr:uid="{9BBFE652-2CAB-44F0-9EAB-C1FB837D9A5E}"/>
    <cellStyle name="標準 6" xfId="49" xr:uid="{00000000-0005-0000-0000-00009C000000}"/>
    <cellStyle name="標準 6 2" xfId="154" xr:uid="{A7B627AF-CC31-4328-915F-95D4B2CF610C}"/>
    <cellStyle name="標準 7" xfId="63" xr:uid="{00000000-0005-0000-0000-00009D000000}"/>
    <cellStyle name="標準 8" xfId="64" xr:uid="{00000000-0005-0000-0000-00009E000000}"/>
    <cellStyle name="標準 8 2" xfId="67" xr:uid="{00000000-0005-0000-0000-00009F000000}"/>
    <cellStyle name="標準 8 2 2" xfId="134" xr:uid="{00000000-0005-0000-0000-0000A0000000}"/>
    <cellStyle name="標準 8 2 2 2" xfId="211" xr:uid="{8EF721CD-33BF-4350-8B04-B0F0796BAD94}"/>
    <cellStyle name="標準 8 2 3" xfId="170" xr:uid="{7C030733-E159-4611-B18B-3671BE5904C7}"/>
    <cellStyle name="標準 8 3" xfId="168" xr:uid="{4037266C-BC5D-44FD-8A80-1B7B71E7033A}"/>
    <cellStyle name="標準 9" xfId="69" xr:uid="{00000000-0005-0000-0000-0000A1000000}"/>
    <cellStyle name="標準 9 2" xfId="113" xr:uid="{00000000-0005-0000-0000-0000A2000000}"/>
    <cellStyle name="標準 9 2 2" xfId="209" xr:uid="{26222B95-2A11-406D-83BC-5174D76C18E8}"/>
    <cellStyle name="標準 9 3" xfId="136" xr:uid="{00000000-0005-0000-0000-0000A3000000}"/>
    <cellStyle name="標準 9 3 2" xfId="213" xr:uid="{87098E01-12D9-4279-A5C6-8CF186481C32}"/>
    <cellStyle name="標準 9 4" xfId="172" xr:uid="{B5521720-066E-415F-A69F-2D5C6FD022C2}"/>
  </cellStyles>
  <dxfs count="253">
    <dxf>
      <fill>
        <patternFill>
          <bgColor indexed="13"/>
        </patternFill>
      </fill>
    </dxf>
    <dxf>
      <font>
        <b/>
        <i val="0"/>
        <color rgb="FFFF0000"/>
      </font>
    </dxf>
    <dxf>
      <font>
        <b val="0"/>
        <i val="0"/>
        <color rgb="FFFF0000"/>
      </font>
    </dxf>
    <dxf>
      <font>
        <b/>
        <i val="0"/>
        <color rgb="FFFF0000"/>
      </font>
    </dxf>
    <dxf>
      <font>
        <b val="0"/>
        <i val="0"/>
        <color rgb="FFFF0000"/>
      </font>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protection locked="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font>
        <b/>
        <i val="0"/>
        <color theme="0"/>
      </font>
      <fill>
        <patternFill>
          <bgColor rgb="FFFF00FF"/>
        </patternFill>
      </fill>
    </dxf>
    <dxf>
      <font>
        <b/>
        <i val="0"/>
        <color theme="0"/>
      </font>
      <fill>
        <patternFill>
          <bgColor rgb="FF0070C0"/>
        </patternFill>
      </fill>
    </dxf>
    <dxf>
      <font>
        <b/>
        <i val="0"/>
        <color theme="0"/>
      </font>
      <fill>
        <patternFill>
          <bgColor rgb="FF7030A0"/>
        </patternFill>
      </fill>
    </dxf>
    <dxf>
      <font>
        <b/>
        <i val="0"/>
        <color theme="0"/>
      </font>
      <fill>
        <patternFill>
          <bgColor rgb="FF00B050"/>
        </patternFill>
      </fill>
    </dxf>
    <dxf>
      <font>
        <color rgb="FF9C0006"/>
      </font>
      <fill>
        <patternFill>
          <bgColor rgb="FFFFC7CE"/>
        </patternFill>
      </fill>
    </dxf>
    <dxf>
      <font>
        <color rgb="FF9C0006"/>
      </font>
      <fill>
        <patternFill>
          <bgColor rgb="FFFFC7CE"/>
        </patternFill>
      </fill>
    </dxf>
    <dxf>
      <font>
        <outline val="0"/>
        <shadow val="0"/>
        <u val="none"/>
        <vertAlign val="baseline"/>
        <name val="Arial"/>
        <scheme val="none"/>
      </font>
    </dxf>
    <dxf>
      <font>
        <outline val="0"/>
        <shadow val="0"/>
        <u val="none"/>
        <vertAlign val="baseline"/>
        <name val="Arial"/>
        <scheme val="none"/>
      </font>
    </dxf>
    <dxf>
      <font>
        <outline val="0"/>
        <shadow val="0"/>
        <u val="none"/>
        <vertAlign val="baseline"/>
        <name val="Arial"/>
        <scheme val="none"/>
      </font>
      <numFmt numFmtId="0" formatCode="General"/>
    </dxf>
    <dxf>
      <font>
        <outline val="0"/>
        <shadow val="0"/>
        <u val="none"/>
        <vertAlign val="baseline"/>
        <name val="Arial"/>
        <scheme val="none"/>
      </font>
      <numFmt numFmtId="0" formatCode="General"/>
    </dxf>
    <dxf>
      <font>
        <outline val="0"/>
        <shadow val="0"/>
        <u val="none"/>
        <vertAlign val="baseline"/>
        <name val="Arial"/>
        <scheme val="none"/>
      </font>
      <numFmt numFmtId="0" formatCode="General"/>
    </dxf>
    <dxf>
      <font>
        <outline val="0"/>
        <shadow val="0"/>
        <u val="none"/>
        <vertAlign val="baseline"/>
        <sz val="11"/>
        <color theme="1"/>
        <name val="Arial"/>
        <scheme val="none"/>
      </font>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name val="Arial"/>
        <scheme val="none"/>
      </font>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outline val="0"/>
        <shadow val="0"/>
        <u val="none"/>
        <vertAlign val="baseline"/>
        <sz val="11"/>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1" formatCode="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alignment horizontal="right" vertical="center" textRotation="0" wrapText="0" indent="0" justifyLastLine="0" shrinkToFit="0" readingOrder="0"/>
    </dxf>
    <dxf>
      <font>
        <outline val="0"/>
        <shadow val="0"/>
        <u val="none"/>
        <vertAlign val="baseline"/>
        <sz val="11"/>
        <color theme="1"/>
        <name val="Arial"/>
        <family val="2"/>
        <scheme val="none"/>
      </font>
      <numFmt numFmtId="169" formatCode="0.0_);[Red]\(0.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1"/>
        <color auto="1"/>
        <name val="Arial"/>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auto="1"/>
        <name val="Arial"/>
        <family val="2"/>
        <scheme val="none"/>
      </font>
      <numFmt numFmtId="13" formatCode="0%"/>
      <alignment horizontal="righ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right" vertical="center" textRotation="0" wrapText="0" indent="0" justifyLastLine="0" shrinkToFit="0" readingOrder="0"/>
    </dxf>
    <dxf>
      <font>
        <outline val="0"/>
        <shadow val="0"/>
        <u val="none"/>
        <vertAlign val="baseline"/>
        <sz val="11"/>
        <color theme="1"/>
        <name val="Arial"/>
        <family val="2"/>
        <scheme val="none"/>
      </font>
      <numFmt numFmtId="0" formatCode="General"/>
      <alignment horizontal="right" vertical="center"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solid">
          <fgColor indexed="64"/>
          <bgColor rgb="FFFFFF00"/>
        </patternFill>
      </fill>
      <alignment horizontal="general" vertical="center" textRotation="0" wrapText="0" indent="0" justifyLastLine="0" shrinkToFit="1" readingOrder="0"/>
    </dxf>
    <dxf>
      <font>
        <b val="0"/>
        <i val="0"/>
        <strike val="0"/>
        <condense val="0"/>
        <extend val="0"/>
        <outline val="0"/>
        <shadow val="0"/>
        <u val="none"/>
        <vertAlign val="baseline"/>
        <sz val="11"/>
        <color auto="1"/>
        <name val="Arial"/>
        <family val="2"/>
        <scheme val="none"/>
      </font>
      <alignment horizontal="general" vertical="center" textRotation="0" wrapText="0" indent="0" justifyLastLine="0" shrinkToFit="1" readingOrder="0"/>
    </dxf>
    <dxf>
      <font>
        <outline val="0"/>
        <shadow val="0"/>
        <u val="none"/>
        <vertAlign val="baseline"/>
        <sz val="11"/>
        <color theme="1"/>
        <name val="Arial"/>
        <family val="2"/>
        <scheme val="none"/>
      </font>
    </dxf>
    <dxf>
      <font>
        <b val="0"/>
        <outline val="0"/>
        <shadow val="0"/>
        <u val="none"/>
        <vertAlign val="baseline"/>
        <sz val="11"/>
        <color theme="1"/>
        <name val="Arial"/>
        <family val="2"/>
        <scheme val="none"/>
      </font>
      <numFmt numFmtId="0" formatCode="General"/>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dxf>
    <dxf>
      <font>
        <outline val="0"/>
        <shadow val="0"/>
        <u val="none"/>
        <vertAlign val="baseline"/>
        <sz val="11"/>
        <color theme="1"/>
        <name val="Arial"/>
        <family val="2"/>
        <scheme val="none"/>
      </font>
      <numFmt numFmtId="0" formatCode="General"/>
    </dxf>
    <dxf>
      <font>
        <outline val="0"/>
        <shadow val="0"/>
        <u val="none"/>
        <vertAlign val="baseline"/>
        <sz val="11"/>
        <color theme="1"/>
        <name val="Arial"/>
        <family val="2"/>
        <scheme val="none"/>
      </font>
    </dxf>
    <dxf>
      <font>
        <outline val="0"/>
        <shadow val="0"/>
        <u val="none"/>
        <vertAlign val="baseline"/>
        <sz val="11"/>
        <color theme="1"/>
        <name val="Arial"/>
        <family val="2"/>
        <scheme val="none"/>
      </font>
      <alignment horizontal="general" vertical="center" textRotation="0" wrapText="0" indent="0" justifyLastLine="0" shrinkToFit="1" readingOrder="0"/>
    </dxf>
    <dxf>
      <font>
        <outline val="0"/>
        <shadow val="0"/>
        <u val="none"/>
        <vertAlign val="baseline"/>
        <sz val="11"/>
        <color theme="1"/>
        <name val="Arial"/>
        <family val="2"/>
        <scheme val="none"/>
      </font>
    </dxf>
    <dxf>
      <font>
        <outline val="0"/>
        <shadow val="0"/>
        <u val="none"/>
        <vertAlign val="baseline"/>
        <sz val="11"/>
        <color theme="1"/>
        <name val="Arial"/>
        <family val="2"/>
        <scheme val="none"/>
      </font>
      <fill>
        <patternFill patternType="none">
          <fgColor indexed="64"/>
          <bgColor indexed="65"/>
        </patternFill>
      </fill>
      <alignment horizontal="general" vertical="center" textRotation="0" wrapText="0" indent="0" justifyLastLine="0" shrinkToFit="1" readingOrder="0"/>
    </dxf>
    <dxf>
      <font>
        <outline val="0"/>
        <shadow val="0"/>
        <u val="none"/>
        <vertAlign val="baseline"/>
        <sz val="11"/>
        <color theme="1"/>
        <name val="Arial"/>
        <family val="2"/>
        <scheme val="none"/>
      </font>
    </dxf>
    <dxf>
      <font>
        <outline val="0"/>
        <shadow val="0"/>
        <u val="none"/>
        <vertAlign val="baseline"/>
        <sz val="11"/>
        <color theme="1"/>
        <name val="Arial"/>
        <family val="2"/>
        <scheme val="none"/>
      </font>
      <alignment horizontal="general" vertical="center" textRotation="0" wrapText="0" indent="0" justifyLastLine="0" shrinkToFit="1" readingOrder="0"/>
    </dxf>
    <dxf>
      <font>
        <outline val="0"/>
        <shadow val="0"/>
        <u val="none"/>
        <vertAlign val="baseline"/>
        <sz val="11"/>
        <color theme="1"/>
        <name val="Arial"/>
        <family val="2"/>
        <scheme val="none"/>
      </font>
    </dxf>
    <dxf>
      <font>
        <outline val="0"/>
        <shadow val="0"/>
        <u val="none"/>
        <vertAlign val="baseline"/>
        <sz val="11"/>
        <color theme="1"/>
        <name val="Arial"/>
        <family val="2"/>
        <scheme val="none"/>
      </font>
    </dxf>
    <dxf>
      <font>
        <outline val="0"/>
        <shadow val="0"/>
        <u val="none"/>
        <vertAlign val="baseline"/>
        <sz val="11"/>
        <color theme="1"/>
        <name val="Arial"/>
        <family val="2"/>
        <scheme val="none"/>
      </font>
    </dxf>
    <dxf>
      <font>
        <outline val="0"/>
        <shadow val="0"/>
        <u val="none"/>
        <vertAlign val="baseline"/>
        <sz val="11"/>
        <color theme="1"/>
        <name val="Arial"/>
        <family val="2"/>
        <scheme val="none"/>
      </font>
    </dxf>
    <dxf>
      <font>
        <outline val="0"/>
        <shadow val="0"/>
        <u val="none"/>
        <vertAlign val="baseline"/>
        <name val="Arial"/>
        <scheme val="none"/>
      </font>
    </dxf>
    <dxf>
      <font>
        <b val="0"/>
        <i val="0"/>
        <strike val="0"/>
        <condense val="0"/>
        <extend val="0"/>
        <outline val="0"/>
        <shadow val="0"/>
        <u val="none"/>
        <vertAlign val="baseline"/>
        <sz val="9"/>
        <color theme="0"/>
        <name val="Arial"/>
        <family val="2"/>
        <scheme val="none"/>
      </font>
      <fill>
        <patternFill patternType="solid">
          <fgColor indexed="64"/>
          <bgColor theme="0" tint="-0.499984740745262"/>
        </patternFill>
      </fill>
      <alignment horizontal="general" vertical="top" textRotation="0" wrapText="0" indent="0" justifyLastLine="0" shrinkToFit="1" readingOrder="0"/>
    </dxf>
    <dxf>
      <font>
        <color rgb="FF9C0006"/>
      </font>
      <fill>
        <patternFill>
          <bgColor rgb="FFFFC7CE"/>
        </patternFill>
      </fill>
    </dxf>
    <dxf>
      <font>
        <b/>
        <i val="0"/>
        <color rgb="FFFF0000"/>
      </font>
    </dxf>
    <dxf>
      <font>
        <b val="0"/>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Arial"/>
        <family val="2"/>
        <scheme val="none"/>
      </font>
      <numFmt numFmtId="0" formatCode="General"/>
      <alignment horizontal="left" vertical="center" textRotation="0" wrapText="0" indent="0" justifyLastLine="0" shrinkToFit="1" readingOrder="0"/>
      <border diagonalUp="0" diagonalDown="0">
        <left style="thin">
          <color rgb="FF000000"/>
        </left>
        <right/>
        <top/>
        <bottom/>
        <vertical style="thin">
          <color rgb="FF000000"/>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thin">
          <color rgb="FF000000"/>
        </right>
        <top/>
        <bottom/>
        <vertical style="thin">
          <color rgb="FF000000"/>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hair">
          <color indexed="64"/>
        </left>
        <right style="thin">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right style="thin">
          <color auto="1"/>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border diagonalUp="0" diagonalDown="0">
        <left style="thin">
          <color auto="1"/>
        </left>
        <right style="hair">
          <color indexed="64"/>
        </right>
        <top/>
        <bottom/>
        <vertical/>
        <horizontal/>
      </border>
      <protection locked="1" hidden="1"/>
    </dxf>
    <dxf>
      <font>
        <b val="0"/>
        <i val="0"/>
        <strike val="0"/>
        <condense val="0"/>
        <extend val="0"/>
        <outline val="0"/>
        <shadow val="0"/>
        <u val="none"/>
        <vertAlign val="baseline"/>
        <sz val="11"/>
        <color theme="1"/>
        <name val="Arial"/>
        <family val="2"/>
        <scheme val="none"/>
      </font>
      <numFmt numFmtId="0" formatCode="General"/>
      <alignment horizontal="right"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left" vertical="center" textRotation="0" wrapText="0" indent="0" justifyLastLine="0" shrinkToFit="1" readingOrder="0"/>
      <protection locked="1" hidden="1"/>
    </dxf>
    <dxf>
      <font>
        <b/>
        <i val="0"/>
        <strike val="0"/>
        <condense val="0"/>
        <extend val="0"/>
        <outline val="0"/>
        <shadow val="0"/>
        <u val="none"/>
        <vertAlign val="baseline"/>
        <sz val="11"/>
        <color theme="1" tint="0.499984740745262"/>
        <name val="Arial"/>
        <family val="2"/>
        <scheme val="none"/>
      </font>
      <numFmt numFmtId="0" formatCode="General"/>
      <alignment horizontal="right" vertical="center" textRotation="0" wrapText="0" indent="0" justifyLastLine="0" shrinkToFit="1" readingOrder="0"/>
      <border diagonalUp="0" diagonalDown="0">
        <left style="thin">
          <color indexed="64"/>
        </left>
        <right style="thin">
          <color indexed="64"/>
        </right>
        <top/>
        <bottom/>
      </border>
      <protection locked="1" hidden="1"/>
    </dxf>
    <dxf>
      <font>
        <b/>
        <i val="0"/>
        <strike val="0"/>
        <condense val="0"/>
        <extend val="0"/>
        <outline val="0"/>
        <shadow val="0"/>
        <u val="none"/>
        <vertAlign val="baseline"/>
        <sz val="11"/>
        <color theme="1"/>
        <name val="Comic Sans MS"/>
        <family val="4"/>
        <scheme val="none"/>
      </font>
      <numFmt numFmtId="168" formatCode="General&quot; uH&quot;"/>
      <alignment horizontal="center" vertical="center" textRotation="0" wrapText="0" indent="0" justifyLastLine="0" shrinkToFit="1" readingOrder="0"/>
      <border diagonalUp="0" diagonalDown="0" outline="0">
        <left style="thin">
          <color auto="1"/>
        </left>
        <right style="thin">
          <color auto="1"/>
        </right>
        <top/>
        <bottom/>
      </border>
      <protection locked="1" hidden="1"/>
    </dxf>
    <dxf>
      <font>
        <b/>
        <i val="0"/>
        <strike val="0"/>
        <condense val="0"/>
        <extend val="0"/>
        <outline val="0"/>
        <shadow val="0"/>
        <u val="none"/>
        <vertAlign val="baseline"/>
        <sz val="12"/>
        <color theme="1"/>
        <name val="Arial"/>
        <family val="2"/>
        <scheme val="none"/>
      </font>
      <numFmt numFmtId="0" formatCode="General"/>
      <alignment horizontal="general" vertical="center" textRotation="0" wrapText="0" indent="0" justifyLastLine="0" shrinkToFit="1" readingOrder="0"/>
      <border>
        <right style="thin">
          <color auto="1"/>
        </right>
      </border>
      <protection locked="1" hidden="1"/>
    </dxf>
    <dxf>
      <font>
        <b val="0"/>
        <i val="0"/>
        <strike val="0"/>
        <condense val="0"/>
        <extend val="0"/>
        <outline val="0"/>
        <shadow val="0"/>
        <u val="none"/>
        <vertAlign val="baseline"/>
        <sz val="11"/>
        <color theme="1"/>
        <name val="Arial"/>
        <family val="2"/>
        <scheme val="none"/>
      </font>
      <alignment horizontal="right" vertical="center" textRotation="0" wrapText="0" indent="0" justifyLastLine="0" shrinkToFit="0" readingOrder="0"/>
      <protection locked="1" hidden="1"/>
    </dxf>
    <dxf>
      <font>
        <b val="0"/>
        <i val="0"/>
        <strike val="0"/>
        <condense val="0"/>
        <extend val="0"/>
        <outline val="0"/>
        <shadow val="0"/>
        <u val="none"/>
        <vertAlign val="baseline"/>
        <sz val="8"/>
        <color auto="1"/>
        <name val="Arial"/>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0" readingOrder="0"/>
      <protection locked="0" hidden="1"/>
    </dxf>
    <dxf>
      <font>
        <b val="0"/>
        <i val="0"/>
        <strike val="0"/>
        <condense val="0"/>
        <extend val="0"/>
        <outline val="0"/>
        <shadow val="0"/>
        <u val="none"/>
        <vertAlign val="baseline"/>
        <sz val="11"/>
        <color theme="1"/>
        <name val="Arial"/>
        <family val="2"/>
        <scheme val="none"/>
      </font>
      <numFmt numFmtId="0" formatCode="General"/>
      <alignment horizontal="center" vertical="center" textRotation="0" wrapText="0" indent="0" justifyLastLine="0" shrinkToFit="1" readingOrder="0"/>
      <protection locked="0" hidden="1"/>
    </dxf>
    <dxf>
      <font>
        <b val="0"/>
        <i val="0"/>
        <strike val="0"/>
        <condense val="0"/>
        <extend val="0"/>
        <outline val="0"/>
        <shadow val="0"/>
        <u val="none"/>
        <vertAlign val="baseline"/>
        <sz val="11"/>
        <color theme="1"/>
        <name val="Arial"/>
        <family val="2"/>
        <scheme val="none"/>
      </font>
      <numFmt numFmtId="0" formatCode="General"/>
      <protection locked="0" hidden="1"/>
    </dxf>
    <dxf>
      <font>
        <b/>
        <i val="0"/>
        <strike val="0"/>
        <condense val="0"/>
        <extend val="0"/>
        <outline val="0"/>
        <shadow val="0"/>
        <u val="none"/>
        <vertAlign val="baseline"/>
        <sz val="9"/>
        <color theme="0"/>
        <name val="Arial"/>
        <family val="2"/>
        <scheme val="none"/>
      </font>
      <fill>
        <patternFill patternType="solid">
          <fgColor indexed="64"/>
          <bgColor theme="3"/>
        </patternFill>
      </fill>
      <alignment horizontal="general" vertical="top" textRotation="0" wrapText="0" indent="0" justifyLastLine="0" shrinkToFit="1" readingOrder="0"/>
    </dxf>
    <dxf>
      <font>
        <b/>
        <i val="0"/>
        <color theme="0" tint="-0.249977111117893"/>
      </font>
    </dxf>
    <dxf>
      <font>
        <b/>
        <i val="0"/>
        <color rgb="FF00B050"/>
      </font>
    </dxf>
    <dxf>
      <font>
        <b/>
        <i val="0"/>
        <color theme="9"/>
      </font>
    </dxf>
    <dxf>
      <font>
        <b/>
        <i val="0"/>
        <color rgb="FF00B050"/>
      </font>
    </dxf>
    <dxf>
      <font>
        <b/>
        <i val="0"/>
        <color theme="1" tint="0.499984740745262"/>
      </font>
    </dxf>
    <dxf>
      <font>
        <b/>
        <i val="0"/>
        <color rgb="FFFF0000"/>
      </font>
    </dxf>
    <dxf>
      <font>
        <b val="0"/>
        <i val="0"/>
        <color rgb="FFFF0000"/>
      </font>
    </dxf>
    <dxf>
      <font>
        <b/>
        <i val="0"/>
        <color rgb="FFFF0000"/>
      </font>
    </dxf>
    <dxf>
      <font>
        <b val="0"/>
        <i val="0"/>
        <color rgb="FFFF0000"/>
      </font>
    </dxf>
    <dxf>
      <font>
        <b/>
        <i val="0"/>
        <color theme="0" tint="-0.249977111117893"/>
      </font>
    </dxf>
    <dxf>
      <font>
        <b/>
        <i val="0"/>
        <color theme="0" tint="-0.249977111117893"/>
      </font>
    </dxf>
    <dxf>
      <font>
        <b/>
        <i val="0"/>
        <color theme="0" tint="-0.249977111117893"/>
      </font>
    </dxf>
    <dxf>
      <font>
        <b/>
        <i val="0"/>
        <color rgb="FFFF0000"/>
      </font>
    </dxf>
    <dxf>
      <font>
        <b val="0"/>
        <i val="0"/>
        <color rgb="FFFF0000"/>
      </font>
    </dxf>
    <dxf>
      <font>
        <b/>
        <i val="0"/>
        <color rgb="FFFF0000"/>
      </font>
    </dxf>
    <dxf>
      <font>
        <b val="0"/>
        <i val="0"/>
        <color rgb="FFFF0000"/>
      </font>
    </dxf>
    <dxf>
      <font>
        <color rgb="FF9C0006"/>
      </font>
      <fill>
        <patternFill>
          <bgColor rgb="FFFFC7CE"/>
        </patternFill>
      </fill>
    </dxf>
    <dxf>
      <font>
        <b/>
        <i val="0"/>
        <color theme="0"/>
      </font>
      <fill>
        <patternFill>
          <bgColor rgb="FFFF00FF"/>
        </patternFill>
      </fill>
    </dxf>
    <dxf>
      <font>
        <b/>
        <i val="0"/>
        <color theme="0"/>
      </font>
      <fill>
        <patternFill>
          <bgColor rgb="FF0070C0"/>
        </patternFill>
      </fill>
    </dxf>
    <dxf>
      <font>
        <b/>
        <i val="0"/>
        <color theme="0"/>
      </font>
      <fill>
        <patternFill>
          <bgColor rgb="FF7030A0"/>
        </patternFill>
      </fill>
    </dxf>
    <dxf>
      <font>
        <b/>
        <i val="0"/>
        <color theme="0"/>
      </font>
      <fill>
        <patternFill>
          <bgColor rgb="FF00B050"/>
        </patternFill>
      </fill>
    </dxf>
    <dxf>
      <fill>
        <patternFill>
          <bgColor theme="0" tint="-4.9989318521683403E-2"/>
        </patternFill>
      </fill>
    </dxf>
    <dxf>
      <font>
        <b/>
        <i val="0"/>
        <color rgb="FFFF0000"/>
      </font>
    </dxf>
    <dxf>
      <font>
        <b val="0"/>
        <i val="0"/>
        <color rgb="FFFF0000"/>
      </font>
    </dxf>
    <dxf>
      <font>
        <sz val="8"/>
      </font>
    </dxf>
    <dxf>
      <numFmt numFmtId="13" formatCode="0%"/>
    </dxf>
    <dxf>
      <numFmt numFmtId="13" formatCode="0%"/>
    </dxf>
    <dxf>
      <numFmt numFmtId="13" formatCode="0%"/>
    </dxf>
    <dxf>
      <numFmt numFmtId="13" formatCode="0%"/>
    </dxf>
    <dxf>
      <numFmt numFmtId="0" formatCode="General"/>
    </dxf>
    <dxf>
      <numFmt numFmtId="0" formatCode="General"/>
    </dxf>
    <dxf>
      <font>
        <sz val="8"/>
      </font>
    </dxf>
    <dxf>
      <font>
        <sz val="9"/>
      </font>
    </dxf>
    <dxf>
      <border>
        <right style="thin">
          <color indexed="64"/>
        </right>
      </border>
    </dxf>
    <dxf>
      <numFmt numFmtId="168" formatCode="General&quot; uH&quot;"/>
    </dxf>
    <dxf>
      <font>
        <sz val="9"/>
      </font>
    </dxf>
    <dxf>
      <font>
        <sz val="9"/>
      </font>
    </dxf>
    <dxf>
      <font>
        <sz val="9"/>
      </font>
    </dxf>
    <dxf>
      <font>
        <sz val="9"/>
      </font>
    </dxf>
    <dxf>
      <font>
        <sz val="9"/>
      </font>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readingOrder="0"/>
    </dxf>
    <dxf>
      <alignment wrapText="1" shrinkToFit="0" readingOrder="0"/>
    </dxf>
    <dxf>
      <font>
        <color theme="0"/>
      </font>
      <fill>
        <patternFill patternType="solid">
          <fgColor indexed="64"/>
          <bgColor theme="1"/>
        </patternFill>
      </fill>
      <alignment vertical="top" wrapText="1" readingOrder="0"/>
    </dxf>
    <dxf>
      <protection locked="0"/>
    </dxf>
    <dxf>
      <alignment shrinkToFit="1" readingOrder="0"/>
    </dxf>
    <dxf>
      <font>
        <color auto="1"/>
      </font>
    </dxf>
    <dxf>
      <font>
        <color theme="0"/>
      </font>
      <fill>
        <patternFill patternType="solid">
          <fgColor indexed="64"/>
          <bgColor theme="1"/>
        </patternFill>
      </fill>
      <alignment vertical="top" wrapText="1" readingOrder="0"/>
    </dxf>
    <dxf>
      <alignment vertical="top" readingOrder="0"/>
    </dxf>
    <dxf>
      <alignment wrapText="0" shrinkToFit="1" readingOrder="0"/>
    </dxf>
    <dxf>
      <font>
        <sz val="9"/>
        <color theme="0"/>
      </font>
      <fill>
        <patternFill patternType="solid">
          <fgColor indexed="64"/>
          <bgColor theme="1"/>
        </patternFill>
      </fill>
      <alignment vertical="top" wrapText="1" readingOrder="0"/>
    </dxf>
    <dxf>
      <font>
        <sz val="9"/>
        <color theme="0"/>
      </font>
      <fill>
        <patternFill patternType="solid">
          <fgColor indexed="64"/>
          <bgColor theme="1"/>
        </patternFill>
      </fill>
      <alignment vertical="top" wrapText="1" readingOrder="0"/>
    </dxf>
    <dxf>
      <border>
        <right style="thin">
          <color theme="0"/>
        </right>
      </border>
    </dxf>
    <dxf>
      <border>
        <right style="thin">
          <color theme="0"/>
        </right>
      </border>
    </dxf>
    <dxf>
      <border>
        <right style="thin">
          <color theme="0"/>
        </right>
      </border>
    </dxf>
    <dxf>
      <border>
        <right style="thin">
          <color theme="0"/>
        </right>
      </border>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font>
        <color theme="0"/>
      </font>
      <fill>
        <patternFill patternType="solid">
          <fgColor indexed="64"/>
          <bgColor theme="1"/>
        </patternFill>
      </fill>
      <alignment vertical="top" wrapText="1" readingOrder="0"/>
    </dxf>
    <dxf>
      <alignment vertical="top" readingOrder="0"/>
    </dxf>
    <dxf>
      <font>
        <name val="Arial"/>
        <scheme val="none"/>
      </font>
    </dxf>
    <dxf>
      <font>
        <color theme="0"/>
      </font>
    </dxf>
    <dxf>
      <fill>
        <patternFill>
          <bgColor theme="1"/>
        </patternFill>
      </fill>
    </dxf>
    <dxf>
      <alignment vertical="top" readingOrder="0"/>
    </dxf>
    <dxf>
      <alignment wrapText="1" readingOrder="0"/>
    </dxf>
    <dxf>
      <fill>
        <patternFill>
          <bgColor theme="1"/>
        </patternFill>
      </fill>
    </dxf>
    <dxf>
      <font>
        <color theme="0"/>
      </font>
    </dxf>
    <dxf>
      <alignment vertical="top" readingOrder="0"/>
    </dxf>
    <dxf>
      <alignment horizontal="left" readingOrder="0"/>
    </dxf>
    <dxf>
      <alignment shrinkToFit="1" readingOrder="0"/>
    </dxf>
    <dxf>
      <font>
        <color theme="0"/>
      </font>
    </dxf>
    <dxf>
      <fill>
        <patternFill patternType="solid">
          <bgColor theme="1"/>
        </patternFill>
      </fill>
    </dxf>
    <dxf>
      <font>
        <sz val="9"/>
      </font>
    </dxf>
    <dxf>
      <border>
        <right style="thin">
          <color theme="0"/>
        </right>
      </border>
    </dxf>
    <dxf>
      <font>
        <sz val="8"/>
      </font>
    </dxf>
    <dxf>
      <font>
        <sz val="9"/>
        <color theme="0"/>
      </font>
      <fill>
        <patternFill patternType="solid">
          <fgColor indexed="64"/>
          <bgColor theme="1"/>
        </patternFill>
      </fill>
      <alignment vertical="top" wrapText="1" readingOrder="0"/>
    </dxf>
    <dxf>
      <font>
        <name val="Sugoe UI"/>
        <scheme val="none"/>
      </font>
    </dxf>
    <dxf>
      <alignment vertical="center" readingOrder="0"/>
    </dxf>
    <dxf>
      <font>
        <b/>
        <i val="0"/>
        <color theme="0"/>
      </font>
      <fill>
        <patternFill>
          <bgColor rgb="FF7030A0"/>
        </patternFill>
      </fill>
    </dxf>
    <dxf>
      <font>
        <b/>
        <i val="0"/>
        <color theme="0"/>
      </font>
      <fill>
        <patternFill>
          <bgColor rgb="FF00B050"/>
        </patternFill>
      </fill>
    </dxf>
    <dxf>
      <font>
        <b/>
        <i val="0"/>
      </font>
    </dxf>
    <dxf>
      <font>
        <b/>
        <i val="0"/>
      </font>
    </dxf>
    <dxf>
      <font>
        <b/>
        <i val="0"/>
        <color rgb="FF0070C0"/>
      </font>
    </dxf>
    <dxf>
      <font>
        <b/>
        <i val="0"/>
        <color rgb="FF0070C0"/>
      </font>
    </dxf>
    <dxf>
      <font>
        <color rgb="FF9C0006"/>
      </font>
      <fill>
        <patternFill>
          <bgColor rgb="FFFFC7CE"/>
        </patternFill>
      </fill>
    </dxf>
    <dxf>
      <font>
        <color rgb="FF9C0006"/>
      </font>
      <fill>
        <patternFill>
          <bgColor rgb="FFFFC7CE"/>
        </patternFill>
      </fill>
    </dxf>
    <dxf>
      <font>
        <color theme="0" tint="-0.24994659260841701"/>
      </font>
      <numFmt numFmtId="13" formatCode="0%"/>
    </dxf>
    <dxf>
      <font>
        <b/>
        <i val="0"/>
        <color rgb="FFFF0000"/>
      </font>
    </dxf>
    <dxf>
      <font>
        <color theme="0" tint="-0.24994659260841701"/>
      </font>
      <numFmt numFmtId="13" formatCode="0%"/>
    </dxf>
    <dxf>
      <border>
        <right/>
        <vertical/>
        <horizontal/>
      </border>
    </dxf>
    <dxf>
      <border>
        <right/>
        <vertical/>
        <horizontal/>
      </border>
    </dxf>
    <dxf>
      <font>
        <color theme="0" tint="-0.24994659260841701"/>
      </font>
      <numFmt numFmtId="13" formatCode="0%"/>
    </dxf>
    <dxf>
      <border>
        <right/>
        <vertical/>
        <horizontal/>
      </border>
    </dxf>
    <dxf>
      <font>
        <color theme="0" tint="-0.34998626667073579"/>
      </font>
      <numFmt numFmtId="13" formatCode="0%"/>
    </dxf>
    <dxf>
      <font>
        <b/>
        <i val="0"/>
      </font>
    </dxf>
    <dxf>
      <border>
        <right/>
        <vertical/>
        <horizontal/>
      </border>
    </dxf>
    <dxf>
      <font>
        <b/>
        <i val="0"/>
        <color theme="0"/>
      </font>
      <fill>
        <patternFill>
          <bgColor rgb="FF00B050"/>
        </patternFill>
      </fill>
    </dxf>
    <dxf>
      <font>
        <b/>
        <i val="0"/>
        <color theme="0"/>
      </font>
      <fill>
        <patternFill>
          <bgColor rgb="FF0070C0"/>
        </patternFill>
      </fill>
    </dxf>
    <dxf>
      <font>
        <b/>
        <i val="0"/>
        <color theme="0"/>
      </font>
      <fill>
        <patternFill>
          <bgColor rgb="FFFF00FF"/>
        </patternFill>
      </fill>
    </dxf>
    <dxf>
      <font>
        <b/>
        <i val="0"/>
        <color theme="0"/>
      </font>
      <fill>
        <patternFill>
          <bgColor rgb="FF7030A0"/>
        </patternFill>
      </fill>
    </dxf>
    <dxf>
      <font>
        <b/>
        <i val="0"/>
        <color theme="0"/>
      </font>
      <fill>
        <patternFill>
          <bgColor rgb="FFFF00FF"/>
        </patternFill>
      </fill>
    </dxf>
    <dxf>
      <font>
        <b/>
        <i val="0"/>
        <color theme="0"/>
      </font>
      <fill>
        <patternFill>
          <bgColor rgb="FF0070C0"/>
        </patternFill>
      </fill>
    </dxf>
    <dxf>
      <font>
        <b/>
        <i val="0"/>
        <color theme="0"/>
      </font>
      <fill>
        <patternFill>
          <bgColor rgb="FFFFC000"/>
        </patternFill>
      </fill>
    </dxf>
    <dxf>
      <font>
        <color rgb="FF9C0006"/>
      </font>
      <fill>
        <patternFill>
          <bgColor rgb="FFFFC7CE"/>
        </patternFill>
      </fil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font>
        <b/>
        <color theme="1"/>
      </font>
      <border>
        <bottom style="thin">
          <color auto="1"/>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s>
  <tableStyles count="2" defaultTableStyle="TableStyleMedium2" defaultPivotStyle="PivotStyleLight16">
    <tableStyle name="SlicerStyleDark2 2" pivot="0" table="0" count="10" xr9:uid="{00000000-0011-0000-FFFF-FFFF00000000}">
      <tableStyleElement type="wholeTable" dxfId="252"/>
      <tableStyleElement type="headerRow" dxfId="251"/>
    </tableStyle>
    <tableStyle name="SlicerStyleOther1 2" pivot="0" table="0" count="10" xr9:uid="{00000000-0011-0000-FFFF-FFFF01000000}">
      <tableStyleElement type="wholeTable" dxfId="250"/>
      <tableStyleElement type="headerRow" dxfId="249"/>
    </tableStyle>
  </tableStyles>
  <colors>
    <indexedColors>
      <rgbColor rgb="00000000"/>
      <rgbColor rgb="00FFFFFF"/>
      <rgbColor rgb="00FF0000"/>
      <rgbColor rgb="0000FF00"/>
      <rgbColor rgb="000000FF"/>
      <rgbColor rgb="00FFFF00"/>
      <rgbColor rgb="00FF00FF"/>
      <rgbColor rgb="0000FFFF"/>
      <rgbColor rgb="00000000"/>
      <rgbColor rgb="00FFFFFF"/>
      <rgbColor rgb="00DD0806"/>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FFFF99"/>
      <color rgb="FF3333FF"/>
      <color rgb="FFFFFFCC"/>
      <color rgb="FF99CCFF"/>
      <color rgb="FFFFFF66"/>
      <color rgb="FFFFCCFF"/>
      <color rgb="FF7030A0"/>
      <color rgb="FFFF00FF"/>
      <color rgb="FFCC00CC"/>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tint="-0.14996795556505021"/>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5" tint="0.59999389629810485"/>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theme="0"/>
          </font>
          <fill>
            <patternFill patternType="solid">
              <fgColor theme="5"/>
              <bgColor theme="1" tint="0.34998626667073579"/>
            </patternFill>
          </fill>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theme="0" tint="-0.24994659260841701"/>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Other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theme" Target="theme/theme1.xml"/><Relationship Id="rId39" Type="http://schemas.microsoft.com/office/2017/10/relationships/person" Target="persons/person.xml"/><Relationship Id="rId21" Type="http://schemas.microsoft.com/office/2007/relationships/slicerCache" Target="slicerCaches/slicerCache10.xml"/><Relationship Id="rId34" Type="http://schemas.microsoft.com/office/2017/06/relationships/rdSupportingPropertyBag" Target="richData/rdsupportingpropertybag.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microsoft.com/office/2007/relationships/slicerCache" Target="slicerCaches/slicerCache14.xml"/><Relationship Id="rId33" Type="http://schemas.microsoft.com/office/2017/06/relationships/rdSupportingPropertyBagStructure" Target="richData/rdsupportingpropertybagstructure.xml"/><Relationship Id="rId38"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13.xml"/><Relationship Id="rId32" Type="http://schemas.microsoft.com/office/2017/06/relationships/rdArray" Target="richData/rdarray.xml"/><Relationship Id="rId37" Type="http://schemas.openxmlformats.org/officeDocument/2006/relationships/customXml" Target="../customXml/item1.xml"/><Relationship Id="rId40" Type="http://schemas.microsoft.com/office/2020/07/relationships/rdRichValueWebImage" Target="richData/rdRichValueWebImage.xml"/><Relationship Id="rId5" Type="http://schemas.openxmlformats.org/officeDocument/2006/relationships/worksheet" Target="worksheets/sheet5.xml"/><Relationship Id="rId15" Type="http://schemas.microsoft.com/office/2007/relationships/slicerCache" Target="slicerCaches/slicerCache4.xml"/><Relationship Id="rId23" Type="http://schemas.microsoft.com/office/2007/relationships/slicerCache" Target="slicerCaches/slicerCache12.xml"/><Relationship Id="rId28" Type="http://schemas.openxmlformats.org/officeDocument/2006/relationships/sharedStrings" Target="sharedStrings.xml"/><Relationship Id="rId36"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7/relationships/slicerCache" Target="slicerCaches/slicerCache8.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styles" Target="styles.xml"/><Relationship Id="rId30" Type="http://schemas.microsoft.com/office/2017/06/relationships/rdRichValue" Target="richData/rdrichvalue.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71381254786699"/>
          <c:y val="6.5656727570449561E-2"/>
          <c:w val="0.53752375988920653"/>
          <c:h val="0.87121426968481164"/>
        </c:manualLayout>
      </c:layout>
      <c:scatterChart>
        <c:scatterStyle val="lineMarker"/>
        <c:varyColors val="0"/>
        <c:ser>
          <c:idx val="0"/>
          <c:order val="0"/>
          <c:tx>
            <c:strRef>
              <c:f>計算sheet!$AF$19</c:f>
              <c:strCache>
                <c:ptCount val="1"/>
                <c:pt idx="0">
                  <c:v>IL</c:v>
                </c:pt>
              </c:strCache>
            </c:strRef>
          </c:tx>
          <c:spPr>
            <a:ln>
              <a:solidFill>
                <a:srgbClr val="000000"/>
              </a:solidFill>
              <a:prstDash val="solid"/>
            </a:ln>
          </c:spPr>
          <c:marker>
            <c:symbol val="none"/>
          </c:marker>
          <c:xVal>
            <c:numRef>
              <c:f>計算sheet!$AE$20:$AE$28</c:f>
              <c:numCache>
                <c:formatCode>0.00</c:formatCode>
                <c:ptCount val="9"/>
                <c:pt idx="0">
                  <c:v>0</c:v>
                </c:pt>
                <c:pt idx="1">
                  <c:v>0.20833333333333334</c:v>
                </c:pt>
                <c:pt idx="2">
                  <c:v>0.5</c:v>
                </c:pt>
                <c:pt idx="3">
                  <c:v>0.70833333333333337</c:v>
                </c:pt>
                <c:pt idx="4">
                  <c:v>1</c:v>
                </c:pt>
                <c:pt idx="5">
                  <c:v>1.2083333333333333</c:v>
                </c:pt>
                <c:pt idx="6">
                  <c:v>1.5</c:v>
                </c:pt>
                <c:pt idx="7" formatCode="0.00_);[Red]\(0.00\)">
                  <c:v>1.7083333333333333</c:v>
                </c:pt>
                <c:pt idx="8">
                  <c:v>2</c:v>
                </c:pt>
              </c:numCache>
            </c:numRef>
          </c:xVal>
          <c:yVal>
            <c:numRef>
              <c:f>計算sheet!$AF$20:$AF$28</c:f>
              <c:numCache>
                <c:formatCode>0.00</c:formatCode>
                <c:ptCount val="9"/>
                <c:pt idx="0">
                  <c:v>8.8461538461538467</c:v>
                </c:pt>
                <c:pt idx="1">
                  <c:v>11.153846153846155</c:v>
                </c:pt>
                <c:pt idx="2">
                  <c:v>8.8461538461538467</c:v>
                </c:pt>
                <c:pt idx="3">
                  <c:v>11.153846153846155</c:v>
                </c:pt>
                <c:pt idx="4">
                  <c:v>8.8461538461538467</c:v>
                </c:pt>
                <c:pt idx="5">
                  <c:v>11.153846153846155</c:v>
                </c:pt>
                <c:pt idx="6">
                  <c:v>8.8461538461538467</c:v>
                </c:pt>
                <c:pt idx="7">
                  <c:v>11.153846153846155</c:v>
                </c:pt>
                <c:pt idx="8">
                  <c:v>8.8461538461538467</c:v>
                </c:pt>
              </c:numCache>
            </c:numRef>
          </c:yVal>
          <c:smooth val="0"/>
          <c:extLst>
            <c:ext xmlns:c16="http://schemas.microsoft.com/office/drawing/2014/chart" uri="{C3380CC4-5D6E-409C-BE32-E72D297353CC}">
              <c16:uniqueId val="{00000000-CA01-4D02-98A7-1B86CEEA77FB}"/>
            </c:ext>
          </c:extLst>
        </c:ser>
        <c:dLbls>
          <c:showLegendKey val="0"/>
          <c:showVal val="0"/>
          <c:showCatName val="0"/>
          <c:showSerName val="0"/>
          <c:showPercent val="0"/>
          <c:showBubbleSize val="0"/>
        </c:dLbls>
        <c:axId val="583580288"/>
        <c:axId val="583590272"/>
      </c:scatterChart>
      <c:valAx>
        <c:axId val="583580288"/>
        <c:scaling>
          <c:orientation val="minMax"/>
        </c:scaling>
        <c:delete val="0"/>
        <c:axPos val="b"/>
        <c:majorGridlines>
          <c:spPr>
            <a:ln w="3175">
              <a:noFill/>
              <a:prstDash val="solid"/>
            </a:ln>
          </c:spPr>
        </c:majorGridlines>
        <c:numFmt formatCode="0_ " sourceLinked="0"/>
        <c:majorTickMark val="in"/>
        <c:minorTickMark val="none"/>
        <c:tickLblPos val="nextTo"/>
        <c:spPr>
          <a:ln w="3175">
            <a:solidFill>
              <a:schemeClr val="bg1">
                <a:lumMod val="75000"/>
              </a:schemeClr>
            </a:solidFill>
            <a:prstDash val="solid"/>
          </a:ln>
        </c:spPr>
        <c:txPr>
          <a:bodyPr rot="0" vert="horz"/>
          <a:lstStyle/>
          <a:p>
            <a:pPr>
              <a:defRPr lang="ja-JP" sz="800">
                <a:solidFill>
                  <a:srgbClr val="FFFFFF"/>
                </a:solidFill>
              </a:defRPr>
            </a:pPr>
            <a:endParaRPr lang="ja-JP"/>
          </a:p>
        </c:txPr>
        <c:crossAx val="583590272"/>
        <c:crosses val="autoZero"/>
        <c:crossBetween val="midCat"/>
      </c:valAx>
      <c:valAx>
        <c:axId val="583590272"/>
        <c:scaling>
          <c:orientation val="minMax"/>
          <c:min val="0"/>
        </c:scaling>
        <c:delete val="0"/>
        <c:axPos val="l"/>
        <c:majorGridlines>
          <c:spPr>
            <a:ln w="3175">
              <a:noFill/>
              <a:prstDash val="solid"/>
            </a:ln>
          </c:spPr>
        </c:majorGridlines>
        <c:title>
          <c:tx>
            <c:rich>
              <a:bodyPr/>
              <a:lstStyle/>
              <a:p>
                <a:pPr>
                  <a:defRPr lang="ja-JP"/>
                </a:pPr>
                <a:r>
                  <a:rPr lang="en-US" sz="1000"/>
                  <a:t>IL (A)</a:t>
                </a:r>
              </a:p>
            </c:rich>
          </c:tx>
          <c:layout>
            <c:manualLayout>
              <c:xMode val="edge"/>
              <c:yMode val="edge"/>
              <c:x val="0"/>
              <c:y val="0.32130376815422307"/>
            </c:manualLayout>
          </c:layout>
          <c:overlay val="0"/>
          <c:spPr>
            <a:noFill/>
            <a:ln w="25400">
              <a:noFill/>
            </a:ln>
          </c:spPr>
        </c:title>
        <c:numFmt formatCode="General" sourceLinked="0"/>
        <c:majorTickMark val="in"/>
        <c:minorTickMark val="none"/>
        <c:tickLblPos val="nextTo"/>
        <c:spPr>
          <a:ln w="9525">
            <a:solidFill>
              <a:schemeClr val="bg1">
                <a:lumMod val="75000"/>
              </a:schemeClr>
            </a:solidFill>
            <a:prstDash val="solid"/>
          </a:ln>
        </c:spPr>
        <c:txPr>
          <a:bodyPr rot="0" vert="horz"/>
          <a:lstStyle/>
          <a:p>
            <a:pPr>
              <a:defRPr lang="ja-JP" sz="600">
                <a:solidFill>
                  <a:schemeClr val="tx1">
                    <a:lumMod val="50000"/>
                    <a:lumOff val="50000"/>
                  </a:schemeClr>
                </a:solidFill>
              </a:defRPr>
            </a:pPr>
            <a:endParaRPr lang="ja-JP"/>
          </a:p>
        </c:txPr>
        <c:crossAx val="583580288"/>
        <c:crosses val="autoZero"/>
        <c:crossBetween val="midCat"/>
      </c:valAx>
      <c:spPr>
        <a:solidFill>
          <a:schemeClr val="bg1"/>
        </a:solidFill>
        <a:ln w="6350">
          <a:solidFill>
            <a:schemeClr val="bg1">
              <a:lumMod val="75000"/>
            </a:schemeClr>
          </a:solidFill>
          <a:prstDash val="solid"/>
        </a:ln>
      </c:spPr>
    </c:plotArea>
    <c:plotVisOnly val="1"/>
    <c:dispBlanksAs val="gap"/>
    <c:showDLblsOverMax val="0"/>
  </c:chart>
  <c:spPr>
    <a:solidFill>
      <a:srgbClr val="FFFFFF"/>
    </a:solidFill>
    <a:ln w="3175">
      <a:noFill/>
      <a:prstDash val="solid"/>
    </a:ln>
  </c:spPr>
  <c:txPr>
    <a:bodyPr/>
    <a:lstStyle/>
    <a:p>
      <a:pPr>
        <a:defRPr sz="1100" b="0" i="0" u="none" strike="noStrike" baseline="0">
          <a:solidFill>
            <a:srgbClr val="000000"/>
          </a:solidFill>
          <a:latin typeface="Segoe UI" panose="020B0502040204020203" pitchFamily="34" charset="0"/>
          <a:ea typeface="ＭＳ Ｐゴシック"/>
          <a:cs typeface="Segoe UI" panose="020B0502040204020203" pitchFamily="34" charset="0"/>
        </a:defRPr>
      </a:pPr>
      <a:endParaRPr lang="ja-JP"/>
    </a:p>
  </c:txPr>
  <c:printSettings>
    <c:headerFooter alignWithMargins="0"/>
    <c:pageMargins b="0.98399999999999999" l="0.78700000000000003" r="0.78700000000000003" t="0.98399999999999999" header="0.51200000000000001" footer="0.51200000000000001"/>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694039305029168"/>
          <c:y val="5.5145779970274797E-2"/>
          <c:w val="0.53272047864412553"/>
          <c:h val="0.62397924425470053"/>
        </c:manualLayout>
      </c:layout>
      <c:scatterChart>
        <c:scatterStyle val="smoothMarker"/>
        <c:varyColors val="0"/>
        <c:ser>
          <c:idx val="1"/>
          <c:order val="0"/>
          <c:tx>
            <c:strRef>
              <c:f>Wav!$Q$2</c:f>
              <c:strCache>
                <c:ptCount val="1"/>
                <c:pt idx="0">
                  <c:v>Vin</c:v>
                </c:pt>
              </c:strCache>
            </c:strRef>
          </c:tx>
          <c:spPr>
            <a:ln>
              <a:solidFill>
                <a:sysClr val="windowText" lastClr="000000"/>
              </a:solidFill>
            </a:ln>
          </c:spPr>
          <c:marker>
            <c:symbol val="none"/>
          </c:marker>
          <c:xVal>
            <c:numRef>
              <c:f>Wav!$P$3:$P$4</c:f>
              <c:numCache>
                <c:formatCode>0.0_ </c:formatCode>
                <c:ptCount val="2"/>
                <c:pt idx="0">
                  <c:v>0</c:v>
                </c:pt>
                <c:pt idx="1">
                  <c:v>1</c:v>
                </c:pt>
              </c:numCache>
            </c:numRef>
          </c:xVal>
          <c:yVal>
            <c:numRef>
              <c:f>Wav!$Q$3:$Q$4</c:f>
              <c:numCache>
                <c:formatCode>0.0_ </c:formatCode>
                <c:ptCount val="2"/>
                <c:pt idx="0">
                  <c:v>12</c:v>
                </c:pt>
                <c:pt idx="1">
                  <c:v>12</c:v>
                </c:pt>
              </c:numCache>
            </c:numRef>
          </c:yVal>
          <c:smooth val="1"/>
          <c:extLst>
            <c:ext xmlns:c16="http://schemas.microsoft.com/office/drawing/2014/chart" uri="{C3380CC4-5D6E-409C-BE32-E72D297353CC}">
              <c16:uniqueId val="{00000000-5BEA-4F6D-9F35-E253376B00BC}"/>
            </c:ext>
          </c:extLst>
        </c:ser>
        <c:ser>
          <c:idx val="0"/>
          <c:order val="1"/>
          <c:tx>
            <c:strRef>
              <c:f>Wav!$Q$6</c:f>
              <c:strCache>
                <c:ptCount val="1"/>
                <c:pt idx="0">
                  <c:v>Vout</c:v>
                </c:pt>
              </c:strCache>
            </c:strRef>
          </c:tx>
          <c:spPr>
            <a:ln w="12700" cap="rnd">
              <a:solidFill>
                <a:sysClr val="windowText" lastClr="000000"/>
              </a:solidFill>
              <a:round/>
            </a:ln>
            <a:effectLst/>
          </c:spPr>
          <c:marker>
            <c:symbol val="none"/>
          </c:marker>
          <c:xVal>
            <c:numRef>
              <c:f>Wav!$P$7:$P$8</c:f>
              <c:numCache>
                <c:formatCode>0.0_ </c:formatCode>
                <c:ptCount val="2"/>
                <c:pt idx="0">
                  <c:v>0</c:v>
                </c:pt>
                <c:pt idx="1">
                  <c:v>1</c:v>
                </c:pt>
              </c:numCache>
            </c:numRef>
          </c:xVal>
          <c:yVal>
            <c:numRef>
              <c:f>Wav!$Q$7:$Q$8</c:f>
              <c:numCache>
                <c:formatCode>0.0_ </c:formatCode>
                <c:ptCount val="2"/>
                <c:pt idx="0">
                  <c:v>5</c:v>
                </c:pt>
                <c:pt idx="1">
                  <c:v>5</c:v>
                </c:pt>
              </c:numCache>
            </c:numRef>
          </c:yVal>
          <c:smooth val="1"/>
          <c:extLst>
            <c:ext xmlns:c16="http://schemas.microsoft.com/office/drawing/2014/chart" uri="{C3380CC4-5D6E-409C-BE32-E72D297353CC}">
              <c16:uniqueId val="{00000001-5BEA-4F6D-9F35-E253376B00BC}"/>
            </c:ext>
          </c:extLst>
        </c:ser>
        <c:dLbls>
          <c:showLegendKey val="0"/>
          <c:showVal val="0"/>
          <c:showCatName val="0"/>
          <c:showSerName val="0"/>
          <c:showPercent val="0"/>
          <c:showBubbleSize val="0"/>
        </c:dLbls>
        <c:axId val="2018668847"/>
        <c:axId val="2018668015"/>
      </c:scatterChart>
      <c:valAx>
        <c:axId val="2018668847"/>
        <c:scaling>
          <c:orientation val="minMax"/>
          <c:max val="1"/>
        </c:scaling>
        <c:delete val="0"/>
        <c:axPos val="b"/>
        <c:numFmt formatCode="0.0_ "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alpha val="0"/>
                  </a:schemeClr>
                </a:solidFill>
                <a:latin typeface="Segoe UI" panose="020B0502040204020203" pitchFamily="34" charset="0"/>
                <a:ea typeface="+mn-ea"/>
                <a:cs typeface="Segoe UI" panose="020B0502040204020203" pitchFamily="34" charset="0"/>
              </a:defRPr>
            </a:pPr>
            <a:endParaRPr lang="ja-JP"/>
          </a:p>
        </c:txPr>
        <c:crossAx val="2018668015"/>
        <c:crossesAt val="5"/>
        <c:crossBetween val="midCat"/>
      </c:valAx>
      <c:valAx>
        <c:axId val="2018668015"/>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a:lstStyle/>
              <a:p>
                <a:pPr>
                  <a:defRPr lang="ja-JP" sz="800"/>
                </a:pPr>
                <a:r>
                  <a:rPr lang="en-US" altLang="ja-JP" sz="800" b="0"/>
                  <a:t>Vin, out (V)</a:t>
                </a:r>
                <a:endParaRPr lang="ja-JP" altLang="en-US" sz="800" b="0"/>
              </a:p>
            </c:rich>
          </c:tx>
          <c:layout>
            <c:manualLayout>
              <c:xMode val="edge"/>
              <c:yMode val="edge"/>
              <c:x val="9.1305962846541272E-2"/>
              <c:y val="0.10948135915296266"/>
            </c:manualLayout>
          </c:layout>
          <c:overlay val="0"/>
        </c:title>
        <c:numFmt formatCode="0_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800" b="0" i="0" u="none" strike="noStrike" kern="1200" baseline="0">
                <a:solidFill>
                  <a:schemeClr val="bg1"/>
                </a:solidFill>
                <a:latin typeface="Segoe UI" panose="020B0502040204020203" pitchFamily="34" charset="0"/>
                <a:ea typeface="+mn-ea"/>
                <a:cs typeface="Segoe UI" panose="020B0502040204020203" pitchFamily="34" charset="0"/>
              </a:defRPr>
            </a:pPr>
            <a:endParaRPr lang="ja-JP"/>
          </a:p>
        </c:txPr>
        <c:crossAx val="2018668847"/>
        <c:crosses val="autoZero"/>
        <c:crossBetween val="midCat"/>
      </c:valAx>
      <c:spPr>
        <a:ln>
          <a:solidFill>
            <a:schemeClr val="bg1">
              <a:lumMod val="75000"/>
            </a:schemeClr>
          </a:solidFill>
        </a:ln>
      </c:spPr>
    </c:plotArea>
    <c:legend>
      <c:legendPos val="b"/>
      <c:layout>
        <c:manualLayout>
          <c:xMode val="edge"/>
          <c:yMode val="edge"/>
          <c:x val="4.6539542221197813E-2"/>
          <c:y val="0.8047745026796258"/>
          <c:w val="0.84393585450102371"/>
          <c:h val="0.17917045144881458"/>
        </c:manualLayout>
      </c:layout>
      <c:overlay val="0"/>
      <c:txPr>
        <a:bodyPr/>
        <a:lstStyle/>
        <a:p>
          <a:pPr>
            <a:defRPr lang="ja-JP" sz="800"/>
          </a:pPr>
          <a:endParaRPr lang="ja-JP"/>
        </a:p>
      </c:txPr>
    </c:legend>
    <c:plotVisOnly val="1"/>
    <c:dispBlanksAs val="gap"/>
    <c:showDLblsOverMax val="0"/>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71381254786699"/>
          <c:y val="6.5656727570449561E-2"/>
          <c:w val="0.53752375988920653"/>
          <c:h val="0.87121426968481164"/>
        </c:manualLayout>
      </c:layout>
      <c:scatterChart>
        <c:scatterStyle val="lineMarker"/>
        <c:varyColors val="0"/>
        <c:ser>
          <c:idx val="0"/>
          <c:order val="0"/>
          <c:tx>
            <c:strRef>
              <c:f>計算sheet!$AF$19</c:f>
              <c:strCache>
                <c:ptCount val="1"/>
                <c:pt idx="0">
                  <c:v>IL</c:v>
                </c:pt>
              </c:strCache>
            </c:strRef>
          </c:tx>
          <c:spPr>
            <a:ln>
              <a:solidFill>
                <a:srgbClr val="000000"/>
              </a:solidFill>
              <a:prstDash val="solid"/>
            </a:ln>
          </c:spPr>
          <c:marker>
            <c:symbol val="none"/>
          </c:marker>
          <c:xVal>
            <c:numRef>
              <c:f>計算sheet!$AE$20:$AE$28</c:f>
              <c:numCache>
                <c:formatCode>0.00</c:formatCode>
                <c:ptCount val="9"/>
                <c:pt idx="0">
                  <c:v>0</c:v>
                </c:pt>
                <c:pt idx="1">
                  <c:v>0.20833333333333334</c:v>
                </c:pt>
                <c:pt idx="2">
                  <c:v>0.5</c:v>
                </c:pt>
                <c:pt idx="3">
                  <c:v>0.70833333333333337</c:v>
                </c:pt>
                <c:pt idx="4">
                  <c:v>1</c:v>
                </c:pt>
                <c:pt idx="5">
                  <c:v>1.2083333333333333</c:v>
                </c:pt>
                <c:pt idx="6">
                  <c:v>1.5</c:v>
                </c:pt>
                <c:pt idx="7" formatCode="0.00_);[Red]\(0.00\)">
                  <c:v>1.7083333333333333</c:v>
                </c:pt>
                <c:pt idx="8">
                  <c:v>2</c:v>
                </c:pt>
              </c:numCache>
            </c:numRef>
          </c:xVal>
          <c:yVal>
            <c:numRef>
              <c:f>計算sheet!$AF$20:$AF$28</c:f>
              <c:numCache>
                <c:formatCode>0.00</c:formatCode>
                <c:ptCount val="9"/>
                <c:pt idx="0">
                  <c:v>8.8461538461538467</c:v>
                </c:pt>
                <c:pt idx="1">
                  <c:v>11.153846153846155</c:v>
                </c:pt>
                <c:pt idx="2">
                  <c:v>8.8461538461538467</c:v>
                </c:pt>
                <c:pt idx="3">
                  <c:v>11.153846153846155</c:v>
                </c:pt>
                <c:pt idx="4">
                  <c:v>8.8461538461538467</c:v>
                </c:pt>
                <c:pt idx="5">
                  <c:v>11.153846153846155</c:v>
                </c:pt>
                <c:pt idx="6">
                  <c:v>8.8461538461538467</c:v>
                </c:pt>
                <c:pt idx="7">
                  <c:v>11.153846153846155</c:v>
                </c:pt>
                <c:pt idx="8">
                  <c:v>8.8461538461538467</c:v>
                </c:pt>
              </c:numCache>
            </c:numRef>
          </c:yVal>
          <c:smooth val="0"/>
          <c:extLst>
            <c:ext xmlns:c16="http://schemas.microsoft.com/office/drawing/2014/chart" uri="{C3380CC4-5D6E-409C-BE32-E72D297353CC}">
              <c16:uniqueId val="{00000000-C13E-4583-82DE-65D98F13DF1D}"/>
            </c:ext>
          </c:extLst>
        </c:ser>
        <c:ser>
          <c:idx val="1"/>
          <c:order val="1"/>
          <c:tx>
            <c:strRef>
              <c:f>計算sheet!$AG$19</c:f>
              <c:strCache>
                <c:ptCount val="1"/>
                <c:pt idx="0">
                  <c:v>Iout</c:v>
                </c:pt>
              </c:strCache>
            </c:strRef>
          </c:tx>
          <c:spPr>
            <a:ln w="9525">
              <a:solidFill>
                <a:schemeClr val="tx1"/>
              </a:solidFill>
            </a:ln>
          </c:spPr>
          <c:marker>
            <c:symbol val="none"/>
          </c:marker>
          <c:xVal>
            <c:numRef>
              <c:f>計算sheet!$AE$20:$AE$28</c:f>
              <c:numCache>
                <c:formatCode>0.00</c:formatCode>
                <c:ptCount val="9"/>
                <c:pt idx="0">
                  <c:v>0</c:v>
                </c:pt>
                <c:pt idx="1">
                  <c:v>0.20833333333333334</c:v>
                </c:pt>
                <c:pt idx="2">
                  <c:v>0.5</c:v>
                </c:pt>
                <c:pt idx="3">
                  <c:v>0.70833333333333337</c:v>
                </c:pt>
                <c:pt idx="4">
                  <c:v>1</c:v>
                </c:pt>
                <c:pt idx="5">
                  <c:v>1.2083333333333333</c:v>
                </c:pt>
                <c:pt idx="6">
                  <c:v>1.5</c:v>
                </c:pt>
                <c:pt idx="7" formatCode="0.00_);[Red]\(0.00\)">
                  <c:v>1.7083333333333333</c:v>
                </c:pt>
                <c:pt idx="8">
                  <c:v>2</c:v>
                </c:pt>
              </c:numCache>
            </c:numRef>
          </c:xVal>
          <c:yVal>
            <c:numRef>
              <c:f>計算sheet!$AG$20:$AG$28</c:f>
              <c:numCache>
                <c:formatCode>General</c:formatCode>
                <c:ptCount val="9"/>
                <c:pt idx="0">
                  <c:v>10</c:v>
                </c:pt>
                <c:pt idx="1">
                  <c:v>10</c:v>
                </c:pt>
                <c:pt idx="2">
                  <c:v>10</c:v>
                </c:pt>
                <c:pt idx="3">
                  <c:v>10</c:v>
                </c:pt>
                <c:pt idx="4">
                  <c:v>10</c:v>
                </c:pt>
                <c:pt idx="5">
                  <c:v>10</c:v>
                </c:pt>
                <c:pt idx="6">
                  <c:v>10</c:v>
                </c:pt>
                <c:pt idx="7">
                  <c:v>10</c:v>
                </c:pt>
                <c:pt idx="8">
                  <c:v>10</c:v>
                </c:pt>
              </c:numCache>
            </c:numRef>
          </c:yVal>
          <c:smooth val="0"/>
          <c:extLst>
            <c:ext xmlns:c16="http://schemas.microsoft.com/office/drawing/2014/chart" uri="{C3380CC4-5D6E-409C-BE32-E72D297353CC}">
              <c16:uniqueId val="{00000000-4C86-40DD-9CCD-C6D5FEE27EF3}"/>
            </c:ext>
          </c:extLst>
        </c:ser>
        <c:dLbls>
          <c:showLegendKey val="0"/>
          <c:showVal val="0"/>
          <c:showCatName val="0"/>
          <c:showSerName val="0"/>
          <c:showPercent val="0"/>
          <c:showBubbleSize val="0"/>
        </c:dLbls>
        <c:axId val="583580288"/>
        <c:axId val="583590272"/>
      </c:scatterChart>
      <c:valAx>
        <c:axId val="583580288"/>
        <c:scaling>
          <c:orientation val="minMax"/>
        </c:scaling>
        <c:delete val="0"/>
        <c:axPos val="b"/>
        <c:majorGridlines>
          <c:spPr>
            <a:ln w="3175">
              <a:noFill/>
              <a:prstDash val="solid"/>
            </a:ln>
          </c:spPr>
        </c:majorGridlines>
        <c:numFmt formatCode="0_ " sourceLinked="0"/>
        <c:majorTickMark val="in"/>
        <c:minorTickMark val="none"/>
        <c:tickLblPos val="nextTo"/>
        <c:spPr>
          <a:ln w="3175">
            <a:solidFill>
              <a:schemeClr val="bg1">
                <a:lumMod val="75000"/>
              </a:schemeClr>
            </a:solidFill>
            <a:prstDash val="solid"/>
          </a:ln>
        </c:spPr>
        <c:txPr>
          <a:bodyPr rot="0" vert="horz"/>
          <a:lstStyle/>
          <a:p>
            <a:pPr>
              <a:defRPr lang="ja-JP" sz="800">
                <a:solidFill>
                  <a:srgbClr val="FFFFFF"/>
                </a:solidFill>
              </a:defRPr>
            </a:pPr>
            <a:endParaRPr lang="ja-JP"/>
          </a:p>
        </c:txPr>
        <c:crossAx val="583590272"/>
        <c:crosses val="autoZero"/>
        <c:crossBetween val="midCat"/>
      </c:valAx>
      <c:valAx>
        <c:axId val="583590272"/>
        <c:scaling>
          <c:orientation val="minMax"/>
          <c:min val="0"/>
        </c:scaling>
        <c:delete val="0"/>
        <c:axPos val="l"/>
        <c:majorGridlines>
          <c:spPr>
            <a:ln w="3175">
              <a:noFill/>
              <a:prstDash val="solid"/>
            </a:ln>
          </c:spPr>
        </c:majorGridlines>
        <c:title>
          <c:tx>
            <c:rich>
              <a:bodyPr/>
              <a:lstStyle/>
              <a:p>
                <a:pPr>
                  <a:defRPr lang="ja-JP"/>
                </a:pPr>
                <a:r>
                  <a:rPr lang="en-US" sz="1000"/>
                  <a:t>IL (A)</a:t>
                </a:r>
              </a:p>
            </c:rich>
          </c:tx>
          <c:layout>
            <c:manualLayout>
              <c:xMode val="edge"/>
              <c:yMode val="edge"/>
              <c:x val="0"/>
              <c:y val="0.32130376815422307"/>
            </c:manualLayout>
          </c:layout>
          <c:overlay val="0"/>
          <c:spPr>
            <a:noFill/>
            <a:ln w="25400">
              <a:noFill/>
            </a:ln>
          </c:spPr>
        </c:title>
        <c:numFmt formatCode="0_ " sourceLinked="0"/>
        <c:majorTickMark val="in"/>
        <c:minorTickMark val="none"/>
        <c:tickLblPos val="nextTo"/>
        <c:spPr>
          <a:ln w="9525">
            <a:solidFill>
              <a:schemeClr val="bg1">
                <a:lumMod val="75000"/>
              </a:schemeClr>
            </a:solidFill>
            <a:prstDash val="solid"/>
          </a:ln>
        </c:spPr>
        <c:txPr>
          <a:bodyPr rot="0" vert="horz"/>
          <a:lstStyle/>
          <a:p>
            <a:pPr>
              <a:defRPr lang="ja-JP" sz="800">
                <a:solidFill>
                  <a:srgbClr val="000000"/>
                </a:solidFill>
              </a:defRPr>
            </a:pPr>
            <a:endParaRPr lang="ja-JP"/>
          </a:p>
        </c:txPr>
        <c:crossAx val="583580288"/>
        <c:crosses val="autoZero"/>
        <c:crossBetween val="midCat"/>
      </c:valAx>
      <c:spPr>
        <a:solidFill>
          <a:schemeClr val="bg1"/>
        </a:solidFill>
        <a:ln w="6350">
          <a:solidFill>
            <a:schemeClr val="bg1">
              <a:lumMod val="75000"/>
            </a:schemeClr>
          </a:solidFill>
          <a:prstDash val="solid"/>
        </a:ln>
      </c:spPr>
    </c:plotArea>
    <c:plotVisOnly val="1"/>
    <c:dispBlanksAs val="gap"/>
    <c:showDLblsOverMax val="0"/>
  </c:chart>
  <c:spPr>
    <a:solidFill>
      <a:srgbClr val="FFFFFF"/>
    </a:solidFill>
    <a:ln w="3175">
      <a:noFill/>
      <a:prstDash val="solid"/>
    </a:ln>
  </c:spPr>
  <c:txPr>
    <a:bodyPr/>
    <a:lstStyle/>
    <a:p>
      <a:pPr>
        <a:defRPr sz="1100" b="0" i="0" u="none" strike="noStrike" baseline="0">
          <a:solidFill>
            <a:srgbClr val="000000"/>
          </a:solidFill>
          <a:latin typeface="Segoe UI" panose="020B0502040204020203" pitchFamily="34" charset="0"/>
          <a:ea typeface="ＭＳ Ｐゴシック"/>
          <a:cs typeface="Segoe UI" panose="020B0502040204020203" pitchFamily="34" charset="0"/>
        </a:defRPr>
      </a:pPr>
      <a:endParaRPr lang="ja-JP"/>
    </a:p>
  </c:txPr>
  <c:printSettings>
    <c:headerFooter alignWithMargins="0"/>
    <c:pageMargins b="0.98399999999999999" l="0.78700000000000003" r="0.78700000000000003" t="0.98399999999999999" header="0.51200000000000001" footer="0.51200000000000001"/>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6322430849989912"/>
          <c:y val="5.5145779970274797E-2"/>
          <c:w val="0.53214844538663442"/>
          <c:h val="0.39589741702847892"/>
        </c:manualLayout>
      </c:layout>
      <c:scatterChart>
        <c:scatterStyle val="smoothMarker"/>
        <c:varyColors val="0"/>
        <c:ser>
          <c:idx val="1"/>
          <c:order val="0"/>
          <c:tx>
            <c:strRef>
              <c:f>Wav!$Q$2</c:f>
              <c:strCache>
                <c:ptCount val="1"/>
                <c:pt idx="0">
                  <c:v>Vin</c:v>
                </c:pt>
              </c:strCache>
            </c:strRef>
          </c:tx>
          <c:spPr>
            <a:ln>
              <a:solidFill>
                <a:sysClr val="windowText" lastClr="000000"/>
              </a:solidFill>
            </a:ln>
          </c:spPr>
          <c:marker>
            <c:symbol val="none"/>
          </c:marker>
          <c:xVal>
            <c:numRef>
              <c:f>Wav!$P$3:$P$4</c:f>
              <c:numCache>
                <c:formatCode>0.0_ </c:formatCode>
                <c:ptCount val="2"/>
                <c:pt idx="0">
                  <c:v>0</c:v>
                </c:pt>
                <c:pt idx="1">
                  <c:v>1</c:v>
                </c:pt>
              </c:numCache>
            </c:numRef>
          </c:xVal>
          <c:yVal>
            <c:numRef>
              <c:f>Wav!$Q$3:$Q$4</c:f>
              <c:numCache>
                <c:formatCode>0.0_ </c:formatCode>
                <c:ptCount val="2"/>
                <c:pt idx="0">
                  <c:v>12</c:v>
                </c:pt>
                <c:pt idx="1">
                  <c:v>12</c:v>
                </c:pt>
              </c:numCache>
            </c:numRef>
          </c:yVal>
          <c:smooth val="1"/>
          <c:extLst>
            <c:ext xmlns:c16="http://schemas.microsoft.com/office/drawing/2014/chart" uri="{C3380CC4-5D6E-409C-BE32-E72D297353CC}">
              <c16:uniqueId val="{00000002-A640-41EA-9B34-531D4F829A79}"/>
            </c:ext>
          </c:extLst>
        </c:ser>
        <c:ser>
          <c:idx val="0"/>
          <c:order val="1"/>
          <c:tx>
            <c:strRef>
              <c:f>Wav!$Q$6</c:f>
              <c:strCache>
                <c:ptCount val="1"/>
                <c:pt idx="0">
                  <c:v>Vout</c:v>
                </c:pt>
              </c:strCache>
            </c:strRef>
          </c:tx>
          <c:spPr>
            <a:ln w="12700" cap="rnd">
              <a:solidFill>
                <a:sysClr val="windowText" lastClr="000000"/>
              </a:solidFill>
              <a:round/>
            </a:ln>
            <a:effectLst/>
          </c:spPr>
          <c:marker>
            <c:symbol val="none"/>
          </c:marker>
          <c:xVal>
            <c:numRef>
              <c:f>Wav!$P$7:$P$8</c:f>
              <c:numCache>
                <c:formatCode>0.0_ </c:formatCode>
                <c:ptCount val="2"/>
                <c:pt idx="0">
                  <c:v>0</c:v>
                </c:pt>
                <c:pt idx="1">
                  <c:v>1</c:v>
                </c:pt>
              </c:numCache>
            </c:numRef>
          </c:xVal>
          <c:yVal>
            <c:numRef>
              <c:f>Wav!$Q$7:$Q$8</c:f>
              <c:numCache>
                <c:formatCode>0.0_ </c:formatCode>
                <c:ptCount val="2"/>
                <c:pt idx="0">
                  <c:v>5</c:v>
                </c:pt>
                <c:pt idx="1">
                  <c:v>5</c:v>
                </c:pt>
              </c:numCache>
            </c:numRef>
          </c:yVal>
          <c:smooth val="1"/>
          <c:extLst>
            <c:ext xmlns:c16="http://schemas.microsoft.com/office/drawing/2014/chart" uri="{C3380CC4-5D6E-409C-BE32-E72D297353CC}">
              <c16:uniqueId val="{00000001-A640-41EA-9B34-531D4F829A79}"/>
            </c:ext>
          </c:extLst>
        </c:ser>
        <c:dLbls>
          <c:showLegendKey val="0"/>
          <c:showVal val="0"/>
          <c:showCatName val="0"/>
          <c:showSerName val="0"/>
          <c:showPercent val="0"/>
          <c:showBubbleSize val="0"/>
        </c:dLbls>
        <c:axId val="2018668847"/>
        <c:axId val="2018668015"/>
      </c:scatterChart>
      <c:valAx>
        <c:axId val="2018668847"/>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alpha val="0"/>
                  </a:schemeClr>
                </a:solidFill>
                <a:latin typeface="Segoe UI" panose="020B0502040204020203" pitchFamily="34" charset="0"/>
                <a:ea typeface="+mn-ea"/>
                <a:cs typeface="Segoe UI" panose="020B0502040204020203" pitchFamily="34" charset="0"/>
              </a:defRPr>
            </a:pPr>
            <a:endParaRPr lang="ja-JP"/>
          </a:p>
        </c:txPr>
        <c:crossAx val="2018668015"/>
        <c:crossesAt val="5"/>
        <c:crossBetween val="midCat"/>
      </c:valAx>
      <c:valAx>
        <c:axId val="20186680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8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r>
                  <a:rPr lang="en-US" sz="800"/>
                  <a:t>V</a:t>
                </a:r>
                <a:endParaRPr lang="ja-JP" sz="800"/>
              </a:p>
            </c:rich>
          </c:tx>
          <c:layout>
            <c:manualLayout>
              <c:xMode val="edge"/>
              <c:yMode val="edge"/>
              <c:x val="6.4092469210579442E-2"/>
              <c:y val="0.37734442073245517"/>
            </c:manualLayout>
          </c:layout>
          <c:overlay val="0"/>
          <c:spPr>
            <a:noFill/>
            <a:ln>
              <a:noFill/>
            </a:ln>
            <a:effectLst/>
          </c:spPr>
        </c:title>
        <c:numFmt formatCode="0.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ja-JP"/>
          </a:p>
        </c:txPr>
        <c:crossAx val="2018668847"/>
        <c:crosses val="autoZero"/>
        <c:crossBetween val="midCat"/>
      </c:valAx>
    </c:plotArea>
    <c:legend>
      <c:legendPos val="b"/>
      <c:layout>
        <c:manualLayout>
          <c:xMode val="edge"/>
          <c:yMode val="edge"/>
          <c:x val="9.8990510801534426E-2"/>
          <c:y val="0.71702602595236342"/>
          <c:w val="0.80201897839693115"/>
          <c:h val="0.18951603012240292"/>
        </c:manualLayout>
      </c:layout>
      <c:overlay val="0"/>
      <c:txPr>
        <a:bodyPr/>
        <a:lstStyle/>
        <a:p>
          <a:pPr>
            <a:defRPr lang="ja-JP"/>
          </a:pPr>
          <a:endParaRPr lang="de-DE"/>
        </a:p>
      </c:txPr>
    </c:legend>
    <c:plotVisOnly val="1"/>
    <c:dispBlanksAs val="gap"/>
    <c:showDLblsOverMax val="0"/>
    <c:extLst/>
  </c:chart>
  <c:spPr>
    <a:solidFill>
      <a:schemeClr val="bg1"/>
    </a:solidFill>
    <a:ln w="9525" cap="flat" cmpd="sng" algn="ctr">
      <a:noFill/>
      <a:round/>
    </a:ln>
    <a:effectLst/>
  </c:spPr>
  <c:txPr>
    <a:bodyPr/>
    <a:lstStyle/>
    <a:p>
      <a:pPr>
        <a:defRPr>
          <a:latin typeface="Segoe UI" panose="020B0502040204020203" pitchFamily="34" charset="0"/>
          <a:cs typeface="Segoe UI" panose="020B0502040204020203" pitchFamily="34" charset="0"/>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5771381254786699"/>
          <c:y val="6.5656727570449561E-2"/>
          <c:w val="0.53752375988920653"/>
          <c:h val="0.87121426968481164"/>
        </c:manualLayout>
      </c:layout>
      <c:scatterChart>
        <c:scatterStyle val="lineMarker"/>
        <c:varyColors val="0"/>
        <c:ser>
          <c:idx val="2"/>
          <c:order val="0"/>
          <c:tx>
            <c:strRef>
              <c:f>Wav!$N$1</c:f>
              <c:strCache>
                <c:ptCount val="1"/>
                <c:pt idx="0">
                  <c:v>ﾘﾌﾟﾙ電流</c:v>
                </c:pt>
              </c:strCache>
            </c:strRef>
          </c:tx>
          <c:spPr>
            <a:ln w="12700">
              <a:solidFill>
                <a:schemeClr val="tx1"/>
              </a:solidFill>
            </a:ln>
          </c:spPr>
          <c:marker>
            <c:symbol val="diamond"/>
            <c:size val="3"/>
            <c:spPr>
              <a:noFill/>
              <a:ln>
                <a:noFill/>
                <a:prstDash val="solid"/>
              </a:ln>
            </c:spPr>
          </c:marker>
          <c:xVal>
            <c:numRef>
              <c:f>Wav!$M$3:$M$404</c:f>
              <c:numCache>
                <c:formatCode>0.000_ </c:formatCode>
                <c:ptCount val="402"/>
                <c:pt idx="0">
                  <c:v>0</c:v>
                </c:pt>
                <c:pt idx="1">
                  <c:v>2.0833333333333333E-3</c:v>
                </c:pt>
                <c:pt idx="2">
                  <c:v>4.1666666666666666E-3</c:v>
                </c:pt>
                <c:pt idx="3">
                  <c:v>6.2500000000000003E-3</c:v>
                </c:pt>
                <c:pt idx="4">
                  <c:v>8.3333333333333332E-3</c:v>
                </c:pt>
                <c:pt idx="5">
                  <c:v>1.0416666666666666E-2</c:v>
                </c:pt>
                <c:pt idx="6">
                  <c:v>1.2499999999999999E-2</c:v>
                </c:pt>
                <c:pt idx="7">
                  <c:v>1.4583333333333332E-2</c:v>
                </c:pt>
                <c:pt idx="8">
                  <c:v>1.6666666666666666E-2</c:v>
                </c:pt>
                <c:pt idx="9">
                  <c:v>1.8749999999999999E-2</c:v>
                </c:pt>
                <c:pt idx="10">
                  <c:v>2.0833333333333332E-2</c:v>
                </c:pt>
                <c:pt idx="11">
                  <c:v>2.2916666666666665E-2</c:v>
                </c:pt>
                <c:pt idx="12">
                  <c:v>2.4999999999999998E-2</c:v>
                </c:pt>
                <c:pt idx="13">
                  <c:v>2.7083333333333331E-2</c:v>
                </c:pt>
                <c:pt idx="14">
                  <c:v>2.9166666666666664E-2</c:v>
                </c:pt>
                <c:pt idx="15">
                  <c:v>3.1249999999999997E-2</c:v>
                </c:pt>
                <c:pt idx="16">
                  <c:v>3.3333333333333333E-2</c:v>
                </c:pt>
                <c:pt idx="17">
                  <c:v>3.5416666666666666E-2</c:v>
                </c:pt>
                <c:pt idx="18">
                  <c:v>3.7499999999999999E-2</c:v>
                </c:pt>
                <c:pt idx="19">
                  <c:v>3.9583333333333331E-2</c:v>
                </c:pt>
                <c:pt idx="20">
                  <c:v>4.1666666666666664E-2</c:v>
                </c:pt>
                <c:pt idx="21">
                  <c:v>4.3749999999999997E-2</c:v>
                </c:pt>
                <c:pt idx="22">
                  <c:v>4.583333333333333E-2</c:v>
                </c:pt>
                <c:pt idx="23">
                  <c:v>4.7916666666666663E-2</c:v>
                </c:pt>
                <c:pt idx="24">
                  <c:v>4.9999999999999996E-2</c:v>
                </c:pt>
                <c:pt idx="25">
                  <c:v>5.2083333333333329E-2</c:v>
                </c:pt>
                <c:pt idx="26">
                  <c:v>5.4166666666666662E-2</c:v>
                </c:pt>
                <c:pt idx="27">
                  <c:v>5.6249999999999994E-2</c:v>
                </c:pt>
                <c:pt idx="28">
                  <c:v>5.8333333333333327E-2</c:v>
                </c:pt>
                <c:pt idx="29">
                  <c:v>6.041666666666666E-2</c:v>
                </c:pt>
                <c:pt idx="30">
                  <c:v>6.2499999999999993E-2</c:v>
                </c:pt>
                <c:pt idx="31">
                  <c:v>6.4583333333333326E-2</c:v>
                </c:pt>
                <c:pt idx="32">
                  <c:v>6.6666666666666666E-2</c:v>
                </c:pt>
                <c:pt idx="33">
                  <c:v>6.8750000000000006E-2</c:v>
                </c:pt>
                <c:pt idx="34">
                  <c:v>7.0833333333333345E-2</c:v>
                </c:pt>
                <c:pt idx="35">
                  <c:v>7.2916666666666685E-2</c:v>
                </c:pt>
                <c:pt idx="36">
                  <c:v>7.5000000000000025E-2</c:v>
                </c:pt>
                <c:pt idx="37">
                  <c:v>7.7083333333333365E-2</c:v>
                </c:pt>
                <c:pt idx="38">
                  <c:v>7.9166666666666705E-2</c:v>
                </c:pt>
                <c:pt idx="39">
                  <c:v>8.1250000000000044E-2</c:v>
                </c:pt>
                <c:pt idx="40">
                  <c:v>8.3333333333333384E-2</c:v>
                </c:pt>
                <c:pt idx="41">
                  <c:v>8.5416666666666724E-2</c:v>
                </c:pt>
                <c:pt idx="42">
                  <c:v>8.7500000000000064E-2</c:v>
                </c:pt>
                <c:pt idx="43">
                  <c:v>8.9583333333333404E-2</c:v>
                </c:pt>
                <c:pt idx="44">
                  <c:v>9.1666666666666743E-2</c:v>
                </c:pt>
                <c:pt idx="45">
                  <c:v>9.3750000000000083E-2</c:v>
                </c:pt>
                <c:pt idx="46">
                  <c:v>9.5833333333333423E-2</c:v>
                </c:pt>
                <c:pt idx="47">
                  <c:v>9.7916666666666763E-2</c:v>
                </c:pt>
                <c:pt idx="48">
                  <c:v>0.1000000000000001</c:v>
                </c:pt>
                <c:pt idx="49">
                  <c:v>0.10208333333333344</c:v>
                </c:pt>
                <c:pt idx="50">
                  <c:v>0.10416666666666678</c:v>
                </c:pt>
                <c:pt idx="51">
                  <c:v>0.10625000000000012</c:v>
                </c:pt>
                <c:pt idx="52">
                  <c:v>0.10833333333333346</c:v>
                </c:pt>
                <c:pt idx="53">
                  <c:v>0.1104166666666668</c:v>
                </c:pt>
                <c:pt idx="54">
                  <c:v>0.11250000000000014</c:v>
                </c:pt>
                <c:pt idx="55">
                  <c:v>0.11458333333333348</c:v>
                </c:pt>
                <c:pt idx="56">
                  <c:v>0.11666666666666682</c:v>
                </c:pt>
                <c:pt idx="57">
                  <c:v>0.11875000000000016</c:v>
                </c:pt>
                <c:pt idx="58">
                  <c:v>0.1208333333333335</c:v>
                </c:pt>
                <c:pt idx="59">
                  <c:v>0.12291666666666684</c:v>
                </c:pt>
                <c:pt idx="60">
                  <c:v>0.12500000000000017</c:v>
                </c:pt>
                <c:pt idx="61">
                  <c:v>0.12708333333333349</c:v>
                </c:pt>
                <c:pt idx="62">
                  <c:v>0.12916666666666682</c:v>
                </c:pt>
                <c:pt idx="63">
                  <c:v>0.13125000000000014</c:v>
                </c:pt>
                <c:pt idx="64">
                  <c:v>0.13333333333333347</c:v>
                </c:pt>
                <c:pt idx="65">
                  <c:v>0.1354166666666668</c:v>
                </c:pt>
                <c:pt idx="66">
                  <c:v>0.13750000000000012</c:v>
                </c:pt>
                <c:pt idx="67">
                  <c:v>0.13958333333333345</c:v>
                </c:pt>
                <c:pt idx="68">
                  <c:v>0.14166666666666677</c:v>
                </c:pt>
                <c:pt idx="69">
                  <c:v>0.1437500000000001</c:v>
                </c:pt>
                <c:pt idx="70">
                  <c:v>0.14583333333333343</c:v>
                </c:pt>
                <c:pt idx="71">
                  <c:v>0.14791666666666675</c:v>
                </c:pt>
                <c:pt idx="72">
                  <c:v>0.15000000000000008</c:v>
                </c:pt>
                <c:pt idx="73">
                  <c:v>0.1520833333333334</c:v>
                </c:pt>
                <c:pt idx="74">
                  <c:v>0.15416666666666673</c:v>
                </c:pt>
                <c:pt idx="75">
                  <c:v>0.15625000000000006</c:v>
                </c:pt>
                <c:pt idx="76">
                  <c:v>0.15833333333333338</c:v>
                </c:pt>
                <c:pt idx="77">
                  <c:v>0.16041666666666671</c:v>
                </c:pt>
                <c:pt idx="78">
                  <c:v>0.16250000000000003</c:v>
                </c:pt>
                <c:pt idx="79">
                  <c:v>0.16458333333333336</c:v>
                </c:pt>
                <c:pt idx="80">
                  <c:v>0.16666666666666669</c:v>
                </c:pt>
                <c:pt idx="81">
                  <c:v>0.16875000000000001</c:v>
                </c:pt>
                <c:pt idx="82">
                  <c:v>0.17083333333333334</c:v>
                </c:pt>
                <c:pt idx="83">
                  <c:v>0.17291666666666666</c:v>
                </c:pt>
                <c:pt idx="84">
                  <c:v>0.17499999999999999</c:v>
                </c:pt>
                <c:pt idx="85">
                  <c:v>0.17708333333333331</c:v>
                </c:pt>
                <c:pt idx="86">
                  <c:v>0.17916666666666664</c:v>
                </c:pt>
                <c:pt idx="87">
                  <c:v>0.18124999999999997</c:v>
                </c:pt>
                <c:pt idx="88">
                  <c:v>0.18333333333333329</c:v>
                </c:pt>
                <c:pt idx="89">
                  <c:v>0.18541666666666662</c:v>
                </c:pt>
                <c:pt idx="90">
                  <c:v>0.18749999999999994</c:v>
                </c:pt>
                <c:pt idx="91">
                  <c:v>0.18958333333333327</c:v>
                </c:pt>
                <c:pt idx="92">
                  <c:v>0.1916666666666666</c:v>
                </c:pt>
                <c:pt idx="93">
                  <c:v>0.19374999999999992</c:v>
                </c:pt>
                <c:pt idx="94">
                  <c:v>0.19583333333333325</c:v>
                </c:pt>
                <c:pt idx="95">
                  <c:v>0.19791666666666657</c:v>
                </c:pt>
                <c:pt idx="96">
                  <c:v>0.1999999999999999</c:v>
                </c:pt>
                <c:pt idx="97">
                  <c:v>0.20208333333333323</c:v>
                </c:pt>
                <c:pt idx="98">
                  <c:v>0.20416666666666655</c:v>
                </c:pt>
                <c:pt idx="99">
                  <c:v>0.20624999999999988</c:v>
                </c:pt>
                <c:pt idx="100">
                  <c:v>0.2083333333333332</c:v>
                </c:pt>
                <c:pt idx="101">
                  <c:v>0.21124999999999988</c:v>
                </c:pt>
                <c:pt idx="102">
                  <c:v>0.21416666666666656</c:v>
                </c:pt>
                <c:pt idx="103">
                  <c:v>0.21708333333333324</c:v>
                </c:pt>
                <c:pt idx="104">
                  <c:v>0.21999999999999992</c:v>
                </c:pt>
                <c:pt idx="105">
                  <c:v>0.2229166666666666</c:v>
                </c:pt>
                <c:pt idx="106">
                  <c:v>0.22583333333333327</c:v>
                </c:pt>
                <c:pt idx="107">
                  <c:v>0.22874999999999995</c:v>
                </c:pt>
                <c:pt idx="108">
                  <c:v>0.23166666666666663</c:v>
                </c:pt>
                <c:pt idx="109">
                  <c:v>0.23458333333333331</c:v>
                </c:pt>
                <c:pt idx="110">
                  <c:v>0.23749999999999999</c:v>
                </c:pt>
                <c:pt idx="111">
                  <c:v>0.24041666666666667</c:v>
                </c:pt>
                <c:pt idx="112">
                  <c:v>0.24333333333333335</c:v>
                </c:pt>
                <c:pt idx="113">
                  <c:v>0.24625000000000002</c:v>
                </c:pt>
                <c:pt idx="114">
                  <c:v>0.2491666666666667</c:v>
                </c:pt>
                <c:pt idx="115">
                  <c:v>0.25208333333333338</c:v>
                </c:pt>
                <c:pt idx="116">
                  <c:v>0.25500000000000006</c:v>
                </c:pt>
                <c:pt idx="117">
                  <c:v>0.25791666666666674</c:v>
                </c:pt>
                <c:pt idx="118">
                  <c:v>0.26083333333333342</c:v>
                </c:pt>
                <c:pt idx="119">
                  <c:v>0.2637500000000001</c:v>
                </c:pt>
                <c:pt idx="120">
                  <c:v>0.26666666666666677</c:v>
                </c:pt>
                <c:pt idx="121">
                  <c:v>0.26958333333333345</c:v>
                </c:pt>
                <c:pt idx="122">
                  <c:v>0.27250000000000013</c:v>
                </c:pt>
                <c:pt idx="123">
                  <c:v>0.27541666666666681</c:v>
                </c:pt>
                <c:pt idx="124">
                  <c:v>0.27833333333333349</c:v>
                </c:pt>
                <c:pt idx="125">
                  <c:v>0.28125000000000017</c:v>
                </c:pt>
                <c:pt idx="126">
                  <c:v>0.28416666666666685</c:v>
                </c:pt>
                <c:pt idx="127">
                  <c:v>0.28708333333333352</c:v>
                </c:pt>
                <c:pt idx="128">
                  <c:v>0.2900000000000002</c:v>
                </c:pt>
                <c:pt idx="129">
                  <c:v>0.29291666666666688</c:v>
                </c:pt>
                <c:pt idx="130">
                  <c:v>0.29583333333333356</c:v>
                </c:pt>
                <c:pt idx="131">
                  <c:v>0.29875000000000024</c:v>
                </c:pt>
                <c:pt idx="132">
                  <c:v>0.30166666666666692</c:v>
                </c:pt>
                <c:pt idx="133">
                  <c:v>0.30458333333333359</c:v>
                </c:pt>
                <c:pt idx="134">
                  <c:v>0.30750000000000027</c:v>
                </c:pt>
                <c:pt idx="135">
                  <c:v>0.31041666666666695</c:v>
                </c:pt>
                <c:pt idx="136">
                  <c:v>0.31333333333333363</c:v>
                </c:pt>
                <c:pt idx="137">
                  <c:v>0.31625000000000031</c:v>
                </c:pt>
                <c:pt idx="138">
                  <c:v>0.31916666666666699</c:v>
                </c:pt>
                <c:pt idx="139">
                  <c:v>0.32208333333333367</c:v>
                </c:pt>
                <c:pt idx="140">
                  <c:v>0.32500000000000034</c:v>
                </c:pt>
                <c:pt idx="141">
                  <c:v>0.32791666666666702</c:v>
                </c:pt>
                <c:pt idx="142">
                  <c:v>0.3308333333333337</c:v>
                </c:pt>
                <c:pt idx="143">
                  <c:v>0.33375000000000038</c:v>
                </c:pt>
                <c:pt idx="144">
                  <c:v>0.33666666666666706</c:v>
                </c:pt>
                <c:pt idx="145">
                  <c:v>0.33958333333333374</c:v>
                </c:pt>
                <c:pt idx="146">
                  <c:v>0.34250000000000042</c:v>
                </c:pt>
                <c:pt idx="147">
                  <c:v>0.34541666666666709</c:v>
                </c:pt>
                <c:pt idx="148">
                  <c:v>0.34833333333333377</c:v>
                </c:pt>
                <c:pt idx="149">
                  <c:v>0.35125000000000045</c:v>
                </c:pt>
                <c:pt idx="150">
                  <c:v>0.35416666666666713</c:v>
                </c:pt>
                <c:pt idx="151">
                  <c:v>0.35708333333333381</c:v>
                </c:pt>
                <c:pt idx="152">
                  <c:v>0.36000000000000049</c:v>
                </c:pt>
                <c:pt idx="153">
                  <c:v>0.36291666666666716</c:v>
                </c:pt>
                <c:pt idx="154">
                  <c:v>0.36583333333333384</c:v>
                </c:pt>
                <c:pt idx="155">
                  <c:v>0.36875000000000052</c:v>
                </c:pt>
                <c:pt idx="156">
                  <c:v>0.3716666666666672</c:v>
                </c:pt>
                <c:pt idx="157">
                  <c:v>0.37458333333333388</c:v>
                </c:pt>
                <c:pt idx="158">
                  <c:v>0.37750000000000056</c:v>
                </c:pt>
                <c:pt idx="159">
                  <c:v>0.38041666666666724</c:v>
                </c:pt>
                <c:pt idx="160">
                  <c:v>0.38333333333333391</c:v>
                </c:pt>
                <c:pt idx="161">
                  <c:v>0.38625000000000059</c:v>
                </c:pt>
                <c:pt idx="162">
                  <c:v>0.38916666666666727</c:v>
                </c:pt>
                <c:pt idx="163">
                  <c:v>0.39208333333333395</c:v>
                </c:pt>
                <c:pt idx="164">
                  <c:v>0.39500000000000063</c:v>
                </c:pt>
                <c:pt idx="165">
                  <c:v>0.39791666666666731</c:v>
                </c:pt>
                <c:pt idx="166">
                  <c:v>0.40083333333333399</c:v>
                </c:pt>
                <c:pt idx="167">
                  <c:v>0.40375000000000066</c:v>
                </c:pt>
                <c:pt idx="168">
                  <c:v>0.40666666666666734</c:v>
                </c:pt>
                <c:pt idx="169">
                  <c:v>0.40958333333333402</c:v>
                </c:pt>
                <c:pt idx="170">
                  <c:v>0.4125000000000007</c:v>
                </c:pt>
                <c:pt idx="171">
                  <c:v>0.41541666666666738</c:v>
                </c:pt>
                <c:pt idx="172">
                  <c:v>0.41833333333333406</c:v>
                </c:pt>
                <c:pt idx="173">
                  <c:v>0.42125000000000073</c:v>
                </c:pt>
                <c:pt idx="174">
                  <c:v>0.42416666666666741</c:v>
                </c:pt>
                <c:pt idx="175">
                  <c:v>0.42708333333333409</c:v>
                </c:pt>
                <c:pt idx="176">
                  <c:v>0.43000000000000077</c:v>
                </c:pt>
                <c:pt idx="177">
                  <c:v>0.43291666666666745</c:v>
                </c:pt>
                <c:pt idx="178">
                  <c:v>0.43583333333333413</c:v>
                </c:pt>
                <c:pt idx="179">
                  <c:v>0.43875000000000081</c:v>
                </c:pt>
                <c:pt idx="180">
                  <c:v>0.44166666666666748</c:v>
                </c:pt>
                <c:pt idx="181">
                  <c:v>0.44458333333333416</c:v>
                </c:pt>
                <c:pt idx="182">
                  <c:v>0.44750000000000084</c:v>
                </c:pt>
                <c:pt idx="183">
                  <c:v>0.45041666666666752</c:v>
                </c:pt>
                <c:pt idx="184">
                  <c:v>0.4533333333333342</c:v>
                </c:pt>
                <c:pt idx="185">
                  <c:v>0.45625000000000088</c:v>
                </c:pt>
                <c:pt idx="186">
                  <c:v>0.45916666666666756</c:v>
                </c:pt>
                <c:pt idx="187">
                  <c:v>0.46208333333333423</c:v>
                </c:pt>
                <c:pt idx="188">
                  <c:v>0.46500000000000091</c:v>
                </c:pt>
                <c:pt idx="189">
                  <c:v>0.46791666666666759</c:v>
                </c:pt>
                <c:pt idx="190">
                  <c:v>0.47083333333333427</c:v>
                </c:pt>
                <c:pt idx="191">
                  <c:v>0.47375000000000095</c:v>
                </c:pt>
                <c:pt idx="192">
                  <c:v>0.47666666666666763</c:v>
                </c:pt>
                <c:pt idx="193">
                  <c:v>0.47958333333333431</c:v>
                </c:pt>
                <c:pt idx="194">
                  <c:v>0.48250000000000098</c:v>
                </c:pt>
                <c:pt idx="195">
                  <c:v>0.48541666666666766</c:v>
                </c:pt>
                <c:pt idx="196">
                  <c:v>0.48833333333333434</c:v>
                </c:pt>
                <c:pt idx="197">
                  <c:v>0.49125000000000102</c:v>
                </c:pt>
                <c:pt idx="198">
                  <c:v>0.4941666666666677</c:v>
                </c:pt>
                <c:pt idx="199">
                  <c:v>0.49708333333333438</c:v>
                </c:pt>
                <c:pt idx="200">
                  <c:v>0.500000000000001</c:v>
                </c:pt>
                <c:pt idx="201">
                  <c:v>0.50208333333333333</c:v>
                </c:pt>
                <c:pt idx="202">
                  <c:v>0.50416666666666665</c:v>
                </c:pt>
                <c:pt idx="203">
                  <c:v>0.50624999999999998</c:v>
                </c:pt>
                <c:pt idx="204">
                  <c:v>0.5083333333333333</c:v>
                </c:pt>
                <c:pt idx="205">
                  <c:v>0.51041666666666663</c:v>
                </c:pt>
                <c:pt idx="206">
                  <c:v>0.51249999999999996</c:v>
                </c:pt>
                <c:pt idx="207">
                  <c:v>0.51458333333333328</c:v>
                </c:pt>
                <c:pt idx="208">
                  <c:v>0.51666666666666672</c:v>
                </c:pt>
                <c:pt idx="209">
                  <c:v>0.51875000000000004</c:v>
                </c:pt>
                <c:pt idx="210">
                  <c:v>0.52083333333333337</c:v>
                </c:pt>
                <c:pt idx="211">
                  <c:v>0.5229166666666667</c:v>
                </c:pt>
                <c:pt idx="212">
                  <c:v>0.52500000000000002</c:v>
                </c:pt>
                <c:pt idx="213">
                  <c:v>0.52708333333333335</c:v>
                </c:pt>
                <c:pt idx="214">
                  <c:v>0.52916666666666667</c:v>
                </c:pt>
                <c:pt idx="215">
                  <c:v>0.53125</c:v>
                </c:pt>
                <c:pt idx="216">
                  <c:v>0.53333333333333333</c:v>
                </c:pt>
                <c:pt idx="217">
                  <c:v>0.53541666666666665</c:v>
                </c:pt>
                <c:pt idx="218">
                  <c:v>0.53749999999999998</c:v>
                </c:pt>
                <c:pt idx="219">
                  <c:v>0.5395833333333333</c:v>
                </c:pt>
                <c:pt idx="220">
                  <c:v>0.54166666666666663</c:v>
                </c:pt>
                <c:pt idx="221">
                  <c:v>0.54374999999999996</c:v>
                </c:pt>
                <c:pt idx="222">
                  <c:v>0.54583333333333328</c:v>
                </c:pt>
                <c:pt idx="223">
                  <c:v>0.54791666666666661</c:v>
                </c:pt>
                <c:pt idx="224">
                  <c:v>0.55000000000000004</c:v>
                </c:pt>
                <c:pt idx="225">
                  <c:v>0.55208333333333337</c:v>
                </c:pt>
                <c:pt idx="226">
                  <c:v>0.5541666666666667</c:v>
                </c:pt>
                <c:pt idx="227">
                  <c:v>0.55625000000000002</c:v>
                </c:pt>
                <c:pt idx="228">
                  <c:v>0.55833333333333335</c:v>
                </c:pt>
                <c:pt idx="229">
                  <c:v>0.56041666666666667</c:v>
                </c:pt>
                <c:pt idx="230">
                  <c:v>0.5625</c:v>
                </c:pt>
                <c:pt idx="231">
                  <c:v>0.56458333333333333</c:v>
                </c:pt>
                <c:pt idx="232">
                  <c:v>0.56666666666666665</c:v>
                </c:pt>
                <c:pt idx="233">
                  <c:v>0.56874999999999998</c:v>
                </c:pt>
                <c:pt idx="234">
                  <c:v>0.5708333333333333</c:v>
                </c:pt>
                <c:pt idx="235">
                  <c:v>0.57291666666666674</c:v>
                </c:pt>
                <c:pt idx="236">
                  <c:v>0.57500000000000007</c:v>
                </c:pt>
                <c:pt idx="237">
                  <c:v>0.57708333333333339</c:v>
                </c:pt>
                <c:pt idx="238">
                  <c:v>0.57916666666666672</c:v>
                </c:pt>
                <c:pt idx="239">
                  <c:v>0.58125000000000004</c:v>
                </c:pt>
                <c:pt idx="240">
                  <c:v>0.58333333333333337</c:v>
                </c:pt>
                <c:pt idx="241">
                  <c:v>0.5854166666666667</c:v>
                </c:pt>
                <c:pt idx="242">
                  <c:v>0.58750000000000002</c:v>
                </c:pt>
                <c:pt idx="243">
                  <c:v>0.58958333333333335</c:v>
                </c:pt>
                <c:pt idx="244">
                  <c:v>0.59166666666666679</c:v>
                </c:pt>
                <c:pt idx="245">
                  <c:v>0.59375000000000011</c:v>
                </c:pt>
                <c:pt idx="246">
                  <c:v>0.59583333333333344</c:v>
                </c:pt>
                <c:pt idx="247">
                  <c:v>0.59791666666666676</c:v>
                </c:pt>
                <c:pt idx="248">
                  <c:v>0.60000000000000009</c:v>
                </c:pt>
                <c:pt idx="249">
                  <c:v>0.60208333333333341</c:v>
                </c:pt>
                <c:pt idx="250">
                  <c:v>0.60416666666666674</c:v>
                </c:pt>
                <c:pt idx="251">
                  <c:v>0.60625000000000018</c:v>
                </c:pt>
                <c:pt idx="252">
                  <c:v>0.6083333333333335</c:v>
                </c:pt>
                <c:pt idx="253">
                  <c:v>0.61041666666666683</c:v>
                </c:pt>
                <c:pt idx="254">
                  <c:v>0.61250000000000016</c:v>
                </c:pt>
                <c:pt idx="255">
                  <c:v>0.61458333333333348</c:v>
                </c:pt>
                <c:pt idx="256">
                  <c:v>0.61666666666666681</c:v>
                </c:pt>
                <c:pt idx="257">
                  <c:v>0.61875000000000013</c:v>
                </c:pt>
                <c:pt idx="258">
                  <c:v>0.62083333333333346</c:v>
                </c:pt>
                <c:pt idx="259">
                  <c:v>0.62291666666666679</c:v>
                </c:pt>
                <c:pt idx="260">
                  <c:v>0.62500000000000022</c:v>
                </c:pt>
                <c:pt idx="261">
                  <c:v>0.62708333333333344</c:v>
                </c:pt>
                <c:pt idx="262">
                  <c:v>0.62916666666666687</c:v>
                </c:pt>
                <c:pt idx="263">
                  <c:v>0.63125000000000009</c:v>
                </c:pt>
                <c:pt idx="264">
                  <c:v>0.63333333333333353</c:v>
                </c:pt>
                <c:pt idx="265">
                  <c:v>0.63541666666666674</c:v>
                </c:pt>
                <c:pt idx="266">
                  <c:v>0.63750000000000018</c:v>
                </c:pt>
                <c:pt idx="267">
                  <c:v>0.63958333333333339</c:v>
                </c:pt>
                <c:pt idx="268">
                  <c:v>0.64166666666666683</c:v>
                </c:pt>
                <c:pt idx="269">
                  <c:v>0.64375000000000004</c:v>
                </c:pt>
                <c:pt idx="270">
                  <c:v>0.64583333333333348</c:v>
                </c:pt>
                <c:pt idx="271">
                  <c:v>0.6479166666666667</c:v>
                </c:pt>
                <c:pt idx="272">
                  <c:v>0.65000000000000013</c:v>
                </c:pt>
                <c:pt idx="273">
                  <c:v>0.65208333333333335</c:v>
                </c:pt>
                <c:pt idx="274">
                  <c:v>0.65416666666666679</c:v>
                </c:pt>
                <c:pt idx="275">
                  <c:v>0.65625</c:v>
                </c:pt>
                <c:pt idx="276">
                  <c:v>0.65833333333333344</c:v>
                </c:pt>
                <c:pt idx="277">
                  <c:v>0.66041666666666665</c:v>
                </c:pt>
                <c:pt idx="278">
                  <c:v>0.66250000000000009</c:v>
                </c:pt>
                <c:pt idx="279">
                  <c:v>0.6645833333333333</c:v>
                </c:pt>
                <c:pt idx="280">
                  <c:v>0.66666666666666674</c:v>
                </c:pt>
                <c:pt idx="281">
                  <c:v>0.66874999999999996</c:v>
                </c:pt>
                <c:pt idx="282">
                  <c:v>0.67083333333333339</c:v>
                </c:pt>
                <c:pt idx="283">
                  <c:v>0.67291666666666661</c:v>
                </c:pt>
                <c:pt idx="284">
                  <c:v>0.67500000000000004</c:v>
                </c:pt>
                <c:pt idx="285">
                  <c:v>0.67708333333333326</c:v>
                </c:pt>
                <c:pt idx="286">
                  <c:v>0.6791666666666667</c:v>
                </c:pt>
                <c:pt idx="287">
                  <c:v>0.68124999999999991</c:v>
                </c:pt>
                <c:pt idx="288">
                  <c:v>0.68333333333333335</c:v>
                </c:pt>
                <c:pt idx="289">
                  <c:v>0.68541666666666656</c:v>
                </c:pt>
                <c:pt idx="290">
                  <c:v>0.6875</c:v>
                </c:pt>
                <c:pt idx="291">
                  <c:v>0.68958333333333321</c:v>
                </c:pt>
                <c:pt idx="292">
                  <c:v>0.69166666666666665</c:v>
                </c:pt>
                <c:pt idx="293">
                  <c:v>0.69374999999999987</c:v>
                </c:pt>
                <c:pt idx="294">
                  <c:v>0.6958333333333333</c:v>
                </c:pt>
                <c:pt idx="295">
                  <c:v>0.69791666666666652</c:v>
                </c:pt>
                <c:pt idx="296">
                  <c:v>0.7</c:v>
                </c:pt>
                <c:pt idx="297">
                  <c:v>0.70208333333333317</c:v>
                </c:pt>
                <c:pt idx="298">
                  <c:v>0.70416666666666661</c:v>
                </c:pt>
                <c:pt idx="299">
                  <c:v>0.70624999999999982</c:v>
                </c:pt>
                <c:pt idx="300">
                  <c:v>0.70833333333333326</c:v>
                </c:pt>
                <c:pt idx="301">
                  <c:v>0.71124999999999994</c:v>
                </c:pt>
                <c:pt idx="302">
                  <c:v>0.71416666666666662</c:v>
                </c:pt>
                <c:pt idx="303">
                  <c:v>0.71708333333333329</c:v>
                </c:pt>
                <c:pt idx="304">
                  <c:v>0.72</c:v>
                </c:pt>
                <c:pt idx="305">
                  <c:v>0.72291666666666665</c:v>
                </c:pt>
                <c:pt idx="306">
                  <c:v>0.72583333333333333</c:v>
                </c:pt>
                <c:pt idx="307">
                  <c:v>0.72875000000000001</c:v>
                </c:pt>
                <c:pt idx="308">
                  <c:v>0.73166666666666669</c:v>
                </c:pt>
                <c:pt idx="309">
                  <c:v>0.73458333333333337</c:v>
                </c:pt>
                <c:pt idx="310">
                  <c:v>0.73750000000000004</c:v>
                </c:pt>
                <c:pt idx="311">
                  <c:v>0.74041666666666672</c:v>
                </c:pt>
                <c:pt idx="312">
                  <c:v>0.7433333333333334</c:v>
                </c:pt>
                <c:pt idx="313">
                  <c:v>0.74625000000000008</c:v>
                </c:pt>
                <c:pt idx="314">
                  <c:v>0.74916666666666676</c:v>
                </c:pt>
                <c:pt idx="315">
                  <c:v>0.75208333333333344</c:v>
                </c:pt>
                <c:pt idx="316">
                  <c:v>0.75500000000000012</c:v>
                </c:pt>
                <c:pt idx="317">
                  <c:v>0.75791666666666679</c:v>
                </c:pt>
                <c:pt idx="318">
                  <c:v>0.76083333333333347</c:v>
                </c:pt>
                <c:pt idx="319">
                  <c:v>0.76375000000000015</c:v>
                </c:pt>
                <c:pt idx="320">
                  <c:v>0.76666666666666683</c:v>
                </c:pt>
                <c:pt idx="321">
                  <c:v>0.76958333333333351</c:v>
                </c:pt>
                <c:pt idx="322">
                  <c:v>0.77250000000000019</c:v>
                </c:pt>
                <c:pt idx="323">
                  <c:v>0.77541666666666687</c:v>
                </c:pt>
                <c:pt idx="324">
                  <c:v>0.77833333333333354</c:v>
                </c:pt>
                <c:pt idx="325">
                  <c:v>0.78125000000000022</c:v>
                </c:pt>
                <c:pt idx="326">
                  <c:v>0.7841666666666669</c:v>
                </c:pt>
                <c:pt idx="327">
                  <c:v>0.78708333333333358</c:v>
                </c:pt>
                <c:pt idx="328">
                  <c:v>0.79000000000000026</c:v>
                </c:pt>
                <c:pt idx="329">
                  <c:v>0.79291666666666694</c:v>
                </c:pt>
                <c:pt idx="330">
                  <c:v>0.79583333333333361</c:v>
                </c:pt>
                <c:pt idx="331">
                  <c:v>0.79875000000000029</c:v>
                </c:pt>
                <c:pt idx="332">
                  <c:v>0.80166666666666697</c:v>
                </c:pt>
                <c:pt idx="333">
                  <c:v>0.80458333333333365</c:v>
                </c:pt>
                <c:pt idx="334">
                  <c:v>0.80750000000000033</c:v>
                </c:pt>
                <c:pt idx="335">
                  <c:v>0.81041666666666701</c:v>
                </c:pt>
                <c:pt idx="336">
                  <c:v>0.81333333333333369</c:v>
                </c:pt>
                <c:pt idx="337">
                  <c:v>0.81625000000000036</c:v>
                </c:pt>
                <c:pt idx="338">
                  <c:v>0.81916666666666704</c:v>
                </c:pt>
                <c:pt idx="339">
                  <c:v>0.82208333333333372</c:v>
                </c:pt>
                <c:pt idx="340">
                  <c:v>0.8250000000000004</c:v>
                </c:pt>
                <c:pt idx="341">
                  <c:v>0.82791666666666708</c:v>
                </c:pt>
                <c:pt idx="342">
                  <c:v>0.83083333333333376</c:v>
                </c:pt>
                <c:pt idx="343">
                  <c:v>0.83375000000000044</c:v>
                </c:pt>
                <c:pt idx="344">
                  <c:v>0.83666666666666711</c:v>
                </c:pt>
                <c:pt idx="345">
                  <c:v>0.83958333333333379</c:v>
                </c:pt>
                <c:pt idx="346">
                  <c:v>0.84250000000000047</c:v>
                </c:pt>
                <c:pt idx="347">
                  <c:v>0.84541666666666715</c:v>
                </c:pt>
                <c:pt idx="348">
                  <c:v>0.84833333333333383</c:v>
                </c:pt>
                <c:pt idx="349">
                  <c:v>0.85125000000000051</c:v>
                </c:pt>
                <c:pt idx="350">
                  <c:v>0.85416666666666718</c:v>
                </c:pt>
                <c:pt idx="351">
                  <c:v>0.85708333333333386</c:v>
                </c:pt>
                <c:pt idx="352">
                  <c:v>0.86000000000000054</c:v>
                </c:pt>
                <c:pt idx="353">
                  <c:v>0.86291666666666722</c:v>
                </c:pt>
                <c:pt idx="354">
                  <c:v>0.8658333333333339</c:v>
                </c:pt>
                <c:pt idx="355">
                  <c:v>0.86875000000000058</c:v>
                </c:pt>
                <c:pt idx="356">
                  <c:v>0.87166666666666726</c:v>
                </c:pt>
                <c:pt idx="357">
                  <c:v>0.87458333333333393</c:v>
                </c:pt>
                <c:pt idx="358">
                  <c:v>0.87750000000000061</c:v>
                </c:pt>
                <c:pt idx="359">
                  <c:v>0.88041666666666729</c:v>
                </c:pt>
                <c:pt idx="360">
                  <c:v>0.88333333333333397</c:v>
                </c:pt>
                <c:pt idx="361">
                  <c:v>0.88625000000000065</c:v>
                </c:pt>
                <c:pt idx="362">
                  <c:v>0.88916666666666733</c:v>
                </c:pt>
                <c:pt idx="363">
                  <c:v>0.89208333333333401</c:v>
                </c:pt>
                <c:pt idx="364">
                  <c:v>0.89500000000000068</c:v>
                </c:pt>
                <c:pt idx="365">
                  <c:v>0.89791666666666736</c:v>
                </c:pt>
                <c:pt idx="366">
                  <c:v>0.90083333333333404</c:v>
                </c:pt>
                <c:pt idx="367">
                  <c:v>0.90375000000000072</c:v>
                </c:pt>
                <c:pt idx="368">
                  <c:v>0.9066666666666674</c:v>
                </c:pt>
                <c:pt idx="369">
                  <c:v>0.90958333333333408</c:v>
                </c:pt>
                <c:pt idx="370">
                  <c:v>0.91250000000000075</c:v>
                </c:pt>
                <c:pt idx="371">
                  <c:v>0.91541666666666743</c:v>
                </c:pt>
                <c:pt idx="372">
                  <c:v>0.91833333333333411</c:v>
                </c:pt>
                <c:pt idx="373">
                  <c:v>0.92125000000000079</c:v>
                </c:pt>
                <c:pt idx="374">
                  <c:v>0.92416666666666747</c:v>
                </c:pt>
                <c:pt idx="375">
                  <c:v>0.92708333333333415</c:v>
                </c:pt>
                <c:pt idx="376">
                  <c:v>0.93000000000000083</c:v>
                </c:pt>
                <c:pt idx="377">
                  <c:v>0.9329166666666675</c:v>
                </c:pt>
                <c:pt idx="378">
                  <c:v>0.93583333333333418</c:v>
                </c:pt>
                <c:pt idx="379">
                  <c:v>0.93875000000000086</c:v>
                </c:pt>
                <c:pt idx="380">
                  <c:v>0.94166666666666754</c:v>
                </c:pt>
                <c:pt idx="381">
                  <c:v>0.94458333333333422</c:v>
                </c:pt>
                <c:pt idx="382">
                  <c:v>0.9475000000000009</c:v>
                </c:pt>
                <c:pt idx="383">
                  <c:v>0.95041666666666758</c:v>
                </c:pt>
                <c:pt idx="384">
                  <c:v>0.95333333333333425</c:v>
                </c:pt>
                <c:pt idx="385">
                  <c:v>0.95625000000000093</c:v>
                </c:pt>
                <c:pt idx="386">
                  <c:v>0.95916666666666761</c:v>
                </c:pt>
                <c:pt idx="387">
                  <c:v>0.96208333333333429</c:v>
                </c:pt>
                <c:pt idx="388">
                  <c:v>0.96500000000000097</c:v>
                </c:pt>
                <c:pt idx="389">
                  <c:v>0.96791666666666765</c:v>
                </c:pt>
                <c:pt idx="390">
                  <c:v>0.97083333333333433</c:v>
                </c:pt>
                <c:pt idx="391">
                  <c:v>0.973750000000001</c:v>
                </c:pt>
                <c:pt idx="392">
                  <c:v>0.97666666666666768</c:v>
                </c:pt>
                <c:pt idx="393">
                  <c:v>0.97958333333333436</c:v>
                </c:pt>
                <c:pt idx="394">
                  <c:v>0.98250000000000104</c:v>
                </c:pt>
                <c:pt idx="395">
                  <c:v>0.98541666666666772</c:v>
                </c:pt>
                <c:pt idx="396">
                  <c:v>0.9883333333333344</c:v>
                </c:pt>
                <c:pt idx="397">
                  <c:v>0.99125000000000107</c:v>
                </c:pt>
                <c:pt idx="398">
                  <c:v>0.99416666666666775</c:v>
                </c:pt>
                <c:pt idx="399">
                  <c:v>0.99708333333333443</c:v>
                </c:pt>
                <c:pt idx="400">
                  <c:v>1.0000000000000009</c:v>
                </c:pt>
                <c:pt idx="401">
                  <c:v>1.0000000000000009</c:v>
                </c:pt>
              </c:numCache>
            </c:numRef>
          </c:xVal>
          <c:yVal>
            <c:numRef>
              <c:f>Wav!$N$3:$N$404</c:f>
              <c:numCache>
                <c:formatCode>0.00_ </c:formatCode>
                <c:ptCount val="402"/>
                <c:pt idx="0">
                  <c:v>-1.153846153846154</c:v>
                </c:pt>
                <c:pt idx="1">
                  <c:v>-1.130769230769231</c:v>
                </c:pt>
                <c:pt idx="2">
                  <c:v>-1.1076923076923078</c:v>
                </c:pt>
                <c:pt idx="3">
                  <c:v>-1.0846153846153848</c:v>
                </c:pt>
                <c:pt idx="4">
                  <c:v>-1.0615384615384618</c:v>
                </c:pt>
                <c:pt idx="5">
                  <c:v>-1.0384615384615385</c:v>
                </c:pt>
                <c:pt idx="6">
                  <c:v>-1.0153846153846156</c:v>
                </c:pt>
                <c:pt idx="7">
                  <c:v>-0.99230769230769245</c:v>
                </c:pt>
                <c:pt idx="8">
                  <c:v>-0.96923076923076934</c:v>
                </c:pt>
                <c:pt idx="9">
                  <c:v>-0.94615384615384623</c:v>
                </c:pt>
                <c:pt idx="10">
                  <c:v>-0.92307692307692313</c:v>
                </c:pt>
                <c:pt idx="11">
                  <c:v>-0.90000000000000013</c:v>
                </c:pt>
                <c:pt idx="12">
                  <c:v>-0.87692307692307703</c:v>
                </c:pt>
                <c:pt idx="13">
                  <c:v>-0.85384615384615392</c:v>
                </c:pt>
                <c:pt idx="14">
                  <c:v>-0.83076923076923093</c:v>
                </c:pt>
                <c:pt idx="15">
                  <c:v>-0.80769230769230782</c:v>
                </c:pt>
                <c:pt idx="16">
                  <c:v>-0.78461538461538471</c:v>
                </c:pt>
                <c:pt idx="17">
                  <c:v>-0.76153846153846161</c:v>
                </c:pt>
                <c:pt idx="18">
                  <c:v>-0.7384615384615385</c:v>
                </c:pt>
                <c:pt idx="19">
                  <c:v>-0.71538461538461551</c:v>
                </c:pt>
                <c:pt idx="20">
                  <c:v>-0.6923076923076924</c:v>
                </c:pt>
                <c:pt idx="21">
                  <c:v>-0.6692307692307693</c:v>
                </c:pt>
                <c:pt idx="22">
                  <c:v>-0.64615384615384619</c:v>
                </c:pt>
                <c:pt idx="23">
                  <c:v>-0.62307692307692319</c:v>
                </c:pt>
                <c:pt idx="24">
                  <c:v>-0.60000000000000009</c:v>
                </c:pt>
                <c:pt idx="25">
                  <c:v>-0.57692307692307698</c:v>
                </c:pt>
                <c:pt idx="26">
                  <c:v>-0.55384615384615399</c:v>
                </c:pt>
                <c:pt idx="27">
                  <c:v>-0.53076923076923088</c:v>
                </c:pt>
                <c:pt idx="28">
                  <c:v>-0.50769230769230778</c:v>
                </c:pt>
                <c:pt idx="29">
                  <c:v>-0.48461538461538467</c:v>
                </c:pt>
                <c:pt idx="30">
                  <c:v>-0.46153846153846168</c:v>
                </c:pt>
                <c:pt idx="31">
                  <c:v>-0.43846153846153857</c:v>
                </c:pt>
                <c:pt idx="32">
                  <c:v>-0.41538461538461546</c:v>
                </c:pt>
                <c:pt idx="33">
                  <c:v>-0.39230769230769225</c:v>
                </c:pt>
                <c:pt idx="34">
                  <c:v>-0.36923076923076914</c:v>
                </c:pt>
                <c:pt idx="35">
                  <c:v>-0.34615384615384592</c:v>
                </c:pt>
                <c:pt idx="36">
                  <c:v>-0.32307692307692282</c:v>
                </c:pt>
                <c:pt idx="37">
                  <c:v>-0.2999999999999996</c:v>
                </c:pt>
                <c:pt idx="38">
                  <c:v>-0.27692307692307649</c:v>
                </c:pt>
                <c:pt idx="39">
                  <c:v>-0.25384615384615339</c:v>
                </c:pt>
                <c:pt idx="40">
                  <c:v>-0.23076923076923017</c:v>
                </c:pt>
                <c:pt idx="41">
                  <c:v>-0.20769230769230707</c:v>
                </c:pt>
                <c:pt idx="42">
                  <c:v>-0.18461538461538385</c:v>
                </c:pt>
                <c:pt idx="43">
                  <c:v>-0.16153846153846074</c:v>
                </c:pt>
                <c:pt idx="44">
                  <c:v>-0.13846153846153753</c:v>
                </c:pt>
                <c:pt idx="45">
                  <c:v>-0.11538461538461453</c:v>
                </c:pt>
                <c:pt idx="46">
                  <c:v>-9.2307692307691314E-2</c:v>
                </c:pt>
                <c:pt idx="47">
                  <c:v>-6.9230769230768097E-2</c:v>
                </c:pt>
                <c:pt idx="48">
                  <c:v>-4.615384615384488E-2</c:v>
                </c:pt>
                <c:pt idx="49">
                  <c:v>-2.3076923076921885E-2</c:v>
                </c:pt>
                <c:pt idx="50">
                  <c:v>1.3322676295501878E-15</c:v>
                </c:pt>
                <c:pt idx="51">
                  <c:v>2.3076923076924549E-2</c:v>
                </c:pt>
                <c:pt idx="52">
                  <c:v>4.6153846153847544E-2</c:v>
                </c:pt>
                <c:pt idx="53">
                  <c:v>6.9230769230770761E-2</c:v>
                </c:pt>
                <c:pt idx="54">
                  <c:v>9.2307692307693978E-2</c:v>
                </c:pt>
                <c:pt idx="55">
                  <c:v>0.11538461538461697</c:v>
                </c:pt>
                <c:pt idx="56">
                  <c:v>0.13846153846154019</c:v>
                </c:pt>
                <c:pt idx="57">
                  <c:v>0.16153846153846341</c:v>
                </c:pt>
                <c:pt idx="58">
                  <c:v>0.18461538461538662</c:v>
                </c:pt>
                <c:pt idx="59">
                  <c:v>0.20769230769230962</c:v>
                </c:pt>
                <c:pt idx="60">
                  <c:v>0.23076923076923261</c:v>
                </c:pt>
                <c:pt idx="61">
                  <c:v>0.25384615384615561</c:v>
                </c:pt>
                <c:pt idx="62">
                  <c:v>0.2769230769230786</c:v>
                </c:pt>
                <c:pt idx="63">
                  <c:v>0.3000000000000016</c:v>
                </c:pt>
                <c:pt idx="64">
                  <c:v>0.32307692307692459</c:v>
                </c:pt>
                <c:pt idx="65">
                  <c:v>0.34615384615384759</c:v>
                </c:pt>
                <c:pt idx="66">
                  <c:v>0.36923076923077058</c:v>
                </c:pt>
                <c:pt idx="67">
                  <c:v>0.39230769230769358</c:v>
                </c:pt>
                <c:pt idx="68">
                  <c:v>0.41538461538461657</c:v>
                </c:pt>
                <c:pt idx="69">
                  <c:v>0.43846153846153957</c:v>
                </c:pt>
                <c:pt idx="70">
                  <c:v>0.46153846153846256</c:v>
                </c:pt>
                <c:pt idx="71">
                  <c:v>0.48461538461538556</c:v>
                </c:pt>
                <c:pt idx="72">
                  <c:v>0.50769230769230855</c:v>
                </c:pt>
                <c:pt idx="73">
                  <c:v>0.53076923076923155</c:v>
                </c:pt>
                <c:pt idx="74">
                  <c:v>0.55384615384615477</c:v>
                </c:pt>
                <c:pt idx="75">
                  <c:v>0.57692307692307776</c:v>
                </c:pt>
                <c:pt idx="76">
                  <c:v>0.60000000000000075</c:v>
                </c:pt>
                <c:pt idx="77">
                  <c:v>0.62307692307692375</c:v>
                </c:pt>
                <c:pt idx="78">
                  <c:v>0.64615384615384674</c:v>
                </c:pt>
                <c:pt idx="79">
                  <c:v>0.66923076923076974</c:v>
                </c:pt>
                <c:pt idx="80">
                  <c:v>0.69230769230769273</c:v>
                </c:pt>
                <c:pt idx="81">
                  <c:v>0.71538461538461573</c:v>
                </c:pt>
                <c:pt idx="82">
                  <c:v>0.73846153846153872</c:v>
                </c:pt>
                <c:pt idx="83">
                  <c:v>0.76153846153846172</c:v>
                </c:pt>
                <c:pt idx="84">
                  <c:v>0.78461538461538471</c:v>
                </c:pt>
                <c:pt idx="85">
                  <c:v>0.80769230769230771</c:v>
                </c:pt>
                <c:pt idx="86">
                  <c:v>0.8307692307692307</c:v>
                </c:pt>
                <c:pt idx="87">
                  <c:v>0.8538461538461537</c:v>
                </c:pt>
                <c:pt idx="88">
                  <c:v>0.87692307692307669</c:v>
                </c:pt>
                <c:pt idx="89">
                  <c:v>0.89999999999999969</c:v>
                </c:pt>
                <c:pt idx="90">
                  <c:v>0.92307692307692268</c:v>
                </c:pt>
                <c:pt idx="91">
                  <c:v>0.94615384615384568</c:v>
                </c:pt>
                <c:pt idx="92">
                  <c:v>0.96923076923076867</c:v>
                </c:pt>
                <c:pt idx="93">
                  <c:v>0.99230769230769167</c:v>
                </c:pt>
                <c:pt idx="94">
                  <c:v>1.0153846153846147</c:v>
                </c:pt>
                <c:pt idx="95">
                  <c:v>1.0384615384615377</c:v>
                </c:pt>
                <c:pt idx="96">
                  <c:v>1.0615384615384607</c:v>
                </c:pt>
                <c:pt idx="97">
                  <c:v>1.0846153846153836</c:v>
                </c:pt>
                <c:pt idx="98">
                  <c:v>1.1076923076923066</c:v>
                </c:pt>
                <c:pt idx="99">
                  <c:v>1.1307692307692296</c:v>
                </c:pt>
                <c:pt idx="100">
                  <c:v>1.1538461538461526</c:v>
                </c:pt>
                <c:pt idx="101">
                  <c:v>1.1307692307692307</c:v>
                </c:pt>
                <c:pt idx="102">
                  <c:v>1.1076923076923075</c:v>
                </c:pt>
                <c:pt idx="103">
                  <c:v>1.0846153846153845</c:v>
                </c:pt>
                <c:pt idx="104">
                  <c:v>1.0615384615384613</c:v>
                </c:pt>
                <c:pt idx="105">
                  <c:v>1.0384615384615381</c:v>
                </c:pt>
                <c:pt idx="106">
                  <c:v>1.0153846153846149</c:v>
                </c:pt>
                <c:pt idx="107">
                  <c:v>0.99230769230769167</c:v>
                </c:pt>
                <c:pt idx="108">
                  <c:v>0.96923076923076856</c:v>
                </c:pt>
                <c:pt idx="109">
                  <c:v>0.94615384615384535</c:v>
                </c:pt>
                <c:pt idx="110">
                  <c:v>0.92307692307692224</c:v>
                </c:pt>
                <c:pt idx="111">
                  <c:v>0.89999999999999902</c:v>
                </c:pt>
                <c:pt idx="112">
                  <c:v>0.87692307692307581</c:v>
                </c:pt>
                <c:pt idx="113">
                  <c:v>0.85384615384615259</c:v>
                </c:pt>
                <c:pt idx="114">
                  <c:v>0.83076923076922948</c:v>
                </c:pt>
                <c:pt idx="115">
                  <c:v>0.80769230769230638</c:v>
                </c:pt>
                <c:pt idx="116">
                  <c:v>0.78461538461538316</c:v>
                </c:pt>
                <c:pt idx="117">
                  <c:v>0.76153846153845994</c:v>
                </c:pt>
                <c:pt idx="118">
                  <c:v>0.73846153846153673</c:v>
                </c:pt>
                <c:pt idx="119">
                  <c:v>0.71538461538461362</c:v>
                </c:pt>
                <c:pt idx="120">
                  <c:v>0.69230769230769051</c:v>
                </c:pt>
                <c:pt idx="121">
                  <c:v>0.6692307692307673</c:v>
                </c:pt>
                <c:pt idx="122">
                  <c:v>0.64615384615384408</c:v>
                </c:pt>
                <c:pt idx="123">
                  <c:v>0.62307692307692086</c:v>
                </c:pt>
                <c:pt idx="124">
                  <c:v>0.59999999999999776</c:v>
                </c:pt>
                <c:pt idx="125">
                  <c:v>0.57692307692307454</c:v>
                </c:pt>
                <c:pt idx="126">
                  <c:v>0.55384615384615132</c:v>
                </c:pt>
                <c:pt idx="127">
                  <c:v>0.53076923076922822</c:v>
                </c:pt>
                <c:pt idx="128">
                  <c:v>0.507692307692305</c:v>
                </c:pt>
                <c:pt idx="129">
                  <c:v>0.48461538461538189</c:v>
                </c:pt>
                <c:pt idx="130">
                  <c:v>0.46153846153845868</c:v>
                </c:pt>
                <c:pt idx="131">
                  <c:v>0.43846153846153546</c:v>
                </c:pt>
                <c:pt idx="132">
                  <c:v>0.41538461538461235</c:v>
                </c:pt>
                <c:pt idx="133">
                  <c:v>0.39230769230768914</c:v>
                </c:pt>
                <c:pt idx="134">
                  <c:v>0.36923076923076592</c:v>
                </c:pt>
                <c:pt idx="135">
                  <c:v>0.34615384615384281</c:v>
                </c:pt>
                <c:pt idx="136">
                  <c:v>0.3230769230769196</c:v>
                </c:pt>
                <c:pt idx="137">
                  <c:v>0.29999999999999638</c:v>
                </c:pt>
                <c:pt idx="138">
                  <c:v>0.27692307692307327</c:v>
                </c:pt>
                <c:pt idx="139">
                  <c:v>0.25384615384615006</c:v>
                </c:pt>
                <c:pt idx="140">
                  <c:v>0.23076923076922695</c:v>
                </c:pt>
                <c:pt idx="141">
                  <c:v>0.20769230769230373</c:v>
                </c:pt>
                <c:pt idx="142">
                  <c:v>0.18461538461538052</c:v>
                </c:pt>
                <c:pt idx="143">
                  <c:v>0.16153846153845741</c:v>
                </c:pt>
                <c:pt idx="144">
                  <c:v>0.13846153846153419</c:v>
                </c:pt>
                <c:pt idx="145">
                  <c:v>0.11538461538461098</c:v>
                </c:pt>
                <c:pt idx="146">
                  <c:v>9.2307692307687761E-2</c:v>
                </c:pt>
                <c:pt idx="147">
                  <c:v>6.9230769230764766E-2</c:v>
                </c:pt>
                <c:pt idx="148">
                  <c:v>4.6153846153841549E-2</c:v>
                </c:pt>
                <c:pt idx="149">
                  <c:v>2.3076923076918332E-2</c:v>
                </c:pt>
                <c:pt idx="150">
                  <c:v>-4.8849813083506888E-15</c:v>
                </c:pt>
                <c:pt idx="151">
                  <c:v>-2.3076923076928102E-2</c:v>
                </c:pt>
                <c:pt idx="152">
                  <c:v>-4.6153846153851319E-2</c:v>
                </c:pt>
                <c:pt idx="153">
                  <c:v>-6.9230769230774314E-2</c:v>
                </c:pt>
                <c:pt idx="154">
                  <c:v>-9.2307692307697531E-2</c:v>
                </c:pt>
                <c:pt idx="155">
                  <c:v>-0.11538461538462075</c:v>
                </c:pt>
                <c:pt idx="156">
                  <c:v>-0.13846153846154396</c:v>
                </c:pt>
                <c:pt idx="157">
                  <c:v>-0.16153846153846718</c:v>
                </c:pt>
                <c:pt idx="158">
                  <c:v>-0.18461538461539018</c:v>
                </c:pt>
                <c:pt idx="159">
                  <c:v>-0.20769230769231339</c:v>
                </c:pt>
                <c:pt idx="160">
                  <c:v>-0.23076923076923661</c:v>
                </c:pt>
                <c:pt idx="161">
                  <c:v>-0.25384615384615983</c:v>
                </c:pt>
                <c:pt idx="162">
                  <c:v>-0.27692307692308304</c:v>
                </c:pt>
                <c:pt idx="163">
                  <c:v>-0.30000000000000626</c:v>
                </c:pt>
                <c:pt idx="164">
                  <c:v>-0.32307692307692926</c:v>
                </c:pt>
                <c:pt idx="165">
                  <c:v>-0.34615384615385247</c:v>
                </c:pt>
                <c:pt idx="166">
                  <c:v>-0.36923076923077569</c:v>
                </c:pt>
                <c:pt idx="167">
                  <c:v>-0.39230769230769891</c:v>
                </c:pt>
                <c:pt idx="168">
                  <c:v>-0.41538461538462212</c:v>
                </c:pt>
                <c:pt idx="169">
                  <c:v>-0.43846153846154512</c:v>
                </c:pt>
                <c:pt idx="170">
                  <c:v>-0.46153846153846834</c:v>
                </c:pt>
                <c:pt idx="171">
                  <c:v>-0.48461538461539155</c:v>
                </c:pt>
                <c:pt idx="172">
                  <c:v>-0.50769230769231477</c:v>
                </c:pt>
                <c:pt idx="173">
                  <c:v>-0.53076923076923799</c:v>
                </c:pt>
                <c:pt idx="174">
                  <c:v>-0.5538461538461612</c:v>
                </c:pt>
                <c:pt idx="175">
                  <c:v>-0.5769230769230842</c:v>
                </c:pt>
                <c:pt idx="176">
                  <c:v>-0.60000000000000742</c:v>
                </c:pt>
                <c:pt idx="177">
                  <c:v>-0.62307692307693063</c:v>
                </c:pt>
                <c:pt idx="178">
                  <c:v>-0.64615384615385385</c:v>
                </c:pt>
                <c:pt idx="179">
                  <c:v>-0.66923076923077707</c:v>
                </c:pt>
                <c:pt idx="180">
                  <c:v>-0.69230769230770006</c:v>
                </c:pt>
                <c:pt idx="181">
                  <c:v>-0.71538461538462328</c:v>
                </c:pt>
                <c:pt idx="182">
                  <c:v>-0.7384615384615465</c:v>
                </c:pt>
                <c:pt idx="183">
                  <c:v>-0.76153846153846971</c:v>
                </c:pt>
                <c:pt idx="184">
                  <c:v>-0.78461538461539293</c:v>
                </c:pt>
                <c:pt idx="185">
                  <c:v>-0.80769230769231615</c:v>
                </c:pt>
                <c:pt idx="186">
                  <c:v>-0.83076923076923914</c:v>
                </c:pt>
                <c:pt idx="187">
                  <c:v>-0.85384615384616258</c:v>
                </c:pt>
                <c:pt idx="188">
                  <c:v>-0.87692307692308558</c:v>
                </c:pt>
                <c:pt idx="189">
                  <c:v>-0.90000000000000857</c:v>
                </c:pt>
                <c:pt idx="190">
                  <c:v>-0.92307692307693201</c:v>
                </c:pt>
                <c:pt idx="191">
                  <c:v>-0.946153846153855</c:v>
                </c:pt>
                <c:pt idx="192">
                  <c:v>-0.96923076923077844</c:v>
                </c:pt>
                <c:pt idx="193">
                  <c:v>-0.99230769230770144</c:v>
                </c:pt>
                <c:pt idx="194">
                  <c:v>-1.0153846153846244</c:v>
                </c:pt>
                <c:pt idx="195">
                  <c:v>-1.0384615384615479</c:v>
                </c:pt>
                <c:pt idx="196">
                  <c:v>-1.0615384615384709</c:v>
                </c:pt>
                <c:pt idx="197">
                  <c:v>-1.0846153846153943</c:v>
                </c:pt>
                <c:pt idx="198">
                  <c:v>-1.1076923076923173</c:v>
                </c:pt>
                <c:pt idx="199">
                  <c:v>-1.1307692307692407</c:v>
                </c:pt>
                <c:pt idx="200">
                  <c:v>-1.1538461538461633</c:v>
                </c:pt>
                <c:pt idx="201">
                  <c:v>-1.130769230769231</c:v>
                </c:pt>
                <c:pt idx="202">
                  <c:v>-1.1076923076923078</c:v>
                </c:pt>
                <c:pt idx="203">
                  <c:v>-1.0846153846153848</c:v>
                </c:pt>
                <c:pt idx="204">
                  <c:v>-1.0615384615384618</c:v>
                </c:pt>
                <c:pt idx="205">
                  <c:v>-1.0384615384615385</c:v>
                </c:pt>
                <c:pt idx="206">
                  <c:v>-1.0153846153846156</c:v>
                </c:pt>
                <c:pt idx="207">
                  <c:v>-0.99230769230769245</c:v>
                </c:pt>
                <c:pt idx="208">
                  <c:v>-0.96923076923076934</c:v>
                </c:pt>
                <c:pt idx="209">
                  <c:v>-0.94615384615384623</c:v>
                </c:pt>
                <c:pt idx="210">
                  <c:v>-0.92307692307692313</c:v>
                </c:pt>
                <c:pt idx="211">
                  <c:v>-0.90000000000000013</c:v>
                </c:pt>
                <c:pt idx="212">
                  <c:v>-0.87692307692307703</c:v>
                </c:pt>
                <c:pt idx="213">
                  <c:v>-0.85384615384615392</c:v>
                </c:pt>
                <c:pt idx="214">
                  <c:v>-0.83076923076923093</c:v>
                </c:pt>
                <c:pt idx="215">
                  <c:v>-0.80769230769230782</c:v>
                </c:pt>
                <c:pt idx="216">
                  <c:v>-0.78461538461538471</c:v>
                </c:pt>
                <c:pt idx="217">
                  <c:v>-0.76153846153846161</c:v>
                </c:pt>
                <c:pt idx="218">
                  <c:v>-0.7384615384615385</c:v>
                </c:pt>
                <c:pt idx="219">
                  <c:v>-0.71538461538461551</c:v>
                </c:pt>
                <c:pt idx="220">
                  <c:v>-0.6923076923076924</c:v>
                </c:pt>
                <c:pt idx="221">
                  <c:v>-0.6692307692307693</c:v>
                </c:pt>
                <c:pt idx="222">
                  <c:v>-0.64615384615384619</c:v>
                </c:pt>
                <c:pt idx="223">
                  <c:v>-0.62307692307692319</c:v>
                </c:pt>
                <c:pt idx="224">
                  <c:v>-0.60000000000000009</c:v>
                </c:pt>
                <c:pt idx="225">
                  <c:v>-0.57692307692307698</c:v>
                </c:pt>
                <c:pt idx="226">
                  <c:v>-0.55384615384615399</c:v>
                </c:pt>
                <c:pt idx="227">
                  <c:v>-0.53076923076923088</c:v>
                </c:pt>
                <c:pt idx="228">
                  <c:v>-0.50769230769230778</c:v>
                </c:pt>
                <c:pt idx="229">
                  <c:v>-0.48461538461538467</c:v>
                </c:pt>
                <c:pt idx="230">
                  <c:v>-0.46153846153846168</c:v>
                </c:pt>
                <c:pt idx="231">
                  <c:v>-0.43846153846153857</c:v>
                </c:pt>
                <c:pt idx="232">
                  <c:v>-0.41538461538461546</c:v>
                </c:pt>
                <c:pt idx="233">
                  <c:v>-0.39230769230769225</c:v>
                </c:pt>
                <c:pt idx="234">
                  <c:v>-0.36923076923076914</c:v>
                </c:pt>
                <c:pt idx="235">
                  <c:v>-0.34615384615384592</c:v>
                </c:pt>
                <c:pt idx="236">
                  <c:v>-0.32307692307692282</c:v>
                </c:pt>
                <c:pt idx="237">
                  <c:v>-0.2999999999999996</c:v>
                </c:pt>
                <c:pt idx="238">
                  <c:v>-0.27692307692307649</c:v>
                </c:pt>
                <c:pt idx="239">
                  <c:v>-0.25384615384615339</c:v>
                </c:pt>
                <c:pt idx="240">
                  <c:v>-0.23076923076923017</c:v>
                </c:pt>
                <c:pt idx="241">
                  <c:v>-0.20769230769230707</c:v>
                </c:pt>
                <c:pt idx="242">
                  <c:v>-0.18461538461538385</c:v>
                </c:pt>
                <c:pt idx="243">
                  <c:v>-0.16153846153846074</c:v>
                </c:pt>
                <c:pt idx="244">
                  <c:v>-0.13846153846153753</c:v>
                </c:pt>
                <c:pt idx="245">
                  <c:v>-0.11538461538461453</c:v>
                </c:pt>
                <c:pt idx="246">
                  <c:v>-9.2307692307691314E-2</c:v>
                </c:pt>
                <c:pt idx="247">
                  <c:v>-6.9230769230768097E-2</c:v>
                </c:pt>
                <c:pt idx="248">
                  <c:v>-4.615384615384488E-2</c:v>
                </c:pt>
                <c:pt idx="249">
                  <c:v>-2.3076923076921885E-2</c:v>
                </c:pt>
                <c:pt idx="250">
                  <c:v>1.3322676295501878E-15</c:v>
                </c:pt>
                <c:pt idx="251">
                  <c:v>2.3076923076924549E-2</c:v>
                </c:pt>
                <c:pt idx="252">
                  <c:v>4.6153846153847544E-2</c:v>
                </c:pt>
                <c:pt idx="253">
                  <c:v>6.9230769230770761E-2</c:v>
                </c:pt>
                <c:pt idx="254">
                  <c:v>9.2307692307693978E-2</c:v>
                </c:pt>
                <c:pt idx="255">
                  <c:v>0.11538461538461697</c:v>
                </c:pt>
                <c:pt idx="256">
                  <c:v>0.13846153846154019</c:v>
                </c:pt>
                <c:pt idx="257">
                  <c:v>0.16153846153846341</c:v>
                </c:pt>
                <c:pt idx="258">
                  <c:v>0.18461538461538662</c:v>
                </c:pt>
                <c:pt idx="259">
                  <c:v>0.20769230769230962</c:v>
                </c:pt>
                <c:pt idx="260">
                  <c:v>0.23076923076923261</c:v>
                </c:pt>
                <c:pt idx="261">
                  <c:v>0.25384615384615561</c:v>
                </c:pt>
                <c:pt idx="262">
                  <c:v>0.2769230769230786</c:v>
                </c:pt>
                <c:pt idx="263">
                  <c:v>0.3000000000000016</c:v>
                </c:pt>
                <c:pt idx="264">
                  <c:v>0.32307692307692459</c:v>
                </c:pt>
                <c:pt idx="265">
                  <c:v>0.34615384615384759</c:v>
                </c:pt>
                <c:pt idx="266">
                  <c:v>0.36923076923077058</c:v>
                </c:pt>
                <c:pt idx="267">
                  <c:v>0.39230769230769358</c:v>
                </c:pt>
                <c:pt idx="268">
                  <c:v>0.41538461538461657</c:v>
                </c:pt>
                <c:pt idx="269">
                  <c:v>0.43846153846153957</c:v>
                </c:pt>
                <c:pt idx="270">
                  <c:v>0.46153846153846256</c:v>
                </c:pt>
                <c:pt idx="271">
                  <c:v>0.48461538461538556</c:v>
                </c:pt>
                <c:pt idx="272">
                  <c:v>0.50769230769230855</c:v>
                </c:pt>
                <c:pt idx="273">
                  <c:v>0.53076923076923155</c:v>
                </c:pt>
                <c:pt idx="274">
                  <c:v>0.55384615384615477</c:v>
                </c:pt>
                <c:pt idx="275">
                  <c:v>0.57692307692307776</c:v>
                </c:pt>
                <c:pt idx="276">
                  <c:v>0.60000000000000075</c:v>
                </c:pt>
                <c:pt idx="277">
                  <c:v>0.62307692307692375</c:v>
                </c:pt>
                <c:pt idx="278">
                  <c:v>0.64615384615384674</c:v>
                </c:pt>
                <c:pt idx="279">
                  <c:v>0.66923076923076974</c:v>
                </c:pt>
                <c:pt idx="280">
                  <c:v>0.69230769230769273</c:v>
                </c:pt>
                <c:pt idx="281">
                  <c:v>0.71538461538461573</c:v>
                </c:pt>
                <c:pt idx="282">
                  <c:v>0.73846153846153872</c:v>
                </c:pt>
                <c:pt idx="283">
                  <c:v>0.76153846153846172</c:v>
                </c:pt>
                <c:pt idx="284">
                  <c:v>0.78461538461538471</c:v>
                </c:pt>
                <c:pt idx="285">
                  <c:v>0.80769230769230771</c:v>
                </c:pt>
                <c:pt idx="286">
                  <c:v>0.8307692307692307</c:v>
                </c:pt>
                <c:pt idx="287">
                  <c:v>0.8538461538461537</c:v>
                </c:pt>
                <c:pt idx="288">
                  <c:v>0.87692307692307669</c:v>
                </c:pt>
                <c:pt idx="289">
                  <c:v>0.89999999999999969</c:v>
                </c:pt>
                <c:pt idx="290">
                  <c:v>0.92307692307692268</c:v>
                </c:pt>
                <c:pt idx="291">
                  <c:v>0.94615384615384568</c:v>
                </c:pt>
                <c:pt idx="292">
                  <c:v>0.96923076923076867</c:v>
                </c:pt>
                <c:pt idx="293">
                  <c:v>0.99230769230769167</c:v>
                </c:pt>
                <c:pt idx="294">
                  <c:v>1.0153846153846147</c:v>
                </c:pt>
                <c:pt idx="295">
                  <c:v>1.0384615384615377</c:v>
                </c:pt>
                <c:pt idx="296">
                  <c:v>1.0615384615384607</c:v>
                </c:pt>
                <c:pt idx="297">
                  <c:v>1.0846153846153836</c:v>
                </c:pt>
                <c:pt idx="298">
                  <c:v>1.1076923076923066</c:v>
                </c:pt>
                <c:pt idx="299">
                  <c:v>1.1307692307692296</c:v>
                </c:pt>
                <c:pt idx="300">
                  <c:v>1.1538461538461526</c:v>
                </c:pt>
                <c:pt idx="301">
                  <c:v>1.1307692307692307</c:v>
                </c:pt>
                <c:pt idx="302">
                  <c:v>1.1076923076923075</c:v>
                </c:pt>
                <c:pt idx="303">
                  <c:v>1.0846153846153845</c:v>
                </c:pt>
                <c:pt idx="304">
                  <c:v>1.0615384615384613</c:v>
                </c:pt>
                <c:pt idx="305">
                  <c:v>1.0384615384615381</c:v>
                </c:pt>
                <c:pt idx="306">
                  <c:v>1.0153846153846149</c:v>
                </c:pt>
                <c:pt idx="307">
                  <c:v>0.99230769230769167</c:v>
                </c:pt>
                <c:pt idx="308">
                  <c:v>0.96923076923076856</c:v>
                </c:pt>
                <c:pt idx="309">
                  <c:v>0.94615384615384535</c:v>
                </c:pt>
                <c:pt idx="310">
                  <c:v>0.92307692307692224</c:v>
                </c:pt>
                <c:pt idx="311">
                  <c:v>0.89999999999999902</c:v>
                </c:pt>
                <c:pt idx="312">
                  <c:v>0.87692307692307581</c:v>
                </c:pt>
                <c:pt idx="313">
                  <c:v>0.85384615384615259</c:v>
                </c:pt>
                <c:pt idx="314">
                  <c:v>0.83076923076922948</c:v>
                </c:pt>
                <c:pt idx="315">
                  <c:v>0.80769230769230638</c:v>
                </c:pt>
                <c:pt idx="316">
                  <c:v>0.78461538461538316</c:v>
                </c:pt>
                <c:pt idx="317">
                  <c:v>0.76153846153845994</c:v>
                </c:pt>
                <c:pt idx="318">
                  <c:v>0.73846153846153673</c:v>
                </c:pt>
                <c:pt idx="319">
                  <c:v>0.71538461538461362</c:v>
                </c:pt>
                <c:pt idx="320">
                  <c:v>0.69230769230769051</c:v>
                </c:pt>
                <c:pt idx="321">
                  <c:v>0.6692307692307673</c:v>
                </c:pt>
                <c:pt idx="322">
                  <c:v>0.64615384615384408</c:v>
                </c:pt>
                <c:pt idx="323">
                  <c:v>0.62307692307692086</c:v>
                </c:pt>
                <c:pt idx="324">
                  <c:v>0.59999999999999776</c:v>
                </c:pt>
                <c:pt idx="325">
                  <c:v>0.57692307692307454</c:v>
                </c:pt>
                <c:pt idx="326">
                  <c:v>0.55384615384615132</c:v>
                </c:pt>
                <c:pt idx="327">
                  <c:v>0.53076923076922822</c:v>
                </c:pt>
                <c:pt idx="328">
                  <c:v>0.507692307692305</c:v>
                </c:pt>
                <c:pt idx="329">
                  <c:v>0.48461538461538189</c:v>
                </c:pt>
                <c:pt idx="330">
                  <c:v>0.46153846153845868</c:v>
                </c:pt>
                <c:pt idx="331">
                  <c:v>0.43846153846153546</c:v>
                </c:pt>
                <c:pt idx="332">
                  <c:v>0.41538461538461235</c:v>
                </c:pt>
                <c:pt idx="333">
                  <c:v>0.39230769230768914</c:v>
                </c:pt>
                <c:pt idx="334">
                  <c:v>0.36923076923076592</c:v>
                </c:pt>
                <c:pt idx="335">
                  <c:v>0.34615384615384281</c:v>
                </c:pt>
                <c:pt idx="336">
                  <c:v>0.3230769230769196</c:v>
                </c:pt>
                <c:pt idx="337">
                  <c:v>0.29999999999999638</c:v>
                </c:pt>
                <c:pt idx="338">
                  <c:v>0.27692307692307327</c:v>
                </c:pt>
                <c:pt idx="339">
                  <c:v>0.25384615384615006</c:v>
                </c:pt>
                <c:pt idx="340">
                  <c:v>0.23076923076922695</c:v>
                </c:pt>
                <c:pt idx="341">
                  <c:v>0.20769230769230373</c:v>
                </c:pt>
                <c:pt idx="342">
                  <c:v>0.18461538461538052</c:v>
                </c:pt>
                <c:pt idx="343">
                  <c:v>0.16153846153845741</c:v>
                </c:pt>
                <c:pt idx="344">
                  <c:v>0.13846153846153419</c:v>
                </c:pt>
                <c:pt idx="345">
                  <c:v>0.11538461538461098</c:v>
                </c:pt>
                <c:pt idx="346">
                  <c:v>9.2307692307687761E-2</c:v>
                </c:pt>
                <c:pt idx="347">
                  <c:v>6.9230769230764766E-2</c:v>
                </c:pt>
                <c:pt idx="348">
                  <c:v>4.6153846153841549E-2</c:v>
                </c:pt>
                <c:pt idx="349">
                  <c:v>2.3076923076918332E-2</c:v>
                </c:pt>
                <c:pt idx="350">
                  <c:v>-4.8849813083506888E-15</c:v>
                </c:pt>
                <c:pt idx="351">
                  <c:v>-2.3076923076928102E-2</c:v>
                </c:pt>
                <c:pt idx="352">
                  <c:v>-4.6153846153851319E-2</c:v>
                </c:pt>
                <c:pt idx="353">
                  <c:v>-6.9230769230774314E-2</c:v>
                </c:pt>
                <c:pt idx="354">
                  <c:v>-9.2307692307697531E-2</c:v>
                </c:pt>
                <c:pt idx="355">
                  <c:v>-0.11538461538462075</c:v>
                </c:pt>
                <c:pt idx="356">
                  <c:v>-0.13846153846154396</c:v>
                </c:pt>
                <c:pt idx="357">
                  <c:v>-0.16153846153846718</c:v>
                </c:pt>
                <c:pt idx="358">
                  <c:v>-0.18461538461539018</c:v>
                </c:pt>
                <c:pt idx="359">
                  <c:v>-0.20769230769231339</c:v>
                </c:pt>
                <c:pt idx="360">
                  <c:v>-0.23076923076923661</c:v>
                </c:pt>
                <c:pt idx="361">
                  <c:v>-0.25384615384615983</c:v>
                </c:pt>
                <c:pt idx="362">
                  <c:v>-0.27692307692308304</c:v>
                </c:pt>
                <c:pt idx="363">
                  <c:v>-0.30000000000000626</c:v>
                </c:pt>
                <c:pt idx="364">
                  <c:v>-0.32307692307692926</c:v>
                </c:pt>
                <c:pt idx="365">
                  <c:v>-0.34615384615385247</c:v>
                </c:pt>
                <c:pt idx="366">
                  <c:v>-0.36923076923077569</c:v>
                </c:pt>
                <c:pt idx="367">
                  <c:v>-0.39230769230769891</c:v>
                </c:pt>
                <c:pt idx="368">
                  <c:v>-0.41538461538462212</c:v>
                </c:pt>
                <c:pt idx="369">
                  <c:v>-0.43846153846154512</c:v>
                </c:pt>
                <c:pt idx="370">
                  <c:v>-0.46153846153846834</c:v>
                </c:pt>
                <c:pt idx="371">
                  <c:v>-0.48461538461539155</c:v>
                </c:pt>
                <c:pt idx="372">
                  <c:v>-0.50769230769231477</c:v>
                </c:pt>
                <c:pt idx="373">
                  <c:v>-0.53076923076923799</c:v>
                </c:pt>
                <c:pt idx="374">
                  <c:v>-0.5538461538461612</c:v>
                </c:pt>
                <c:pt idx="375">
                  <c:v>-0.5769230769230842</c:v>
                </c:pt>
                <c:pt idx="376">
                  <c:v>-0.60000000000000742</c:v>
                </c:pt>
                <c:pt idx="377">
                  <c:v>-0.62307692307693063</c:v>
                </c:pt>
                <c:pt idx="378">
                  <c:v>-0.64615384615385385</c:v>
                </c:pt>
                <c:pt idx="379">
                  <c:v>-0.66923076923077707</c:v>
                </c:pt>
                <c:pt idx="380">
                  <c:v>-0.69230769230770006</c:v>
                </c:pt>
                <c:pt idx="381">
                  <c:v>-0.71538461538462328</c:v>
                </c:pt>
                <c:pt idx="382">
                  <c:v>-0.7384615384615465</c:v>
                </c:pt>
                <c:pt idx="383">
                  <c:v>-0.76153846153846971</c:v>
                </c:pt>
                <c:pt idx="384">
                  <c:v>-0.78461538461539293</c:v>
                </c:pt>
                <c:pt idx="385">
                  <c:v>-0.80769230769231615</c:v>
                </c:pt>
                <c:pt idx="386">
                  <c:v>-0.83076923076923914</c:v>
                </c:pt>
                <c:pt idx="387">
                  <c:v>-0.85384615384616258</c:v>
                </c:pt>
                <c:pt idx="388">
                  <c:v>-0.87692307692308558</c:v>
                </c:pt>
                <c:pt idx="389">
                  <c:v>-0.90000000000000857</c:v>
                </c:pt>
                <c:pt idx="390">
                  <c:v>-0.92307692307693201</c:v>
                </c:pt>
                <c:pt idx="391">
                  <c:v>-0.946153846153855</c:v>
                </c:pt>
                <c:pt idx="392">
                  <c:v>-0.96923076923077844</c:v>
                </c:pt>
                <c:pt idx="393">
                  <c:v>-0.99230769230770144</c:v>
                </c:pt>
                <c:pt idx="394">
                  <c:v>-1.0153846153846244</c:v>
                </c:pt>
                <c:pt idx="395">
                  <c:v>-1.0384615384615479</c:v>
                </c:pt>
                <c:pt idx="396">
                  <c:v>-1.0615384615384709</c:v>
                </c:pt>
                <c:pt idx="397">
                  <c:v>-1.0846153846153943</c:v>
                </c:pt>
                <c:pt idx="398">
                  <c:v>-1.1076923076923173</c:v>
                </c:pt>
                <c:pt idx="399">
                  <c:v>-1.1307692307692407</c:v>
                </c:pt>
                <c:pt idx="400">
                  <c:v>-1.1538461538461633</c:v>
                </c:pt>
                <c:pt idx="401">
                  <c:v>-1.1538461538461633</c:v>
                </c:pt>
              </c:numCache>
            </c:numRef>
          </c:yVal>
          <c:smooth val="0"/>
          <c:extLst>
            <c:ext xmlns:c16="http://schemas.microsoft.com/office/drawing/2014/chart" uri="{C3380CC4-5D6E-409C-BE32-E72D297353CC}">
              <c16:uniqueId val="{00000000-59E7-41B5-AFA7-9E78FBA1B295}"/>
            </c:ext>
          </c:extLst>
        </c:ser>
        <c:dLbls>
          <c:showLegendKey val="0"/>
          <c:showVal val="0"/>
          <c:showCatName val="0"/>
          <c:showSerName val="0"/>
          <c:showPercent val="0"/>
          <c:showBubbleSize val="0"/>
        </c:dLbls>
        <c:axId val="583580288"/>
        <c:axId val="583590272"/>
      </c:scatterChart>
      <c:valAx>
        <c:axId val="583580288"/>
        <c:scaling>
          <c:orientation val="minMax"/>
        </c:scaling>
        <c:delete val="0"/>
        <c:axPos val="b"/>
        <c:majorGridlines>
          <c:spPr>
            <a:ln w="3175">
              <a:noFill/>
              <a:prstDash val="solid"/>
            </a:ln>
          </c:spPr>
        </c:majorGridlines>
        <c:numFmt formatCode="0_ " sourceLinked="0"/>
        <c:majorTickMark val="in"/>
        <c:minorTickMark val="none"/>
        <c:tickLblPos val="nextTo"/>
        <c:spPr>
          <a:ln w="3175">
            <a:solidFill>
              <a:schemeClr val="bg1">
                <a:lumMod val="75000"/>
              </a:schemeClr>
            </a:solidFill>
            <a:prstDash val="solid"/>
          </a:ln>
        </c:spPr>
        <c:txPr>
          <a:bodyPr rot="0" vert="horz"/>
          <a:lstStyle/>
          <a:p>
            <a:pPr>
              <a:defRPr lang="ja-JP">
                <a:solidFill>
                  <a:srgbClr val="000000">
                    <a:alpha val="0"/>
                  </a:srgbClr>
                </a:solidFill>
              </a:defRPr>
            </a:pPr>
            <a:endParaRPr lang="ja-JP"/>
          </a:p>
        </c:txPr>
        <c:crossAx val="583590272"/>
        <c:crosses val="autoZero"/>
        <c:crossBetween val="midCat"/>
      </c:valAx>
      <c:valAx>
        <c:axId val="583590272"/>
        <c:scaling>
          <c:orientation val="minMax"/>
        </c:scaling>
        <c:delete val="0"/>
        <c:axPos val="l"/>
        <c:majorGridlines>
          <c:spPr>
            <a:ln w="3175">
              <a:noFill/>
              <a:prstDash val="solid"/>
            </a:ln>
          </c:spPr>
        </c:majorGridlines>
        <c:title>
          <c:tx>
            <c:rich>
              <a:bodyPr/>
              <a:lstStyle/>
              <a:p>
                <a:pPr>
                  <a:defRPr lang="ja-JP"/>
                </a:pPr>
                <a:r>
                  <a:rPr lang="en-US" sz="1000"/>
                  <a:t>Iout Ripple (A)</a:t>
                </a:r>
              </a:p>
            </c:rich>
          </c:tx>
          <c:layout>
            <c:manualLayout>
              <c:xMode val="edge"/>
              <c:yMode val="edge"/>
              <c:x val="1.9346535255905749E-2"/>
              <c:y val="0.16526570322257944"/>
            </c:manualLayout>
          </c:layout>
          <c:overlay val="0"/>
          <c:spPr>
            <a:noFill/>
            <a:ln w="25400">
              <a:noFill/>
            </a:ln>
          </c:spPr>
        </c:title>
        <c:numFmt formatCode="0_ " sourceLinked="0"/>
        <c:majorTickMark val="none"/>
        <c:minorTickMark val="none"/>
        <c:tickLblPos val="nextTo"/>
        <c:spPr>
          <a:ln w="9525">
            <a:solidFill>
              <a:schemeClr val="bg1">
                <a:lumMod val="75000"/>
              </a:schemeClr>
            </a:solidFill>
            <a:prstDash val="solid"/>
          </a:ln>
        </c:spPr>
        <c:txPr>
          <a:bodyPr rot="0" vert="horz"/>
          <a:lstStyle/>
          <a:p>
            <a:pPr>
              <a:defRPr lang="ja-JP" sz="800">
                <a:solidFill>
                  <a:schemeClr val="bg1"/>
                </a:solidFill>
              </a:defRPr>
            </a:pPr>
            <a:endParaRPr lang="ja-JP"/>
          </a:p>
        </c:txPr>
        <c:crossAx val="583580288"/>
        <c:crosses val="autoZero"/>
        <c:crossBetween val="midCat"/>
        <c:majorUnit val="1"/>
        <c:minorUnit val="1"/>
      </c:valAx>
      <c:spPr>
        <a:solidFill>
          <a:schemeClr val="bg1"/>
        </a:solidFill>
        <a:ln w="6350">
          <a:solidFill>
            <a:schemeClr val="bg1">
              <a:lumMod val="75000"/>
            </a:schemeClr>
          </a:solidFill>
          <a:prstDash val="solid"/>
        </a:ln>
      </c:spPr>
    </c:plotArea>
    <c:legend>
      <c:legendPos val="r"/>
      <c:legendEntry>
        <c:idx val="0"/>
        <c:delete val="1"/>
      </c:legendEntry>
      <c:layout>
        <c:manualLayout>
          <c:xMode val="edge"/>
          <c:yMode val="edge"/>
          <c:x val="0.68510081401115175"/>
          <c:y val="0.10101036612847585"/>
          <c:w val="0.14592950074789138"/>
          <c:h val="0.10353561865372959"/>
        </c:manualLayout>
      </c:layout>
      <c:overlay val="0"/>
      <c:spPr>
        <a:solidFill>
          <a:srgbClr val="FFFFFF"/>
        </a:solidFill>
        <a:ln w="3175">
          <a:solidFill>
            <a:srgbClr val="000000"/>
          </a:solidFill>
          <a:prstDash val="solid"/>
        </a:ln>
      </c:spPr>
      <c:txPr>
        <a:bodyPr/>
        <a:lstStyle/>
        <a:p>
          <a:pPr>
            <a:defRPr lang="ja-JP"/>
          </a:pPr>
          <a:endParaRPr lang="de-DE"/>
        </a:p>
      </c:txPr>
    </c:legend>
    <c:plotVisOnly val="1"/>
    <c:dispBlanksAs val="gap"/>
    <c:showDLblsOverMax val="0"/>
  </c:chart>
  <c:spPr>
    <a:solidFill>
      <a:srgbClr val="FFFFFF"/>
    </a:solidFill>
    <a:ln w="3175">
      <a:noFill/>
      <a:prstDash val="solid"/>
    </a:ln>
  </c:spPr>
  <c:txPr>
    <a:bodyPr/>
    <a:lstStyle/>
    <a:p>
      <a:pPr>
        <a:defRPr sz="1100" b="0" i="0" u="none" strike="noStrike" baseline="0">
          <a:solidFill>
            <a:srgbClr val="000000"/>
          </a:solidFill>
          <a:latin typeface="Segoe UI" panose="020B0502040204020203" pitchFamily="34" charset="0"/>
          <a:ea typeface="ＭＳ Ｐゴシック"/>
          <a:cs typeface="Segoe UI" panose="020B0502040204020203" pitchFamily="34" charset="0"/>
        </a:defRPr>
      </a:pPr>
      <a:endParaRPr lang="ja-JP"/>
    </a:p>
  </c:txPr>
  <c:printSettings>
    <c:headerFooter alignWithMargins="0"/>
    <c:pageMargins b="0.98399999999999999" l="0.78700000000000003" r="0.78700000000000003" t="0.98399999999999999" header="0.51200000000000001" footer="0.51200000000000001"/>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microsoft.com/office/2007/relationships/hdphoto" Target="../media/hdphoto2.wdp"/><Relationship Id="rId3" Type="http://schemas.openxmlformats.org/officeDocument/2006/relationships/image" Target="../media/image2.png"/><Relationship Id="rId7" Type="http://schemas.openxmlformats.org/officeDocument/2006/relationships/image" Target="../media/image5.png"/><Relationship Id="rId2" Type="http://schemas.openxmlformats.org/officeDocument/2006/relationships/hyperlink" Target="https://industrial.panasonic.com/ww/products/inductors/automotive-inductors/automotive-inductors" TargetMode="External"/><Relationship Id="rId1" Type="http://schemas.openxmlformats.org/officeDocument/2006/relationships/image" Target="../media/image1.emf"/><Relationship Id="rId6" Type="http://schemas.microsoft.com/office/2007/relationships/hdphoto" Target="../media/hdphoto1.wdp"/><Relationship Id="rId11" Type="http://schemas.openxmlformats.org/officeDocument/2006/relationships/image" Target="../media/image7.emf"/><Relationship Id="rId5" Type="http://schemas.openxmlformats.org/officeDocument/2006/relationships/image" Target="../media/image4.png"/><Relationship Id="rId10" Type="http://schemas.microsoft.com/office/2007/relationships/hdphoto" Target="../media/hdphoto3.wdp"/><Relationship Id="rId4" Type="http://schemas.openxmlformats.org/officeDocument/2006/relationships/image" Target="../media/image3.png"/><Relationship Id="rId9"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3.emf"/><Relationship Id="rId5" Type="http://schemas.openxmlformats.org/officeDocument/2006/relationships/image" Target="../media/image12.emf"/><Relationship Id="rId4" Type="http://schemas.openxmlformats.org/officeDocument/2006/relationships/image" Target="../media/image11.emf"/></Relationships>
</file>

<file path=xl/drawings/_rels/drawing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18.png"/><Relationship Id="rId4" Type="http://schemas.openxmlformats.org/officeDocument/2006/relationships/image" Target="../media/image21.png"/></Relationships>
</file>

<file path=xl/drawings/_rels/drawing7.xml.rels><?xml version="1.0" encoding="UTF-8" standalone="yes"?>
<Relationships xmlns="http://schemas.openxmlformats.org/package/2006/relationships"><Relationship Id="rId8" Type="http://schemas.openxmlformats.org/officeDocument/2006/relationships/image" Target="../media/image29.png"/><Relationship Id="rId3" Type="http://schemas.openxmlformats.org/officeDocument/2006/relationships/image" Target="../media/image24.png"/><Relationship Id="rId7" Type="http://schemas.openxmlformats.org/officeDocument/2006/relationships/image" Target="../media/image28.png"/><Relationship Id="rId12" Type="http://schemas.openxmlformats.org/officeDocument/2006/relationships/image" Target="../media/image33.jpeg"/><Relationship Id="rId2" Type="http://schemas.openxmlformats.org/officeDocument/2006/relationships/image" Target="../media/image23.png"/><Relationship Id="rId1" Type="http://schemas.openxmlformats.org/officeDocument/2006/relationships/image" Target="../media/image22.png"/><Relationship Id="rId6" Type="http://schemas.openxmlformats.org/officeDocument/2006/relationships/image" Target="../media/image27.png"/><Relationship Id="rId11" Type="http://schemas.openxmlformats.org/officeDocument/2006/relationships/image" Target="../media/image32.jpeg"/><Relationship Id="rId5" Type="http://schemas.openxmlformats.org/officeDocument/2006/relationships/image" Target="../media/image26.png"/><Relationship Id="rId10" Type="http://schemas.openxmlformats.org/officeDocument/2006/relationships/image" Target="../media/image31.png"/><Relationship Id="rId4" Type="http://schemas.openxmlformats.org/officeDocument/2006/relationships/image" Target="../media/image25.png"/><Relationship Id="rId9" Type="http://schemas.openxmlformats.org/officeDocument/2006/relationships/image" Target="../media/image30.png"/></Relationships>
</file>

<file path=xl/drawings/_rels/drawing8.xml.rels><?xml version="1.0" encoding="UTF-8" standalone="yes"?>
<Relationships xmlns="http://schemas.openxmlformats.org/package/2006/relationships"><Relationship Id="rId2" Type="http://schemas.openxmlformats.org/officeDocument/2006/relationships/image" Target="../media/image34.png"/><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36.emf"/><Relationship Id="rId7" Type="http://schemas.openxmlformats.org/officeDocument/2006/relationships/chart" Target="../charts/chart5.xml"/><Relationship Id="rId2" Type="http://schemas.openxmlformats.org/officeDocument/2006/relationships/image" Target="../media/image35.emf"/><Relationship Id="rId1" Type="http://schemas.openxmlformats.org/officeDocument/2006/relationships/chart" Target="../charts/chart4.xml"/><Relationship Id="rId6" Type="http://schemas.openxmlformats.org/officeDocument/2006/relationships/image" Target="../media/image39.emf"/><Relationship Id="rId5" Type="http://schemas.openxmlformats.org/officeDocument/2006/relationships/image" Target="../media/image38.emf"/><Relationship Id="rId4" Type="http://schemas.openxmlformats.org/officeDocument/2006/relationships/image" Target="../media/image37.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 Id="rId4"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xdr:from>
      <xdr:col>0</xdr:col>
      <xdr:colOff>49750</xdr:colOff>
      <xdr:row>23</xdr:row>
      <xdr:rowOff>58418</xdr:rowOff>
    </xdr:from>
    <xdr:to>
      <xdr:col>7</xdr:col>
      <xdr:colOff>0</xdr:colOff>
      <xdr:row>30</xdr:row>
      <xdr:rowOff>67732</xdr:rowOff>
    </xdr:to>
    <mc:AlternateContent xmlns:mc="http://schemas.openxmlformats.org/markup-compatibility/2006" xmlns:a14="http://schemas.microsoft.com/office/drawing/2010/main">
      <mc:Choice Requires="a14">
        <xdr:graphicFrame macro="">
          <xdr:nvGraphicFramePr>
            <xdr:cNvPr id="27" name="Series">
              <a:extLst>
                <a:ext uri="{FF2B5EF4-FFF2-40B4-BE49-F238E27FC236}">
                  <a16:creationId xmlns:a16="http://schemas.microsoft.com/office/drawing/2014/main" id="{00000000-0008-0000-0100-00001B000000}"/>
                </a:ext>
              </a:extLst>
            </xdr:cNvPr>
            <xdr:cNvGraphicFramePr/>
          </xdr:nvGraphicFramePr>
          <xdr:xfrm>
            <a:off x="0" y="0"/>
            <a:ext cx="0" cy="0"/>
          </xdr:xfrm>
          <a:graphic>
            <a:graphicData uri="http://schemas.microsoft.com/office/drawing/2010/slicer">
              <sle:slicer xmlns:sle="http://schemas.microsoft.com/office/drawing/2010/slicer" name="Series"/>
            </a:graphicData>
          </a:graphic>
        </xdr:graphicFrame>
      </mc:Choice>
      <mc:Fallback xmlns="">
        <xdr:sp macro="" textlink="">
          <xdr:nvSpPr>
            <xdr:cNvPr id="0" name=""/>
            <xdr:cNvSpPr>
              <a:spLocks noTextEdit="1"/>
            </xdr:cNvSpPr>
          </xdr:nvSpPr>
          <xdr:spPr>
            <a:xfrm>
              <a:off x="49750" y="4588085"/>
              <a:ext cx="5241917" cy="1194647"/>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editAs="oneCell">
    <xdr:from>
      <xdr:col>7</xdr:col>
      <xdr:colOff>59438</xdr:colOff>
      <xdr:row>2</xdr:row>
      <xdr:rowOff>3</xdr:rowOff>
    </xdr:from>
    <xdr:to>
      <xdr:col>8</xdr:col>
      <xdr:colOff>155482</xdr:colOff>
      <xdr:row>3</xdr:row>
      <xdr:rowOff>3</xdr:rowOff>
    </xdr:to>
    <xdr:sp macro="" textlink="">
      <xdr:nvSpPr>
        <xdr:cNvPr id="6" name="二等辺三角形 5">
          <a:extLst>
            <a:ext uri="{FF2B5EF4-FFF2-40B4-BE49-F238E27FC236}">
              <a16:creationId xmlns:a16="http://schemas.microsoft.com/office/drawing/2014/main" id="{00000000-0008-0000-0100-000006000000}"/>
            </a:ext>
          </a:extLst>
        </xdr:cNvPr>
        <xdr:cNvSpPr/>
      </xdr:nvSpPr>
      <xdr:spPr bwMode="auto">
        <a:xfrm rot="5400000">
          <a:off x="5676224" y="436408"/>
          <a:ext cx="308225" cy="188854"/>
        </a:xfrm>
        <a:prstGeom prst="triangle">
          <a:avLst/>
        </a:prstGeom>
        <a:solidFill>
          <a:schemeClr val="tx1"/>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41</xdr:col>
      <xdr:colOff>457884</xdr:colOff>
      <xdr:row>2</xdr:row>
      <xdr:rowOff>50800</xdr:rowOff>
    </xdr:from>
    <xdr:to>
      <xdr:col>43</xdr:col>
      <xdr:colOff>171234</xdr:colOff>
      <xdr:row>2</xdr:row>
      <xdr:rowOff>256854</xdr:rowOff>
    </xdr:to>
    <xdr:sp macro="" textlink="">
      <xdr:nvSpPr>
        <xdr:cNvPr id="11" name="角丸四角形 10">
          <a:extLst>
            <a:ext uri="{FF2B5EF4-FFF2-40B4-BE49-F238E27FC236}">
              <a16:creationId xmlns:a16="http://schemas.microsoft.com/office/drawing/2014/main" id="{00000000-0008-0000-0100-00000B000000}"/>
            </a:ext>
          </a:extLst>
        </xdr:cNvPr>
        <xdr:cNvSpPr/>
      </xdr:nvSpPr>
      <xdr:spPr bwMode="auto">
        <a:xfrm flipH="1">
          <a:off x="6913480" y="427519"/>
          <a:ext cx="912001" cy="206054"/>
        </a:xfrm>
        <a:prstGeom prst="roundRect">
          <a:avLst/>
        </a:prstGeom>
        <a:noFill/>
        <a:ln>
          <a:headEnd type="none" w="med" len="med"/>
          <a:tailEnd type="none" w="med" len="med"/>
        </a:ln>
      </xdr:spPr>
      <xdr:style>
        <a:lnRef idx="2">
          <a:schemeClr val="dk1">
            <a:shade val="50000"/>
          </a:schemeClr>
        </a:lnRef>
        <a:fillRef idx="1">
          <a:schemeClr val="dk1"/>
        </a:fillRef>
        <a:effectRef idx="0">
          <a:schemeClr val="dk1"/>
        </a:effectRef>
        <a:fontRef idx="minor">
          <a:schemeClr val="lt1"/>
        </a:fontRef>
      </xdr:style>
      <xdr:txBody>
        <a:bodyPr vertOverflow="clip" horzOverflow="clip" wrap="square" lIns="36000" tIns="0" rIns="0" bIns="0" rtlCol="0" anchor="ctr" upright="1"/>
        <a:lstStyle/>
        <a:p>
          <a:pPr algn="l"/>
          <a:r>
            <a:rPr kumimoji="1" lang="en-US" altLang="ja-JP" sz="1400" baseline="0"/>
            <a:t>Spec List</a:t>
          </a:r>
          <a:endParaRPr kumimoji="1" lang="ja-JP" altLang="en-US" sz="1400"/>
        </a:p>
      </xdr:txBody>
    </xdr:sp>
    <xdr:clientData/>
  </xdr:twoCellAnchor>
  <xdr:twoCellAnchor>
    <xdr:from>
      <xdr:col>39</xdr:col>
      <xdr:colOff>518</xdr:colOff>
      <xdr:row>4</xdr:row>
      <xdr:rowOff>2935</xdr:rowOff>
    </xdr:from>
    <xdr:to>
      <xdr:col>41</xdr:col>
      <xdr:colOff>1</xdr:colOff>
      <xdr:row>5</xdr:row>
      <xdr:rowOff>3964</xdr:rowOff>
    </xdr:to>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5942189" y="871036"/>
          <a:ext cx="790420" cy="328979"/>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L</a:t>
          </a:r>
          <a:endParaRPr kumimoji="1" lang="ja-JP" altLang="en-US" sz="1200" b="0">
            <a:solidFill>
              <a:schemeClr val="bg1"/>
            </a:solidFill>
          </a:endParaRPr>
        </a:p>
      </xdr:txBody>
    </xdr:sp>
    <xdr:clientData/>
  </xdr:twoCellAnchor>
  <xdr:twoCellAnchor>
    <xdr:from>
      <xdr:col>47</xdr:col>
      <xdr:colOff>1</xdr:colOff>
      <xdr:row>4</xdr:row>
      <xdr:rowOff>8237</xdr:rowOff>
    </xdr:from>
    <xdr:to>
      <xdr:col>49</xdr:col>
      <xdr:colOff>1</xdr:colOff>
      <xdr:row>5</xdr:row>
      <xdr:rowOff>0</xdr:rowOff>
    </xdr:to>
    <xdr:sp macro="" textlink="">
      <xdr:nvSpPr>
        <xdr:cNvPr id="14" name="テキスト ボックス 13">
          <a:extLst>
            <a:ext uri="{FF2B5EF4-FFF2-40B4-BE49-F238E27FC236}">
              <a16:creationId xmlns:a16="http://schemas.microsoft.com/office/drawing/2014/main" id="{00000000-0008-0000-0100-00000E000000}"/>
            </a:ext>
          </a:extLst>
        </xdr:cNvPr>
        <xdr:cNvSpPr txBox="1"/>
      </xdr:nvSpPr>
      <xdr:spPr>
        <a:xfrm>
          <a:off x="10223501" y="876070"/>
          <a:ext cx="1206500" cy="319847"/>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Dimensions</a:t>
          </a:r>
          <a:endParaRPr kumimoji="1" lang="ja-JP" altLang="en-US" sz="1600" b="1">
            <a:solidFill>
              <a:schemeClr val="bg1"/>
            </a:solidFill>
          </a:endParaRPr>
        </a:p>
      </xdr:txBody>
    </xdr:sp>
    <xdr:clientData/>
  </xdr:twoCellAnchor>
  <xdr:twoCellAnchor>
    <xdr:from>
      <xdr:col>41</xdr:col>
      <xdr:colOff>0</xdr:colOff>
      <xdr:row>4</xdr:row>
      <xdr:rowOff>0</xdr:rowOff>
    </xdr:from>
    <xdr:to>
      <xdr:col>43</xdr:col>
      <xdr:colOff>0</xdr:colOff>
      <xdr:row>5</xdr:row>
      <xdr:rowOff>0</xdr:rowOff>
    </xdr:to>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6732608" y="868101"/>
          <a:ext cx="1350379" cy="32795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  </a:t>
          </a:r>
          <a:r>
            <a:rPr kumimoji="1" lang="en-US" altLang="ja-JP" sz="1200" b="0">
              <a:solidFill>
                <a:schemeClr val="bg1"/>
              </a:solidFill>
            </a:rPr>
            <a:t>(⊿T=40C)</a:t>
          </a:r>
        </a:p>
      </xdr:txBody>
    </xdr:sp>
    <xdr:clientData/>
  </xdr:twoCellAnchor>
  <xdr:twoCellAnchor>
    <xdr:from>
      <xdr:col>43</xdr:col>
      <xdr:colOff>1</xdr:colOff>
      <xdr:row>4</xdr:row>
      <xdr:rowOff>0</xdr:rowOff>
    </xdr:from>
    <xdr:to>
      <xdr:col>45</xdr:col>
      <xdr:colOff>0</xdr:colOff>
      <xdr:row>5</xdr:row>
      <xdr:rowOff>0</xdr:rowOff>
    </xdr:to>
    <xdr:sp macro="" textlink="">
      <xdr:nvSpPr>
        <xdr:cNvPr id="16" name="テキスト ボックス 15">
          <a:extLst>
            <a:ext uri="{FF2B5EF4-FFF2-40B4-BE49-F238E27FC236}">
              <a16:creationId xmlns:a16="http://schemas.microsoft.com/office/drawing/2014/main" id="{00000000-0008-0000-0100-000010000000}"/>
            </a:ext>
          </a:extLst>
        </xdr:cNvPr>
        <xdr:cNvSpPr txBox="1"/>
      </xdr:nvSpPr>
      <xdr:spPr>
        <a:xfrm>
          <a:off x="8082988" y="868101"/>
          <a:ext cx="1408253" cy="32795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Isat </a:t>
          </a:r>
        </a:p>
      </xdr:txBody>
    </xdr:sp>
    <xdr:clientData/>
  </xdr:twoCellAnchor>
  <xdr:twoCellAnchor>
    <xdr:from>
      <xdr:col>45</xdr:col>
      <xdr:colOff>0</xdr:colOff>
      <xdr:row>4</xdr:row>
      <xdr:rowOff>0</xdr:rowOff>
    </xdr:from>
    <xdr:to>
      <xdr:col>47</xdr:col>
      <xdr:colOff>0</xdr:colOff>
      <xdr:row>5</xdr:row>
      <xdr:rowOff>0</xdr:rowOff>
    </xdr:to>
    <xdr:sp macro="" textlink="">
      <xdr:nvSpPr>
        <xdr:cNvPr id="18" name="テキスト ボックス 17">
          <a:extLst>
            <a:ext uri="{FF2B5EF4-FFF2-40B4-BE49-F238E27FC236}">
              <a16:creationId xmlns:a16="http://schemas.microsoft.com/office/drawing/2014/main" id="{00000000-0008-0000-0100-000012000000}"/>
            </a:ext>
          </a:extLst>
        </xdr:cNvPr>
        <xdr:cNvSpPr txBox="1"/>
      </xdr:nvSpPr>
      <xdr:spPr>
        <a:xfrm>
          <a:off x="9491241" y="868101"/>
          <a:ext cx="1061012" cy="32795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DCR</a:t>
          </a:r>
          <a:endParaRPr kumimoji="1" lang="ja-JP" altLang="en-US" sz="1600" b="1">
            <a:solidFill>
              <a:schemeClr val="bg1"/>
            </a:solidFill>
          </a:endParaRPr>
        </a:p>
      </xdr:txBody>
    </xdr:sp>
    <xdr:clientData/>
  </xdr:twoCellAnchor>
  <xdr:twoCellAnchor>
    <xdr:from>
      <xdr:col>9</xdr:col>
      <xdr:colOff>0</xdr:colOff>
      <xdr:row>0</xdr:row>
      <xdr:rowOff>0</xdr:rowOff>
    </xdr:from>
    <xdr:to>
      <xdr:col>53</xdr:col>
      <xdr:colOff>0</xdr:colOff>
      <xdr:row>1</xdr:row>
      <xdr:rowOff>144152</xdr:rowOff>
    </xdr:to>
    <xdr:sp macro="[0]!Scroll2" textlink="">
      <xdr:nvSpPr>
        <xdr:cNvPr id="38" name="角丸四角形 37">
          <a:extLst>
            <a:ext uri="{FF2B5EF4-FFF2-40B4-BE49-F238E27FC236}">
              <a16:creationId xmlns:a16="http://schemas.microsoft.com/office/drawing/2014/main" id="{00000000-0008-0000-0100-000026000000}"/>
            </a:ext>
          </a:extLst>
        </xdr:cNvPr>
        <xdr:cNvSpPr/>
      </xdr:nvSpPr>
      <xdr:spPr bwMode="auto">
        <a:xfrm flipH="1">
          <a:off x="5894917" y="0"/>
          <a:ext cx="8371416" cy="334652"/>
        </a:xfrm>
        <a:prstGeom prst="roundRect">
          <a:avLst/>
        </a:prstGeom>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36000" tIns="0" rIns="0" bIns="0" rtlCol="0" anchor="ctr" upright="1"/>
        <a:lstStyle/>
        <a:p>
          <a:pPr algn="ctr"/>
          <a:r>
            <a:rPr kumimoji="1" lang="en-US" altLang="ja-JP" sz="1400" baseline="0"/>
            <a:t>←Back</a:t>
          </a:r>
          <a:endParaRPr kumimoji="1" lang="ja-JP" altLang="en-US" sz="1400"/>
        </a:p>
      </xdr:txBody>
    </xdr:sp>
    <xdr:clientData/>
  </xdr:twoCellAnchor>
  <xdr:twoCellAnchor>
    <xdr:from>
      <xdr:col>6</xdr:col>
      <xdr:colOff>0</xdr:colOff>
      <xdr:row>0</xdr:row>
      <xdr:rowOff>0</xdr:rowOff>
    </xdr:from>
    <xdr:to>
      <xdr:col>7</xdr:col>
      <xdr:colOff>0</xdr:colOff>
      <xdr:row>1</xdr:row>
      <xdr:rowOff>146057</xdr:rowOff>
    </xdr:to>
    <xdr:sp macro="[0]!Scroll1" textlink="">
      <xdr:nvSpPr>
        <xdr:cNvPr id="39" name="角丸四角形 38">
          <a:extLst>
            <a:ext uri="{FF2B5EF4-FFF2-40B4-BE49-F238E27FC236}">
              <a16:creationId xmlns:a16="http://schemas.microsoft.com/office/drawing/2014/main" id="{00000000-0008-0000-0100-000027000000}"/>
            </a:ext>
          </a:extLst>
        </xdr:cNvPr>
        <xdr:cNvSpPr/>
      </xdr:nvSpPr>
      <xdr:spPr bwMode="auto">
        <a:xfrm flipH="1">
          <a:off x="4673600" y="0"/>
          <a:ext cx="1016000" cy="340790"/>
        </a:xfrm>
        <a:prstGeom prst="roundRect">
          <a:avLst/>
        </a:prstGeom>
        <a:solidFill>
          <a:schemeClr val="tx1"/>
        </a:solidFill>
        <a:ln>
          <a:headEnd type="none" w="med" len="med"/>
          <a:tailEnd type="none" w="med" len="med"/>
        </a:ln>
      </xdr:spPr>
      <xdr:style>
        <a:lnRef idx="0">
          <a:schemeClr val="dk1"/>
        </a:lnRef>
        <a:fillRef idx="3">
          <a:schemeClr val="dk1"/>
        </a:fillRef>
        <a:effectRef idx="3">
          <a:schemeClr val="dk1"/>
        </a:effectRef>
        <a:fontRef idx="minor">
          <a:schemeClr val="lt1"/>
        </a:fontRef>
      </xdr:style>
      <xdr:txBody>
        <a:bodyPr vertOverflow="clip" horzOverflow="clip" wrap="square" lIns="36000" tIns="0" rIns="0" bIns="0" rtlCol="0" anchor="ctr" upright="1"/>
        <a:lstStyle/>
        <a:p>
          <a:pPr algn="ctr"/>
          <a:r>
            <a:rPr kumimoji="1" lang="en-US" altLang="ja-JP" sz="1400" baseline="0"/>
            <a:t>Go Right→</a:t>
          </a:r>
          <a:endParaRPr kumimoji="1" lang="ja-JP" altLang="en-US" sz="1400"/>
        </a:p>
      </xdr:txBody>
    </xdr:sp>
    <xdr:clientData/>
  </xdr:twoCellAnchor>
  <xdr:twoCellAnchor>
    <xdr:from>
      <xdr:col>3</xdr:col>
      <xdr:colOff>169333</xdr:colOff>
      <xdr:row>3</xdr:row>
      <xdr:rowOff>1976</xdr:rowOff>
    </xdr:from>
    <xdr:to>
      <xdr:col>5</xdr:col>
      <xdr:colOff>235186</xdr:colOff>
      <xdr:row>16</xdr:row>
      <xdr:rowOff>0</xdr:rowOff>
    </xdr:to>
    <xdr:grpSp>
      <xdr:nvGrpSpPr>
        <xdr:cNvPr id="31" name="グループ化 30">
          <a:extLst>
            <a:ext uri="{FF2B5EF4-FFF2-40B4-BE49-F238E27FC236}">
              <a16:creationId xmlns:a16="http://schemas.microsoft.com/office/drawing/2014/main" id="{00000000-0008-0000-0100-00001F000000}"/>
            </a:ext>
          </a:extLst>
        </xdr:cNvPr>
        <xdr:cNvGrpSpPr/>
      </xdr:nvGrpSpPr>
      <xdr:grpSpPr>
        <a:xfrm>
          <a:off x="1588558" y="697301"/>
          <a:ext cx="1913703" cy="2569774"/>
          <a:chOff x="1600199" y="707572"/>
          <a:chExt cx="2051148" cy="2307297"/>
        </a:xfrm>
      </xdr:grpSpPr>
      <mc:AlternateContent xmlns:mc="http://schemas.openxmlformats.org/markup-compatibility/2006" xmlns:a14="http://schemas.microsoft.com/office/drawing/2010/main">
        <mc:Choice Requires="a14">
          <xdr:graphicFrame macro="">
            <xdr:nvGraphicFramePr>
              <xdr:cNvPr id="9" name="Lo Range (uH)">
                <a:extLst>
                  <a:ext uri="{FF2B5EF4-FFF2-40B4-BE49-F238E27FC236}">
                    <a16:creationId xmlns:a16="http://schemas.microsoft.com/office/drawing/2014/main" id="{00000000-0008-0000-0100-000009000000}"/>
                  </a:ext>
                </a:extLst>
              </xdr:cNvPr>
              <xdr:cNvGraphicFramePr/>
            </xdr:nvGraphicFramePr>
            <xdr:xfrm>
              <a:off x="1600199" y="707572"/>
              <a:ext cx="2051148" cy="2307296"/>
            </xdr:xfrm>
            <a:graphic>
              <a:graphicData uri="http://schemas.microsoft.com/office/drawing/2010/slicer">
                <sle:slicer xmlns:sle="http://schemas.microsoft.com/office/drawing/2010/slicer" name="Lo Range (uH)"/>
              </a:graphicData>
            </a:graphic>
          </xdr:graphicFrame>
        </mc:Choice>
        <mc:Fallback xmlns="">
          <xdr:sp macro="" textlink="">
            <xdr:nvSpPr>
              <xdr:cNvPr id="0" name=""/>
              <xdr:cNvSpPr>
                <a:spLocks noTextEdit="1"/>
              </xdr:cNvSpPr>
            </xdr:nvSpPr>
            <xdr:spPr>
              <a:xfrm>
                <a:off x="1634066" y="713176"/>
                <a:ext cx="1962387" cy="2631156"/>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43" name="角丸四角形 42">
            <a:extLst>
              <a:ext uri="{FF2B5EF4-FFF2-40B4-BE49-F238E27FC236}">
                <a16:creationId xmlns:a16="http://schemas.microsoft.com/office/drawing/2014/main" id="{00000000-0008-0000-0100-00002B000000}"/>
              </a:ext>
            </a:extLst>
          </xdr:cNvPr>
          <xdr:cNvSpPr/>
        </xdr:nvSpPr>
        <xdr:spPr bwMode="auto">
          <a:xfrm>
            <a:off x="1600199" y="710640"/>
            <a:ext cx="2034293" cy="2304229"/>
          </a:xfrm>
          <a:prstGeom prst="roundRect">
            <a:avLst>
              <a:gd name="adj" fmla="val 2966"/>
            </a:avLst>
          </a:prstGeom>
          <a:noFill/>
          <a:ln w="38100" cap="flat" cmpd="sng" algn="ctr">
            <a:solidFill>
              <a:srgbClr val="00B0F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clientData/>
  </xdr:twoCellAnchor>
  <mc:AlternateContent xmlns:mc="http://schemas.openxmlformats.org/markup-compatibility/2006">
    <mc:Choice xmlns:a14="http://schemas.microsoft.com/office/drawing/2010/main" Requires="a14">
      <xdr:twoCellAnchor>
        <xdr:from>
          <xdr:col>5</xdr:col>
          <xdr:colOff>1000125</xdr:colOff>
          <xdr:row>2</xdr:row>
          <xdr:rowOff>66675</xdr:rowOff>
        </xdr:from>
        <xdr:to>
          <xdr:col>6</xdr:col>
          <xdr:colOff>933450</xdr:colOff>
          <xdr:row>2</xdr:row>
          <xdr:rowOff>247650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0000-00000248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de-DE" sz="1000" b="1" i="0" u="none" strike="noStrike" baseline="0">
                  <a:solidFill>
                    <a:srgbClr val="000000"/>
                  </a:solidFill>
                  <a:latin typeface="Meiryo UI"/>
                  <a:ea typeface="Meiryo UI"/>
                </a:rPr>
                <a:t>Clear All</a:t>
              </a:r>
            </a:p>
          </xdr:txBody>
        </xdr:sp>
        <xdr:clientData fPrintsWithSheet="0"/>
      </xdr:twoCellAnchor>
    </mc:Choice>
    <mc:Fallback/>
  </mc:AlternateContent>
  <xdr:twoCellAnchor>
    <xdr:from>
      <xdr:col>5</xdr:col>
      <xdr:colOff>225778</xdr:colOff>
      <xdr:row>3</xdr:row>
      <xdr:rowOff>1</xdr:rowOff>
    </xdr:from>
    <xdr:to>
      <xdr:col>7</xdr:col>
      <xdr:colOff>2</xdr:colOff>
      <xdr:row>16</xdr:row>
      <xdr:rowOff>0</xdr:rowOff>
    </xdr:to>
    <xdr:grpSp>
      <xdr:nvGrpSpPr>
        <xdr:cNvPr id="26" name="グループ化 25">
          <a:extLst>
            <a:ext uri="{FF2B5EF4-FFF2-40B4-BE49-F238E27FC236}">
              <a16:creationId xmlns:a16="http://schemas.microsoft.com/office/drawing/2014/main" id="{00000000-0008-0000-0100-00001A000000}"/>
            </a:ext>
          </a:extLst>
        </xdr:cNvPr>
        <xdr:cNvGrpSpPr/>
      </xdr:nvGrpSpPr>
      <xdr:grpSpPr>
        <a:xfrm>
          <a:off x="3492853" y="695326"/>
          <a:ext cx="1650649" cy="2571749"/>
          <a:chOff x="3877572" y="738157"/>
          <a:chExt cx="1841723" cy="1746603"/>
        </a:xfrm>
      </xdr:grpSpPr>
      <mc:AlternateContent xmlns:mc="http://schemas.openxmlformats.org/markup-compatibility/2006" xmlns:a14="http://schemas.microsoft.com/office/drawing/2010/main">
        <mc:Choice Requires="a14">
          <xdr:graphicFrame macro="">
            <xdr:nvGraphicFramePr>
              <xdr:cNvPr id="44" name="Max Height Range (mm)">
                <a:extLst>
                  <a:ext uri="{FF2B5EF4-FFF2-40B4-BE49-F238E27FC236}">
                    <a16:creationId xmlns:a16="http://schemas.microsoft.com/office/drawing/2014/main" id="{00000000-0008-0000-0100-00002C000000}"/>
                  </a:ext>
                </a:extLst>
              </xdr:cNvPr>
              <xdr:cNvGraphicFramePr/>
            </xdr:nvGraphicFramePr>
            <xdr:xfrm>
              <a:off x="4737913" y="738157"/>
              <a:ext cx="981382" cy="1746603"/>
            </xdr:xfrm>
            <a:graphic>
              <a:graphicData uri="http://schemas.microsoft.com/office/drawing/2010/slicer">
                <sle:slicer xmlns:sle="http://schemas.microsoft.com/office/drawing/2010/slicer" name="Max Height Range (mm)"/>
              </a:graphicData>
            </a:graphic>
          </xdr:graphicFrame>
        </mc:Choice>
        <mc:Fallback xmlns="">
          <xdr:sp macro="" textlink="">
            <xdr:nvSpPr>
              <xdr:cNvPr id="0" name=""/>
              <xdr:cNvSpPr>
                <a:spLocks noTextEdit="1"/>
              </xdr:cNvSpPr>
            </xdr:nvSpPr>
            <xdr:spPr>
              <a:xfrm>
                <a:off x="4383342" y="711201"/>
                <a:ext cx="908327" cy="2633132"/>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28" name="Rough Size (mm)">
                <a:extLst>
                  <a:ext uri="{FF2B5EF4-FFF2-40B4-BE49-F238E27FC236}">
                    <a16:creationId xmlns:a16="http://schemas.microsoft.com/office/drawing/2014/main" id="{00000000-0008-0000-0100-00001C000000}"/>
                  </a:ext>
                </a:extLst>
              </xdr:cNvPr>
              <xdr:cNvGraphicFramePr/>
            </xdr:nvGraphicFramePr>
            <xdr:xfrm>
              <a:off x="3877572" y="739071"/>
              <a:ext cx="863637" cy="1745688"/>
            </xdr:xfrm>
            <a:graphic>
              <a:graphicData uri="http://schemas.microsoft.com/office/drawing/2010/slicer">
                <sle:slicer xmlns:sle="http://schemas.microsoft.com/office/drawing/2010/slicer" name="Rough Size (mm)"/>
              </a:graphicData>
            </a:graphic>
          </xdr:graphicFrame>
        </mc:Choice>
        <mc:Fallback xmlns="">
          <xdr:sp macro="" textlink="">
            <xdr:nvSpPr>
              <xdr:cNvPr id="0" name=""/>
              <xdr:cNvSpPr>
                <a:spLocks noTextEdit="1"/>
              </xdr:cNvSpPr>
            </xdr:nvSpPr>
            <xdr:spPr>
              <a:xfrm>
                <a:off x="3587045" y="712579"/>
                <a:ext cx="799347" cy="2631753"/>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grpSp>
    <xdr:clientData/>
  </xdr:twoCellAnchor>
  <xdr:twoCellAnchor>
    <xdr:from>
      <xdr:col>52</xdr:col>
      <xdr:colOff>124952</xdr:colOff>
      <xdr:row>2</xdr:row>
      <xdr:rowOff>57029</xdr:rowOff>
    </xdr:from>
    <xdr:to>
      <xdr:col>52</xdr:col>
      <xdr:colOff>1143486</xdr:colOff>
      <xdr:row>2</xdr:row>
      <xdr:rowOff>248459</xdr:rowOff>
    </xdr:to>
    <xdr:grpSp>
      <xdr:nvGrpSpPr>
        <xdr:cNvPr id="56" name="グループ化 55">
          <a:extLst>
            <a:ext uri="{FF2B5EF4-FFF2-40B4-BE49-F238E27FC236}">
              <a16:creationId xmlns:a16="http://schemas.microsoft.com/office/drawing/2014/main" id="{00000000-0008-0000-0100-000038000000}"/>
            </a:ext>
          </a:extLst>
        </xdr:cNvPr>
        <xdr:cNvGrpSpPr/>
      </xdr:nvGrpSpPr>
      <xdr:grpSpPr>
        <a:xfrm>
          <a:off x="17946227" y="438029"/>
          <a:ext cx="1018534" cy="191430"/>
          <a:chOff x="12230100" y="409188"/>
          <a:chExt cx="1087114" cy="180000"/>
        </a:xfrm>
      </xdr:grpSpPr>
      <mc:AlternateContent xmlns:mc="http://schemas.openxmlformats.org/markup-compatibility/2006" xmlns:a14="http://schemas.microsoft.com/office/drawing/2010/main">
        <mc:Choice Requires="a14">
          <xdr:pic>
            <xdr:nvPicPr>
              <xdr:cNvPr id="59" name="図 58">
                <a:extLst>
                  <a:ext uri="{FF2B5EF4-FFF2-40B4-BE49-F238E27FC236}">
                    <a16:creationId xmlns:a16="http://schemas.microsoft.com/office/drawing/2014/main" id="{00000000-0008-0000-0100-00003B000000}"/>
                  </a:ext>
                </a:extLst>
              </xdr:cNvPr>
              <xdr:cNvPicPr>
                <a:picLocks noChangeAspect="1" noChangeArrowheads="1"/>
                <a:extLst>
                  <a:ext uri="{84589F7E-364E-4C9E-8A38-B11213B215E9}">
                    <a14:cameraTool cellRange="CE1" spid="_x0000_s104859"/>
                  </a:ext>
                </a:extLst>
              </xdr:cNvPicPr>
            </xdr:nvPicPr>
            <xdr:blipFill rotWithShape="1">
              <a:blip xmlns:r="http://schemas.openxmlformats.org/officeDocument/2006/relationships" r:embed="rId1"/>
              <a:srcRect l="50305" t="15385" b="19230"/>
              <a:stretch>
                <a:fillRect/>
              </a:stretch>
            </xdr:blipFill>
            <xdr:spPr bwMode="auto">
              <a:xfrm>
                <a:off x="12874627" y="409188"/>
                <a:ext cx="442587" cy="180000"/>
              </a:xfrm>
              <a:prstGeom prst="rect">
                <a:avLst/>
              </a:prstGeom>
              <a:solidFill>
                <a:sysClr val="window" lastClr="FFFFFF"/>
              </a:solidFill>
            </xdr:spPr>
          </xdr:pic>
        </mc:Choice>
        <mc:Fallback xmlns=""/>
      </mc:AlternateContent>
      <xdr:sp macro="" textlink="">
        <xdr:nvSpPr>
          <xdr:cNvPr id="60" name="テキスト ボックス 59">
            <a:extLst>
              <a:ext uri="{FF2B5EF4-FFF2-40B4-BE49-F238E27FC236}">
                <a16:creationId xmlns:a16="http://schemas.microsoft.com/office/drawing/2014/main" id="{00000000-0008-0000-0100-00003C000000}"/>
              </a:ext>
            </a:extLst>
          </xdr:cNvPr>
          <xdr:cNvSpPr txBox="1"/>
        </xdr:nvSpPr>
        <xdr:spPr>
          <a:xfrm>
            <a:off x="12230100" y="409575"/>
            <a:ext cx="648000" cy="1728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nchorCtr="0"/>
          <a:lstStyle/>
          <a:p>
            <a:pPr algn="ctr"/>
            <a:r>
              <a:rPr kumimoji="1" lang="en-US" altLang="ja-JP" sz="1000">
                <a:solidFill>
                  <a:schemeClr val="bg1"/>
                </a:solidFill>
              </a:rPr>
              <a:t>PN count</a:t>
            </a:r>
            <a:endParaRPr kumimoji="1" lang="ja-JP" altLang="en-US" sz="1000">
              <a:solidFill>
                <a:schemeClr val="bg1"/>
              </a:solidFill>
            </a:endParaRPr>
          </a:p>
        </xdr:txBody>
      </xdr:sp>
    </xdr:grpSp>
    <xdr:clientData/>
  </xdr:twoCellAnchor>
  <mc:AlternateContent xmlns:mc="http://schemas.openxmlformats.org/markup-compatibility/2006">
    <mc:Choice xmlns:a14="http://schemas.microsoft.com/office/drawing/2010/main" Requires="a14">
      <xdr:twoCellAnchor>
        <xdr:from>
          <xdr:col>52</xdr:col>
          <xdr:colOff>228600</xdr:colOff>
          <xdr:row>5</xdr:row>
          <xdr:rowOff>209550</xdr:rowOff>
        </xdr:from>
        <xdr:to>
          <xdr:col>52</xdr:col>
          <xdr:colOff>876300</xdr:colOff>
          <xdr:row>5</xdr:row>
          <xdr:rowOff>381000</xdr:rowOff>
        </xdr:to>
        <xdr:sp macro="" textlink="">
          <xdr:nvSpPr>
            <xdr:cNvPr id="83972" name="Button 4" hidden="1">
              <a:extLst>
                <a:ext uri="{63B3BB69-23CF-44E3-9099-C40C66FF867C}">
                  <a14:compatExt spid="_x0000_s83972"/>
                </a:ext>
                <a:ext uri="{FF2B5EF4-FFF2-40B4-BE49-F238E27FC236}">
                  <a16:creationId xmlns:a16="http://schemas.microsoft.com/office/drawing/2014/main" id="{00000000-0008-0000-0000-00000448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All</a:t>
              </a:r>
            </a:p>
          </xdr:txBody>
        </xdr:sp>
        <xdr:clientData fPrintsWithSheet="0"/>
      </xdr:twoCellAnchor>
    </mc:Choice>
    <mc:Fallback/>
  </mc:AlternateContent>
  <xdr:twoCellAnchor>
    <xdr:from>
      <xdr:col>3</xdr:col>
      <xdr:colOff>287866</xdr:colOff>
      <xdr:row>2</xdr:row>
      <xdr:rowOff>50800</xdr:rowOff>
    </xdr:from>
    <xdr:to>
      <xdr:col>5</xdr:col>
      <xdr:colOff>926948</xdr:colOff>
      <xdr:row>2</xdr:row>
      <xdr:rowOff>274623</xdr:rowOff>
    </xdr:to>
    <xdr:sp macro="" textlink="">
      <xdr:nvSpPr>
        <xdr:cNvPr id="66" name="テキスト ボックス 65">
          <a:extLst>
            <a:ext uri="{FF2B5EF4-FFF2-40B4-BE49-F238E27FC236}">
              <a16:creationId xmlns:a16="http://schemas.microsoft.com/office/drawing/2014/main" id="{00000000-0008-0000-0100-000042000000}"/>
            </a:ext>
          </a:extLst>
        </xdr:cNvPr>
        <xdr:cNvSpPr txBox="1"/>
      </xdr:nvSpPr>
      <xdr:spPr>
        <a:xfrm>
          <a:off x="1921933" y="440267"/>
          <a:ext cx="2535615" cy="223823"/>
        </a:xfrm>
        <a:prstGeom prst="rect">
          <a:avLst/>
        </a:prstGeom>
        <a:noFill/>
        <a:ln w="9525" cmpd="sng">
          <a:noFill/>
        </a:ln>
        <a:effectLst>
          <a:outerShdw blurRad="50800" dist="12700" dir="10800000" algn="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marL="0" marR="0" indent="0" algn="r" defTabSz="914400" eaLnBrk="1" fontAlgn="auto" latinLnBrk="0" hangingPunct="1">
            <a:lnSpc>
              <a:spcPct val="100000"/>
            </a:lnSpc>
            <a:spcBef>
              <a:spcPts val="0"/>
            </a:spcBef>
            <a:spcAft>
              <a:spcPts val="0"/>
            </a:spcAft>
            <a:buClrTx/>
            <a:buSzTx/>
            <a:buFontTx/>
            <a:buNone/>
            <a:tabLst/>
            <a:defRPr/>
          </a:pPr>
          <a:r>
            <a:rPr kumimoji="1" lang="en-US" altLang="ja-JP" sz="1200" b="0" i="1" u="none" baseline="0">
              <a:solidFill>
                <a:schemeClr val="bg1"/>
              </a:solidFill>
              <a:effectLst/>
              <a:latin typeface="+mn-lt"/>
              <a:ea typeface="+mn-ea"/>
              <a:cs typeface="+mn-cs"/>
            </a:rPr>
            <a:t>Last data update - 6.Feb.2026</a:t>
          </a:r>
        </a:p>
      </xdr:txBody>
    </xdr:sp>
    <xdr:clientData/>
  </xdr:twoCellAnchor>
  <xdr:twoCellAnchor>
    <xdr:from>
      <xdr:col>52</xdr:col>
      <xdr:colOff>1</xdr:colOff>
      <xdr:row>4</xdr:row>
      <xdr:rowOff>0</xdr:rowOff>
    </xdr:from>
    <xdr:to>
      <xdr:col>53</xdr:col>
      <xdr:colOff>1</xdr:colOff>
      <xdr:row>5</xdr:row>
      <xdr:rowOff>0</xdr:rowOff>
    </xdr:to>
    <xdr:sp macro="" textlink="">
      <xdr:nvSpPr>
        <xdr:cNvPr id="67" name="テキスト ボックス 66">
          <a:extLst>
            <a:ext uri="{FF2B5EF4-FFF2-40B4-BE49-F238E27FC236}">
              <a16:creationId xmlns:a16="http://schemas.microsoft.com/office/drawing/2014/main" id="{00000000-0008-0000-0100-000043000000}"/>
            </a:ext>
          </a:extLst>
        </xdr:cNvPr>
        <xdr:cNvSpPr txBox="1"/>
      </xdr:nvSpPr>
      <xdr:spPr>
        <a:xfrm>
          <a:off x="12975168" y="867833"/>
          <a:ext cx="1291166" cy="328084"/>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Ordering Info</a:t>
          </a:r>
          <a:endParaRPr kumimoji="1" lang="ja-JP" altLang="en-US" sz="1600" b="1">
            <a:solidFill>
              <a:schemeClr val="bg1"/>
            </a:solidFill>
          </a:endParaRPr>
        </a:p>
      </xdr:txBody>
    </xdr:sp>
    <xdr:clientData/>
  </xdr:twoCellAnchor>
  <xdr:twoCellAnchor>
    <xdr:from>
      <xdr:col>6</xdr:col>
      <xdr:colOff>85445</xdr:colOff>
      <xdr:row>2</xdr:row>
      <xdr:rowOff>312216</xdr:rowOff>
    </xdr:from>
    <xdr:to>
      <xdr:col>6</xdr:col>
      <xdr:colOff>618064</xdr:colOff>
      <xdr:row>4</xdr:row>
      <xdr:rowOff>42334</xdr:rowOff>
    </xdr:to>
    <xdr:sp macro="" textlink="">
      <xdr:nvSpPr>
        <xdr:cNvPr id="68" name="テキスト ボックス 67">
          <a:extLst>
            <a:ext uri="{FF2B5EF4-FFF2-40B4-BE49-F238E27FC236}">
              <a16:creationId xmlns:a16="http://schemas.microsoft.com/office/drawing/2014/main" id="{00000000-0008-0000-0100-000044000000}"/>
            </a:ext>
          </a:extLst>
        </xdr:cNvPr>
        <xdr:cNvSpPr txBox="1"/>
      </xdr:nvSpPr>
      <xdr:spPr>
        <a:xfrm>
          <a:off x="4742112" y="701683"/>
          <a:ext cx="532619" cy="2296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1"/>
            <a:t>Height range</a:t>
          </a:r>
          <a:r>
            <a:rPr kumimoji="1" lang="en-US" altLang="ja-JP" sz="700" b="1"/>
            <a:t> (mm)</a:t>
          </a:r>
        </a:p>
      </xdr:txBody>
    </xdr:sp>
    <xdr:clientData/>
  </xdr:twoCellAnchor>
  <xdr:twoCellAnchor>
    <xdr:from>
      <xdr:col>5</xdr:col>
      <xdr:colOff>291276</xdr:colOff>
      <xdr:row>2</xdr:row>
      <xdr:rowOff>305720</xdr:rowOff>
    </xdr:from>
    <xdr:to>
      <xdr:col>5</xdr:col>
      <xdr:colOff>813276</xdr:colOff>
      <xdr:row>4</xdr:row>
      <xdr:rowOff>67236</xdr:rowOff>
    </xdr:to>
    <xdr:sp macro="" textlink="">
      <xdr:nvSpPr>
        <xdr:cNvPr id="69" name="テキスト ボックス 68">
          <a:extLst>
            <a:ext uri="{FF2B5EF4-FFF2-40B4-BE49-F238E27FC236}">
              <a16:creationId xmlns:a16="http://schemas.microsoft.com/office/drawing/2014/main" id="{00000000-0008-0000-0100-000045000000}"/>
            </a:ext>
          </a:extLst>
        </xdr:cNvPr>
        <xdr:cNvSpPr txBox="1"/>
      </xdr:nvSpPr>
      <xdr:spPr>
        <a:xfrm>
          <a:off x="3950757" y="682016"/>
          <a:ext cx="522000" cy="2507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1"/>
            <a:t>Rough size</a:t>
          </a:r>
          <a:r>
            <a:rPr kumimoji="1" lang="en-US" altLang="ja-JP" sz="700" b="1"/>
            <a:t> (mm)</a:t>
          </a:r>
        </a:p>
      </xdr:txBody>
    </xdr:sp>
    <xdr:clientData/>
  </xdr:twoCellAnchor>
  <xdr:twoCellAnchor>
    <xdr:from>
      <xdr:col>0</xdr:col>
      <xdr:colOff>0</xdr:colOff>
      <xdr:row>31</xdr:row>
      <xdr:rowOff>1</xdr:rowOff>
    </xdr:from>
    <xdr:to>
      <xdr:col>8</xdr:col>
      <xdr:colOff>0</xdr:colOff>
      <xdr:row>32</xdr:row>
      <xdr:rowOff>25400</xdr:rowOff>
    </xdr:to>
    <xdr:sp macro="" textlink="">
      <xdr:nvSpPr>
        <xdr:cNvPr id="62" name="テキスト ボックス 61">
          <a:hlinkClick xmlns:r="http://schemas.openxmlformats.org/officeDocument/2006/relationships" r:id="rId2"/>
          <a:extLst>
            <a:ext uri="{FF2B5EF4-FFF2-40B4-BE49-F238E27FC236}">
              <a16:creationId xmlns:a16="http://schemas.microsoft.com/office/drawing/2014/main" id="{00000000-0008-0000-0100-00003E000000}"/>
            </a:ext>
          </a:extLst>
        </xdr:cNvPr>
        <xdr:cNvSpPr txBox="1"/>
      </xdr:nvSpPr>
      <xdr:spPr>
        <a:xfrm>
          <a:off x="0" y="5884334"/>
          <a:ext cx="5350933" cy="1947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en-US" altLang="ja-JP" sz="800" b="1"/>
            <a:t>For more Info: </a:t>
          </a:r>
          <a:r>
            <a:rPr kumimoji="1" lang="en-US" altLang="ja-JP" sz="800" b="1" u="sng">
              <a:solidFill>
                <a:srgbClr val="0070C0"/>
              </a:solidFill>
            </a:rPr>
            <a:t>https://industrial.panasonic.com/ww/products/inductors/automotive-inductors/automotive-inductors</a:t>
          </a:r>
          <a:endParaRPr kumimoji="1" lang="ja-JP" altLang="en-US" sz="800" b="1" u="sng">
            <a:solidFill>
              <a:srgbClr val="0070C0"/>
            </a:solidFill>
          </a:endParaRPr>
        </a:p>
      </xdr:txBody>
    </xdr:sp>
    <xdr:clientData/>
  </xdr:twoCellAnchor>
  <xdr:twoCellAnchor>
    <xdr:from>
      <xdr:col>5</xdr:col>
      <xdr:colOff>206963</xdr:colOff>
      <xdr:row>2</xdr:row>
      <xdr:rowOff>304800</xdr:rowOff>
    </xdr:from>
    <xdr:to>
      <xdr:col>7</xdr:col>
      <xdr:colOff>1</xdr:colOff>
      <xdr:row>15</xdr:row>
      <xdr:rowOff>169332</xdr:rowOff>
    </xdr:to>
    <xdr:sp macro="" textlink="">
      <xdr:nvSpPr>
        <xdr:cNvPr id="71" name="角丸四角形 70">
          <a:extLst>
            <a:ext uri="{FF2B5EF4-FFF2-40B4-BE49-F238E27FC236}">
              <a16:creationId xmlns:a16="http://schemas.microsoft.com/office/drawing/2014/main" id="{00000000-0008-0000-0100-000047000000}"/>
            </a:ext>
          </a:extLst>
        </xdr:cNvPr>
        <xdr:cNvSpPr/>
      </xdr:nvSpPr>
      <xdr:spPr bwMode="auto">
        <a:xfrm>
          <a:off x="3568230" y="694267"/>
          <a:ext cx="1723438" cy="2650065"/>
        </a:xfrm>
        <a:prstGeom prst="roundRect">
          <a:avLst>
            <a:gd name="adj" fmla="val 2966"/>
          </a:avLst>
        </a:prstGeom>
        <a:noFill/>
        <a:ln w="38100" cap="flat" cmpd="sng" algn="ctr">
          <a:solidFill>
            <a:srgbClr val="92D050"/>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1</xdr:col>
      <xdr:colOff>0</xdr:colOff>
      <xdr:row>2</xdr:row>
      <xdr:rowOff>314935</xdr:rowOff>
    </xdr:from>
    <xdr:to>
      <xdr:col>3</xdr:col>
      <xdr:colOff>179705</xdr:colOff>
      <xdr:row>15</xdr:row>
      <xdr:rowOff>158690</xdr:rowOff>
    </xdr:to>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57150" y="695935"/>
          <a:ext cx="1541780" cy="2567905"/>
          <a:chOff x="42089" y="704932"/>
          <a:chExt cx="1543594" cy="2202060"/>
        </a:xfrm>
      </xdr:grpSpPr>
      <mc:AlternateContent xmlns:mc="http://schemas.openxmlformats.org/markup-compatibility/2006" xmlns:a14="http://schemas.microsoft.com/office/drawing/2010/main">
        <mc:Choice Requires="a14">
          <xdr:graphicFrame macro="">
            <xdr:nvGraphicFramePr>
              <xdr:cNvPr id="2" name="Status">
                <a:extLst>
                  <a:ext uri="{FF2B5EF4-FFF2-40B4-BE49-F238E27FC236}">
                    <a16:creationId xmlns:a16="http://schemas.microsoft.com/office/drawing/2014/main" id="{00000000-0008-0000-0100-000002000000}"/>
                  </a:ext>
                </a:extLst>
              </xdr:cNvPr>
              <xdr:cNvGraphicFramePr/>
            </xdr:nvGraphicFramePr>
            <xdr:xfrm>
              <a:off x="50798" y="704932"/>
              <a:ext cx="1534885" cy="162117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50800" y="704466"/>
                <a:ext cx="1752600" cy="199640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grpSp>
        <xdr:nvGrpSpPr>
          <xdr:cNvPr id="17" name="グループ化 16">
            <a:extLst>
              <a:ext uri="{FF2B5EF4-FFF2-40B4-BE49-F238E27FC236}">
                <a16:creationId xmlns:a16="http://schemas.microsoft.com/office/drawing/2014/main" id="{00000000-0008-0000-0100-000011000000}"/>
              </a:ext>
            </a:extLst>
          </xdr:cNvPr>
          <xdr:cNvGrpSpPr/>
        </xdr:nvGrpSpPr>
        <xdr:grpSpPr>
          <a:xfrm>
            <a:off x="42089" y="2325507"/>
            <a:ext cx="1533455" cy="581485"/>
            <a:chOff x="49148" y="2312758"/>
            <a:chExt cx="1533827" cy="576935"/>
          </a:xfrm>
        </xdr:grpSpPr>
        <mc:AlternateContent xmlns:mc="http://schemas.openxmlformats.org/markup-compatibility/2006" xmlns:a14="http://schemas.microsoft.com/office/drawing/2010/main">
          <mc:Choice Requires="a14">
            <xdr:graphicFrame macro="">
              <xdr:nvGraphicFramePr>
                <xdr:cNvPr id="22" name="Max Temp (deg.C)">
                  <a:extLst>
                    <a:ext uri="{FF2B5EF4-FFF2-40B4-BE49-F238E27FC236}">
                      <a16:creationId xmlns:a16="http://schemas.microsoft.com/office/drawing/2014/main" id="{00000000-0008-0000-0100-000016000000}"/>
                    </a:ext>
                  </a:extLst>
                </xdr:cNvPr>
                <xdr:cNvGraphicFramePr/>
              </xdr:nvGraphicFramePr>
              <xdr:xfrm>
                <a:off x="49148" y="2476410"/>
                <a:ext cx="1533827" cy="413283"/>
              </xdr:xfrm>
              <a:graphic>
                <a:graphicData uri="http://schemas.microsoft.com/office/drawing/2010/slicer">
                  <sle:slicer xmlns:sle="http://schemas.microsoft.com/office/drawing/2010/slicer" name="Max Temp (deg.C)"/>
                </a:graphicData>
              </a:graphic>
            </xdr:graphicFrame>
          </mc:Choice>
          <mc:Fallback xmlns="">
            <xdr:sp macro="" textlink="">
              <xdr:nvSpPr>
                <xdr:cNvPr id="0" name=""/>
                <xdr:cNvSpPr>
                  <a:spLocks noTextEdit="1"/>
                </xdr:cNvSpPr>
              </xdr:nvSpPr>
              <xdr:spPr>
                <a:xfrm>
                  <a:off x="59267" y="2836333"/>
                  <a:ext cx="1574759" cy="497357"/>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64" name="正方形/長方形 63">
              <a:extLst>
                <a:ext uri="{FF2B5EF4-FFF2-40B4-BE49-F238E27FC236}">
                  <a16:creationId xmlns:a16="http://schemas.microsoft.com/office/drawing/2014/main" id="{00000000-0008-0000-0100-000040000000}"/>
                </a:ext>
              </a:extLst>
            </xdr:cNvPr>
            <xdr:cNvSpPr/>
          </xdr:nvSpPr>
          <xdr:spPr bwMode="auto">
            <a:xfrm rot="5400000">
              <a:off x="771748" y="1591806"/>
              <a:ext cx="82096" cy="1523999"/>
            </a:xfrm>
            <a:prstGeom prst="rect">
              <a:avLst/>
            </a:prstGeom>
            <a:solidFill>
              <a:srgbClr val="FFFFFF"/>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grpSp>
    <xdr:clientData/>
  </xdr:twoCellAnchor>
  <xdr:twoCellAnchor>
    <xdr:from>
      <xdr:col>49</xdr:col>
      <xdr:colOff>0</xdr:colOff>
      <xdr:row>4</xdr:row>
      <xdr:rowOff>0</xdr:rowOff>
    </xdr:from>
    <xdr:to>
      <xdr:col>52</xdr:col>
      <xdr:colOff>0</xdr:colOff>
      <xdr:row>5</xdr:row>
      <xdr:rowOff>0</xdr:rowOff>
    </xdr:to>
    <xdr:sp macro="" textlink="">
      <xdr:nvSpPr>
        <xdr:cNvPr id="82" name="テキスト ボックス 81">
          <a:extLst>
            <a:ext uri="{FF2B5EF4-FFF2-40B4-BE49-F238E27FC236}">
              <a16:creationId xmlns:a16="http://schemas.microsoft.com/office/drawing/2014/main" id="{00000000-0008-0000-0100-000052000000}"/>
            </a:ext>
          </a:extLst>
        </xdr:cNvPr>
        <xdr:cNvSpPr txBox="1"/>
      </xdr:nvSpPr>
      <xdr:spPr>
        <a:xfrm>
          <a:off x="11430000" y="867833"/>
          <a:ext cx="1545167" cy="328084"/>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Grade</a:t>
          </a:r>
          <a:endParaRPr kumimoji="1" lang="ja-JP" altLang="en-US" sz="1600" b="1">
            <a:solidFill>
              <a:schemeClr val="bg1"/>
            </a:solidFill>
          </a:endParaRPr>
        </a:p>
      </xdr:txBody>
    </xdr:sp>
    <xdr:clientData/>
  </xdr:twoCellAnchor>
  <xdr:twoCellAnchor>
    <xdr:from>
      <xdr:col>1</xdr:col>
      <xdr:colOff>0</xdr:colOff>
      <xdr:row>32</xdr:row>
      <xdr:rowOff>32833</xdr:rowOff>
    </xdr:from>
    <xdr:to>
      <xdr:col>7</xdr:col>
      <xdr:colOff>0</xdr:colOff>
      <xdr:row>54</xdr:row>
      <xdr:rowOff>0</xdr:rowOff>
    </xdr:to>
    <xdr:grpSp>
      <xdr:nvGrpSpPr>
        <xdr:cNvPr id="25" name="グループ化 24">
          <a:extLst>
            <a:ext uri="{FF2B5EF4-FFF2-40B4-BE49-F238E27FC236}">
              <a16:creationId xmlns:a16="http://schemas.microsoft.com/office/drawing/2014/main" id="{00000000-0008-0000-0100-000019000000}"/>
            </a:ext>
          </a:extLst>
        </xdr:cNvPr>
        <xdr:cNvGrpSpPr/>
      </xdr:nvGrpSpPr>
      <xdr:grpSpPr>
        <a:xfrm>
          <a:off x="57150" y="5890708"/>
          <a:ext cx="5086350" cy="3529517"/>
          <a:chOff x="59267" y="4672566"/>
          <a:chExt cx="5638800" cy="3692501"/>
        </a:xfrm>
      </xdr:grpSpPr>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59267" y="7518400"/>
            <a:ext cx="5638800" cy="846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100" b="1"/>
              <a:t>Disclaimer</a:t>
            </a:r>
          </a:p>
          <a:p>
            <a:pPr algn="ctr"/>
            <a:r>
              <a:rPr kumimoji="1" lang="en-US" altLang="ja-JP" sz="1100" b="0"/>
              <a:t>This is a tool for reference data for convenience.   Selected product PN(s) to be confirmed by the users for use in their design(s), using current, official, Panasonic data sheets and specifications.</a:t>
            </a:r>
          </a:p>
          <a:p>
            <a:pPr algn="ctr"/>
            <a:r>
              <a:rPr kumimoji="1" lang="en-US" altLang="ja-JP" sz="1100" b="0"/>
              <a:t>Panasonic is not responsible for errors in this document.</a:t>
            </a:r>
          </a:p>
        </xdr:txBody>
      </xdr:sp>
      <xdr:grpSp>
        <xdr:nvGrpSpPr>
          <xdr:cNvPr id="23" name="グループ化 22">
            <a:extLst>
              <a:ext uri="{FF2B5EF4-FFF2-40B4-BE49-F238E27FC236}">
                <a16:creationId xmlns:a16="http://schemas.microsoft.com/office/drawing/2014/main" id="{00000000-0008-0000-0100-000017000000}"/>
              </a:ext>
            </a:extLst>
          </xdr:cNvPr>
          <xdr:cNvGrpSpPr/>
        </xdr:nvGrpSpPr>
        <xdr:grpSpPr>
          <a:xfrm>
            <a:off x="59267" y="4672566"/>
            <a:ext cx="5638800" cy="2676501"/>
            <a:chOff x="59267" y="4672566"/>
            <a:chExt cx="5638800" cy="2676501"/>
          </a:xfrm>
        </xdr:grpSpPr>
        <xdr:grpSp>
          <xdr:nvGrpSpPr>
            <xdr:cNvPr id="49" name="グループ化 48">
              <a:extLst>
                <a:ext uri="{FF2B5EF4-FFF2-40B4-BE49-F238E27FC236}">
                  <a16:creationId xmlns:a16="http://schemas.microsoft.com/office/drawing/2014/main" id="{00000000-0008-0000-0100-000031000000}"/>
                </a:ext>
              </a:extLst>
            </xdr:cNvPr>
            <xdr:cNvGrpSpPr/>
          </xdr:nvGrpSpPr>
          <xdr:grpSpPr>
            <a:xfrm>
              <a:off x="59267" y="4672566"/>
              <a:ext cx="5638800" cy="2676501"/>
              <a:chOff x="52917" y="5015467"/>
              <a:chExt cx="5640916" cy="2668035"/>
            </a:xfrm>
          </xdr:grpSpPr>
          <xdr:grpSp>
            <xdr:nvGrpSpPr>
              <xdr:cNvPr id="76" name="グループ化 75">
                <a:extLst>
                  <a:ext uri="{FF2B5EF4-FFF2-40B4-BE49-F238E27FC236}">
                    <a16:creationId xmlns:a16="http://schemas.microsoft.com/office/drawing/2014/main" id="{00000000-0008-0000-0100-00004C000000}"/>
                  </a:ext>
                </a:extLst>
              </xdr:cNvPr>
              <xdr:cNvGrpSpPr/>
            </xdr:nvGrpSpPr>
            <xdr:grpSpPr>
              <a:xfrm>
                <a:off x="52917" y="5015467"/>
                <a:ext cx="5640916" cy="2668035"/>
                <a:chOff x="-150441" y="8875046"/>
                <a:chExt cx="5449555" cy="2600244"/>
              </a:xfrm>
            </xdr:grpSpPr>
            <xdr:sp macro="" textlink="">
              <xdr:nvSpPr>
                <xdr:cNvPr id="80" name="正方形/長方形 79">
                  <a:extLst>
                    <a:ext uri="{FF2B5EF4-FFF2-40B4-BE49-F238E27FC236}">
                      <a16:creationId xmlns:a16="http://schemas.microsoft.com/office/drawing/2014/main" id="{00000000-0008-0000-0100-000050000000}"/>
                    </a:ext>
                  </a:extLst>
                </xdr:cNvPr>
                <xdr:cNvSpPr/>
              </xdr:nvSpPr>
              <xdr:spPr bwMode="auto">
                <a:xfrm>
                  <a:off x="-150441" y="8875046"/>
                  <a:ext cx="5449555" cy="2600244"/>
                </a:xfrm>
                <a:prstGeom prst="rect">
                  <a:avLst/>
                </a:prstGeom>
                <a:solidFill>
                  <a:srgbClr val="FFFFFF"/>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t" upright="1"/>
                <a:lstStyle/>
                <a:p>
                  <a:pPr algn="l"/>
                  <a:r>
                    <a:rPr kumimoji="1" lang="en-US" altLang="ja-JP" sz="1200" b="0" u="sng"/>
                    <a:t> Measurement of </a:t>
                  </a:r>
                </a:p>
                <a:p>
                  <a:pPr algn="l"/>
                  <a:r>
                    <a:rPr kumimoji="1" lang="en-US" altLang="ja-JP" sz="1200" b="0" u="sng"/>
                    <a:t> Rated current for Self Temperature rise I typ. </a:t>
                  </a:r>
                  <a:r>
                    <a:rPr kumimoji="1" lang="en-US" altLang="ja-JP" sz="1600" b="1" u="sng"/>
                    <a:t>for Automotive Parts</a:t>
                  </a:r>
                  <a:endParaRPr kumimoji="1" lang="ja-JP" altLang="en-US" sz="1200" b="1" u="sng"/>
                </a:p>
              </xdr:txBody>
            </xdr:sp>
            <xdr:sp macro="" textlink="">
              <xdr:nvSpPr>
                <xdr:cNvPr id="79" name="正方形/長方形 78">
                  <a:extLst>
                    <a:ext uri="{FF2B5EF4-FFF2-40B4-BE49-F238E27FC236}">
                      <a16:creationId xmlns:a16="http://schemas.microsoft.com/office/drawing/2014/main" id="{00000000-0008-0000-0100-00004F000000}"/>
                    </a:ext>
                  </a:extLst>
                </xdr:cNvPr>
                <xdr:cNvSpPr/>
              </xdr:nvSpPr>
              <xdr:spPr bwMode="auto">
                <a:xfrm>
                  <a:off x="56590" y="9300047"/>
                  <a:ext cx="4890674" cy="396653"/>
                </a:xfrm>
                <a:prstGeom prst="rect">
                  <a:avLst/>
                </a:prstGeom>
                <a:solidFill>
                  <a:srgbClr val="FFFFFF"/>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1100" b="1">
                      <a:effectLst/>
                      <a:latin typeface="+mn-lt"/>
                      <a:ea typeface="+mn-ea"/>
                      <a:cs typeface="+mn-cs"/>
                    </a:rPr>
                    <a:t>Parts assembled on to PCB with Panasonic standard pattern.</a:t>
                  </a:r>
                  <a:endParaRPr kumimoji="1" lang="en-US" altLang="ja-JP" sz="1200" b="1"/>
                </a:p>
                <a:p>
                  <a:pPr algn="l"/>
                  <a:r>
                    <a:rPr kumimoji="1" lang="en-US" altLang="ja-JP" sz="1200" b="1"/>
                    <a:t>Method A                                                      Method B</a:t>
                  </a:r>
                </a:p>
              </xdr:txBody>
            </xdr:sp>
          </xdr:grpSp>
          <xdr:grpSp>
            <xdr:nvGrpSpPr>
              <xdr:cNvPr id="95" name="グループ化 94">
                <a:extLst>
                  <a:ext uri="{FF2B5EF4-FFF2-40B4-BE49-F238E27FC236}">
                    <a16:creationId xmlns:a16="http://schemas.microsoft.com/office/drawing/2014/main" id="{00000000-0008-0000-0100-00005F000000}"/>
                  </a:ext>
                </a:extLst>
              </xdr:cNvPr>
              <xdr:cNvGrpSpPr/>
            </xdr:nvGrpSpPr>
            <xdr:grpSpPr>
              <a:xfrm>
                <a:off x="164318" y="6335772"/>
                <a:ext cx="3055876" cy="1247666"/>
                <a:chOff x="2441287" y="9047684"/>
                <a:chExt cx="3058006" cy="1247245"/>
              </a:xfrm>
            </xdr:grpSpPr>
            <xdr:pic>
              <xdr:nvPicPr>
                <xdr:cNvPr id="96" name="図 4" descr="image005">
                  <a:extLst>
                    <a:ext uri="{FF2B5EF4-FFF2-40B4-BE49-F238E27FC236}">
                      <a16:creationId xmlns:a16="http://schemas.microsoft.com/office/drawing/2014/main" id="{00000000-0008-0000-0100-000060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16826" r="15864" b="30269"/>
                <a:stretch/>
              </xdr:blipFill>
              <xdr:spPr bwMode="auto">
                <a:xfrm>
                  <a:off x="2441287" y="9047684"/>
                  <a:ext cx="2430939" cy="12472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7" name="正方形/長方形 96">
                  <a:extLst>
                    <a:ext uri="{FF2B5EF4-FFF2-40B4-BE49-F238E27FC236}">
                      <a16:creationId xmlns:a16="http://schemas.microsoft.com/office/drawing/2014/main" id="{00000000-0008-0000-0100-000061000000}"/>
                    </a:ext>
                  </a:extLst>
                </xdr:cNvPr>
                <xdr:cNvSpPr/>
              </xdr:nvSpPr>
              <xdr:spPr bwMode="auto">
                <a:xfrm>
                  <a:off x="5160626" y="9130807"/>
                  <a:ext cx="338667" cy="347133"/>
                </a:xfrm>
                <a:prstGeom prst="rect">
                  <a:avLst/>
                </a:prstGeom>
                <a:solidFill>
                  <a:srgbClr val="FFFFFF"/>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pic>
            <xdr:nvPicPr>
              <xdr:cNvPr id="81" name="図 4" descr="image005">
                <a:extLst>
                  <a:ext uri="{FF2B5EF4-FFF2-40B4-BE49-F238E27FC236}">
                    <a16:creationId xmlns:a16="http://schemas.microsoft.com/office/drawing/2014/main" id="{00000000-0008-0000-0100-00005100000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7654" t="16826" r="15456" b="30269"/>
              <a:stretch/>
            </xdr:blipFill>
            <xdr:spPr bwMode="auto">
              <a:xfrm>
                <a:off x="2493465" y="6335772"/>
                <a:ext cx="2667206" cy="124766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93" name="テキスト ボックス 92">
                <a:extLst>
                  <a:ext uri="{FF2B5EF4-FFF2-40B4-BE49-F238E27FC236}">
                    <a16:creationId xmlns:a16="http://schemas.microsoft.com/office/drawing/2014/main" id="{00000000-0008-0000-0100-00005D000000}"/>
                  </a:ext>
                </a:extLst>
              </xdr:cNvPr>
              <xdr:cNvSpPr txBox="1"/>
            </xdr:nvSpPr>
            <xdr:spPr>
              <a:xfrm>
                <a:off x="264583" y="5862131"/>
                <a:ext cx="2007947" cy="373304"/>
              </a:xfrm>
              <a:prstGeom prst="wedgeRectCallout">
                <a:avLst>
                  <a:gd name="adj1" fmla="val -20833"/>
                  <a:gd name="adj2" fmla="val 19974"/>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900" b="1" i="0" u="none" strike="noStrike" kern="0" cap="none" spc="0" normalizeH="0" baseline="0" noProof="0">
                    <a:ln>
                      <a:noFill/>
                    </a:ln>
                    <a:solidFill>
                      <a:prstClr val="black"/>
                    </a:solidFill>
                    <a:effectLst/>
                    <a:uLnTx/>
                    <a:uFillTx/>
                    <a:latin typeface="+mn-lt"/>
                    <a:ea typeface="+mn-ea"/>
                    <a:cs typeface="+mn-cs"/>
                  </a:rPr>
                  <a:t>Rated  Current [Typ.] (</a:t>
                </a:r>
                <a:r>
                  <a:rPr kumimoji="1" lang="ja-JP" altLang="en-US" sz="900" b="1" i="0" u="none" strike="noStrike" kern="0" cap="none" spc="0" normalizeH="0" baseline="0" noProof="0">
                    <a:ln>
                      <a:noFill/>
                    </a:ln>
                    <a:solidFill>
                      <a:prstClr val="black"/>
                    </a:solidFill>
                    <a:effectLst/>
                    <a:uLnTx/>
                    <a:uFillTx/>
                    <a:latin typeface="+mn-lt"/>
                    <a:ea typeface="+mn-ea"/>
                    <a:cs typeface="+mn-cs"/>
                  </a:rPr>
                  <a:t>△</a:t>
                </a:r>
                <a:r>
                  <a:rPr kumimoji="1" lang="en-US" altLang="ja-JP" sz="900" b="1" i="0" u="none" strike="noStrike" kern="0" cap="none" spc="0" normalizeH="0" baseline="0" noProof="0">
                    <a:ln>
                      <a:noFill/>
                    </a:ln>
                    <a:solidFill>
                      <a:prstClr val="black"/>
                    </a:solidFill>
                    <a:effectLst/>
                    <a:uLnTx/>
                    <a:uFillTx/>
                    <a:latin typeface="+mn-lt"/>
                    <a:ea typeface="+mn-ea"/>
                    <a:cs typeface="+mn-cs"/>
                  </a:rPr>
                  <a:t>T=40K, FR4, t=1.6mm, 4-layer PCB) (A)</a:t>
                </a:r>
                <a:endParaRPr kumimoji="1" lang="ja-JP" altLang="en-US" sz="900" b="1"/>
              </a:p>
            </xdr:txBody>
          </xdr:sp>
          <xdr:sp macro="" textlink="">
            <xdr:nvSpPr>
              <xdr:cNvPr id="94" name="テキスト ボックス 93">
                <a:extLst>
                  <a:ext uri="{FF2B5EF4-FFF2-40B4-BE49-F238E27FC236}">
                    <a16:creationId xmlns:a16="http://schemas.microsoft.com/office/drawing/2014/main" id="{00000000-0008-0000-0100-00005E000000}"/>
                  </a:ext>
                </a:extLst>
              </xdr:cNvPr>
              <xdr:cNvSpPr txBox="1"/>
            </xdr:nvSpPr>
            <xdr:spPr>
              <a:xfrm>
                <a:off x="2757439" y="5862131"/>
                <a:ext cx="2016607" cy="373304"/>
              </a:xfrm>
              <a:prstGeom prst="wedgeRectCallout">
                <a:avLst>
                  <a:gd name="adj1" fmla="val -19783"/>
                  <a:gd name="adj2" fmla="val 11469"/>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900" b="1" i="0" u="none" strike="noStrike" kern="0" cap="none" spc="0" normalizeH="0" baseline="0" noProof="0">
                    <a:ln>
                      <a:noFill/>
                    </a:ln>
                    <a:solidFill>
                      <a:prstClr val="black"/>
                    </a:solidFill>
                    <a:effectLst/>
                    <a:uLnTx/>
                    <a:uFillTx/>
                    <a:latin typeface="+mn-lt"/>
                    <a:ea typeface="+mn-ea"/>
                    <a:cs typeface="+mn-cs"/>
                  </a:rPr>
                  <a:t>Rated  Current [Typ.] (</a:t>
                </a:r>
                <a:r>
                  <a:rPr kumimoji="1" lang="ja-JP" altLang="en-US" sz="900" b="1" i="0" u="none" strike="noStrike" kern="0" cap="none" spc="0" normalizeH="0" baseline="0" noProof="0">
                    <a:ln>
                      <a:noFill/>
                    </a:ln>
                    <a:solidFill>
                      <a:prstClr val="black"/>
                    </a:solidFill>
                    <a:effectLst/>
                    <a:uLnTx/>
                    <a:uFillTx/>
                    <a:latin typeface="+mn-lt"/>
                    <a:ea typeface="+mn-ea"/>
                    <a:cs typeface="+mn-cs"/>
                  </a:rPr>
                  <a:t>△</a:t>
                </a:r>
                <a:r>
                  <a:rPr kumimoji="1" lang="en-US" altLang="ja-JP" sz="900" b="1" i="0" u="none" strike="noStrike" kern="0" cap="none" spc="0" normalizeH="0" baseline="0" noProof="0">
                    <a:ln>
                      <a:noFill/>
                    </a:ln>
                    <a:solidFill>
                      <a:prstClr val="black"/>
                    </a:solidFill>
                    <a:effectLst/>
                    <a:uLnTx/>
                    <a:uFillTx/>
                    <a:latin typeface="+mn-lt"/>
                    <a:ea typeface="+mn-ea"/>
                    <a:cs typeface="+mn-cs"/>
                  </a:rPr>
                  <a:t>T=40K, High heat dissipation PCB) (A)</a:t>
                </a:r>
                <a:endParaRPr kumimoji="1" lang="ja-JP" altLang="en-US" sz="900" b="1" i="0" u="none" strike="noStrike" kern="0" cap="none" spc="0" normalizeH="0" baseline="0" noProof="0">
                  <a:ln>
                    <a:noFill/>
                  </a:ln>
                  <a:solidFill>
                    <a:prstClr val="black"/>
                  </a:solidFill>
                  <a:effectLst/>
                  <a:uLnTx/>
                  <a:uFillTx/>
                  <a:latin typeface="+mn-lt"/>
                  <a:ea typeface="+mn-ea"/>
                  <a:cs typeface="+mn-cs"/>
                </a:endParaRPr>
              </a:p>
            </xdr:txBody>
          </xdr:sp>
          <xdr:cxnSp macro="">
            <xdr:nvCxnSpPr>
              <xdr:cNvPr id="30" name="直線コネクタ 29">
                <a:extLst>
                  <a:ext uri="{FF2B5EF4-FFF2-40B4-BE49-F238E27FC236}">
                    <a16:creationId xmlns:a16="http://schemas.microsoft.com/office/drawing/2014/main" id="{00000000-0008-0000-0100-00001E000000}"/>
                  </a:ext>
                </a:extLst>
              </xdr:cNvPr>
              <xdr:cNvCxnSpPr/>
            </xdr:nvCxnSpPr>
            <xdr:spPr bwMode="auto">
              <a:xfrm>
                <a:off x="2593731" y="5716628"/>
                <a:ext cx="0" cy="1804051"/>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grpSp>
        <xdr:pic>
          <xdr:nvPicPr>
            <xdr:cNvPr id="86" name="図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4"/>
            <a:stretch>
              <a:fillRect/>
            </a:stretch>
          </xdr:blipFill>
          <xdr:spPr>
            <a:xfrm>
              <a:off x="5148637" y="4910665"/>
              <a:ext cx="228620" cy="160034"/>
            </a:xfrm>
            <a:prstGeom prst="rect">
              <a:avLst/>
            </a:prstGeom>
          </xdr:spPr>
        </xdr:pic>
      </xdr:grpSp>
    </xdr:grpSp>
    <xdr:clientData/>
  </xdr:twoCellAnchor>
  <mc:AlternateContent xmlns:mc="http://schemas.openxmlformats.org/markup-compatibility/2006">
    <mc:Choice xmlns:a14="http://schemas.microsoft.com/office/drawing/2010/main" Requires="a14">
      <xdr:twoCellAnchor>
        <xdr:from>
          <xdr:col>56</xdr:col>
          <xdr:colOff>19050</xdr:colOff>
          <xdr:row>6</xdr:row>
          <xdr:rowOff>0</xdr:rowOff>
        </xdr:from>
        <xdr:to>
          <xdr:col>60</xdr:col>
          <xdr:colOff>0</xdr:colOff>
          <xdr:row>7</xdr:row>
          <xdr:rowOff>0</xdr:rowOff>
        </xdr:to>
        <xdr:sp macro="" textlink="">
          <xdr:nvSpPr>
            <xdr:cNvPr id="84652" name="Button 684" hidden="1">
              <a:extLst>
                <a:ext uri="{63B3BB69-23CF-44E3-9099-C40C66FF867C}">
                  <a14:compatExt spid="_x0000_s84652"/>
                </a:ext>
                <a:ext uri="{FF2B5EF4-FFF2-40B4-BE49-F238E27FC236}">
                  <a16:creationId xmlns:a16="http://schemas.microsoft.com/office/drawing/2014/main" id="{00000000-0008-0000-0000-0000AC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7</xdr:row>
          <xdr:rowOff>0</xdr:rowOff>
        </xdr:from>
        <xdr:to>
          <xdr:col>60</xdr:col>
          <xdr:colOff>0</xdr:colOff>
          <xdr:row>8</xdr:row>
          <xdr:rowOff>0</xdr:rowOff>
        </xdr:to>
        <xdr:sp macro="" textlink="">
          <xdr:nvSpPr>
            <xdr:cNvPr id="84653" name="Button 685" hidden="1">
              <a:extLst>
                <a:ext uri="{63B3BB69-23CF-44E3-9099-C40C66FF867C}">
                  <a14:compatExt spid="_x0000_s84653"/>
                </a:ext>
                <a:ext uri="{FF2B5EF4-FFF2-40B4-BE49-F238E27FC236}">
                  <a16:creationId xmlns:a16="http://schemas.microsoft.com/office/drawing/2014/main" id="{00000000-0008-0000-0000-0000AD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8</xdr:row>
          <xdr:rowOff>0</xdr:rowOff>
        </xdr:from>
        <xdr:to>
          <xdr:col>60</xdr:col>
          <xdr:colOff>0</xdr:colOff>
          <xdr:row>9</xdr:row>
          <xdr:rowOff>0</xdr:rowOff>
        </xdr:to>
        <xdr:sp macro="" textlink="">
          <xdr:nvSpPr>
            <xdr:cNvPr id="84654" name="Button 686" hidden="1">
              <a:extLst>
                <a:ext uri="{63B3BB69-23CF-44E3-9099-C40C66FF867C}">
                  <a14:compatExt spid="_x0000_s84654"/>
                </a:ext>
                <a:ext uri="{FF2B5EF4-FFF2-40B4-BE49-F238E27FC236}">
                  <a16:creationId xmlns:a16="http://schemas.microsoft.com/office/drawing/2014/main" id="{00000000-0008-0000-0000-0000AE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9</xdr:row>
          <xdr:rowOff>0</xdr:rowOff>
        </xdr:from>
        <xdr:to>
          <xdr:col>60</xdr:col>
          <xdr:colOff>0</xdr:colOff>
          <xdr:row>10</xdr:row>
          <xdr:rowOff>0</xdr:rowOff>
        </xdr:to>
        <xdr:sp macro="" textlink="">
          <xdr:nvSpPr>
            <xdr:cNvPr id="84655" name="Button 687" hidden="1">
              <a:extLst>
                <a:ext uri="{63B3BB69-23CF-44E3-9099-C40C66FF867C}">
                  <a14:compatExt spid="_x0000_s84655"/>
                </a:ext>
                <a:ext uri="{FF2B5EF4-FFF2-40B4-BE49-F238E27FC236}">
                  <a16:creationId xmlns:a16="http://schemas.microsoft.com/office/drawing/2014/main" id="{00000000-0008-0000-0000-0000AF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10</xdr:row>
          <xdr:rowOff>0</xdr:rowOff>
        </xdr:from>
        <xdr:to>
          <xdr:col>60</xdr:col>
          <xdr:colOff>0</xdr:colOff>
          <xdr:row>11</xdr:row>
          <xdr:rowOff>0</xdr:rowOff>
        </xdr:to>
        <xdr:sp macro="" textlink="">
          <xdr:nvSpPr>
            <xdr:cNvPr id="84656" name="Button 688" hidden="1">
              <a:extLst>
                <a:ext uri="{63B3BB69-23CF-44E3-9099-C40C66FF867C}">
                  <a14:compatExt spid="_x0000_s84656"/>
                </a:ext>
                <a:ext uri="{FF2B5EF4-FFF2-40B4-BE49-F238E27FC236}">
                  <a16:creationId xmlns:a16="http://schemas.microsoft.com/office/drawing/2014/main" id="{00000000-0008-0000-0000-0000B0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11</xdr:row>
          <xdr:rowOff>0</xdr:rowOff>
        </xdr:from>
        <xdr:to>
          <xdr:col>60</xdr:col>
          <xdr:colOff>0</xdr:colOff>
          <xdr:row>12</xdr:row>
          <xdr:rowOff>0</xdr:rowOff>
        </xdr:to>
        <xdr:sp macro="" textlink="">
          <xdr:nvSpPr>
            <xdr:cNvPr id="84657" name="Button 689" hidden="1">
              <a:extLst>
                <a:ext uri="{63B3BB69-23CF-44E3-9099-C40C66FF867C}">
                  <a14:compatExt spid="_x0000_s84657"/>
                </a:ext>
                <a:ext uri="{FF2B5EF4-FFF2-40B4-BE49-F238E27FC236}">
                  <a16:creationId xmlns:a16="http://schemas.microsoft.com/office/drawing/2014/main" id="{00000000-0008-0000-0000-0000B1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12</xdr:row>
          <xdr:rowOff>0</xdr:rowOff>
        </xdr:from>
        <xdr:to>
          <xdr:col>60</xdr:col>
          <xdr:colOff>0</xdr:colOff>
          <xdr:row>13</xdr:row>
          <xdr:rowOff>0</xdr:rowOff>
        </xdr:to>
        <xdr:sp macro="" textlink="">
          <xdr:nvSpPr>
            <xdr:cNvPr id="84658" name="Button 690" hidden="1">
              <a:extLst>
                <a:ext uri="{63B3BB69-23CF-44E3-9099-C40C66FF867C}">
                  <a14:compatExt spid="_x0000_s84658"/>
                </a:ext>
                <a:ext uri="{FF2B5EF4-FFF2-40B4-BE49-F238E27FC236}">
                  <a16:creationId xmlns:a16="http://schemas.microsoft.com/office/drawing/2014/main" id="{00000000-0008-0000-0000-0000B2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13</xdr:row>
          <xdr:rowOff>0</xdr:rowOff>
        </xdr:from>
        <xdr:to>
          <xdr:col>60</xdr:col>
          <xdr:colOff>0</xdr:colOff>
          <xdr:row>14</xdr:row>
          <xdr:rowOff>0</xdr:rowOff>
        </xdr:to>
        <xdr:sp macro="" textlink="">
          <xdr:nvSpPr>
            <xdr:cNvPr id="84659" name="Button 691" hidden="1">
              <a:extLst>
                <a:ext uri="{63B3BB69-23CF-44E3-9099-C40C66FF867C}">
                  <a14:compatExt spid="_x0000_s84659"/>
                </a:ext>
                <a:ext uri="{FF2B5EF4-FFF2-40B4-BE49-F238E27FC236}">
                  <a16:creationId xmlns:a16="http://schemas.microsoft.com/office/drawing/2014/main" id="{00000000-0008-0000-0000-0000B3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14</xdr:row>
          <xdr:rowOff>0</xdr:rowOff>
        </xdr:from>
        <xdr:to>
          <xdr:col>60</xdr:col>
          <xdr:colOff>0</xdr:colOff>
          <xdr:row>15</xdr:row>
          <xdr:rowOff>0</xdr:rowOff>
        </xdr:to>
        <xdr:sp macro="" textlink="">
          <xdr:nvSpPr>
            <xdr:cNvPr id="84660" name="Button 692" hidden="1">
              <a:extLst>
                <a:ext uri="{63B3BB69-23CF-44E3-9099-C40C66FF867C}">
                  <a14:compatExt spid="_x0000_s84660"/>
                </a:ext>
                <a:ext uri="{FF2B5EF4-FFF2-40B4-BE49-F238E27FC236}">
                  <a16:creationId xmlns:a16="http://schemas.microsoft.com/office/drawing/2014/main" id="{00000000-0008-0000-0000-0000B4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19050</xdr:colOff>
          <xdr:row>15</xdr:row>
          <xdr:rowOff>0</xdr:rowOff>
        </xdr:from>
        <xdr:to>
          <xdr:col>60</xdr:col>
          <xdr:colOff>0</xdr:colOff>
          <xdr:row>16</xdr:row>
          <xdr:rowOff>0</xdr:rowOff>
        </xdr:to>
        <xdr:sp macro="" textlink="">
          <xdr:nvSpPr>
            <xdr:cNvPr id="84661" name="Button 693" hidden="1">
              <a:extLst>
                <a:ext uri="{63B3BB69-23CF-44E3-9099-C40C66FF867C}">
                  <a14:compatExt spid="_x0000_s84661"/>
                </a:ext>
                <a:ext uri="{FF2B5EF4-FFF2-40B4-BE49-F238E27FC236}">
                  <a16:creationId xmlns:a16="http://schemas.microsoft.com/office/drawing/2014/main" id="{00000000-0008-0000-0000-0000B54A0100}"/>
                </a:ext>
              </a:extLst>
            </xdr:cNvPr>
            <xdr:cNvSpPr/>
          </xdr:nvSpPr>
          <xdr:spPr bwMode="auto">
            <a:xfrm>
              <a:off x="0" y="0"/>
              <a:ext cx="0" cy="0"/>
            </a:xfrm>
            <a:prstGeom prst="rect">
              <a:avLst/>
            </a:prstGeom>
            <a:noFill/>
            <a:ln w="9525">
              <a:miter lim="800000"/>
              <a:headEnd/>
              <a:tailEnd/>
            </a:ln>
          </xdr:spPr>
          <xdr:txBody>
            <a:bodyPr vertOverflow="clip" wrap="square" lIns="36576" tIns="18288" rIns="0" bIns="18288" anchor="ctr" upright="1"/>
            <a:lstStyle/>
            <a:p>
              <a:pPr algn="l" rtl="0">
                <a:defRPr sz="1000"/>
              </a:pPr>
              <a:r>
                <a:rPr lang="de-DE" sz="800" b="0" i="0" u="none" strike="noStrike" baseline="0">
                  <a:solidFill>
                    <a:srgbClr val="000000"/>
                  </a:solidFill>
                  <a:latin typeface="Wingdings 3"/>
                </a:rPr>
                <a:t>â</a:t>
              </a:r>
              <a:r>
                <a:rPr lang="de-DE" sz="800" b="0" i="0" u="none" strike="noStrike" baseline="0">
                  <a:solidFill>
                    <a:srgbClr val="000000"/>
                  </a:solidFill>
                  <a:latin typeface="Arial"/>
                  <a:cs typeface="Arial"/>
                </a:rPr>
                <a:t> Paste PN</a:t>
              </a:r>
            </a:p>
          </xdr:txBody>
        </xdr:sp>
        <xdr:clientData fPrintsWithSheet="0"/>
      </xdr:twoCellAnchor>
    </mc:Choice>
    <mc:Fallback/>
  </mc:AlternateContent>
  <xdr:twoCellAnchor>
    <xdr:from>
      <xdr:col>5</xdr:col>
      <xdr:colOff>100966</xdr:colOff>
      <xdr:row>0</xdr:row>
      <xdr:rowOff>0</xdr:rowOff>
    </xdr:from>
    <xdr:to>
      <xdr:col>5</xdr:col>
      <xdr:colOff>570232</xdr:colOff>
      <xdr:row>1</xdr:row>
      <xdr:rowOff>11625</xdr:rowOff>
    </xdr:to>
    <xdr:grpSp>
      <xdr:nvGrpSpPr>
        <xdr:cNvPr id="19" name="グループ化 18">
          <a:extLst>
            <a:ext uri="{FF2B5EF4-FFF2-40B4-BE49-F238E27FC236}">
              <a16:creationId xmlns:a16="http://schemas.microsoft.com/office/drawing/2014/main" id="{00000000-0008-0000-0100-000013000000}"/>
            </a:ext>
          </a:extLst>
        </xdr:cNvPr>
        <xdr:cNvGrpSpPr/>
      </xdr:nvGrpSpPr>
      <xdr:grpSpPr>
        <a:xfrm>
          <a:off x="3368041" y="0"/>
          <a:ext cx="469266" cy="202125"/>
          <a:chOff x="3158067" y="0"/>
          <a:chExt cx="1109133" cy="383865"/>
        </a:xfrm>
      </xdr:grpSpPr>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13667" y="0"/>
            <a:ext cx="753533" cy="383865"/>
            <a:chOff x="3513667" y="0"/>
            <a:chExt cx="753533" cy="383865"/>
          </a:xfrm>
        </xdr:grpSpPr>
        <xdr:pic>
          <xdr:nvPicPr>
            <xdr:cNvPr id="90" name="Picture 2">
              <a:extLst>
                <a:ext uri="{FF2B5EF4-FFF2-40B4-BE49-F238E27FC236}">
                  <a16:creationId xmlns:a16="http://schemas.microsoft.com/office/drawing/2014/main" id="{00000000-0008-0000-0100-00005A000000}"/>
                </a:ext>
              </a:extLst>
            </xdr:cNvPr>
            <xdr:cNvPicPr>
              <a:picLocks noChangeAspect="1" noChangeArrowheads="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backgroundRemoval t="0" b="100000" l="0" r="90000"/>
                      </a14:imgEffect>
                    </a14:imgLayer>
                  </a14:imgProps>
                </a:ext>
                <a:ext uri="{28A0092B-C50C-407E-A947-70E740481C1C}">
                  <a14:useLocalDpi xmlns:a14="http://schemas.microsoft.com/office/drawing/2010/main" val="0"/>
                </a:ext>
              </a:extLst>
            </a:blip>
            <a:srcRect/>
            <a:stretch>
              <a:fillRect/>
            </a:stretch>
          </xdr:blipFill>
          <xdr:spPr bwMode="auto">
            <a:xfrm>
              <a:off x="3513667" y="42335"/>
              <a:ext cx="381000" cy="310088"/>
            </a:xfrm>
            <a:prstGeom prst="rect">
              <a:avLst/>
            </a:prstGeom>
            <a:noFill/>
            <a:ln>
              <a:noFill/>
            </a:ln>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Lst>
          </xdr:spPr>
        </xdr:pic>
        <xdr:pic>
          <xdr:nvPicPr>
            <xdr:cNvPr id="98" name="図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backgroundRemoval t="0" b="100000" l="0" r="100000"/>
                      </a14:imgEffect>
                    </a14:imgLayer>
                  </a14:imgProps>
                </a:ext>
              </a:extLst>
            </a:blip>
            <a:stretch>
              <a:fillRect/>
            </a:stretch>
          </xdr:blipFill>
          <xdr:spPr>
            <a:xfrm>
              <a:off x="3889787" y="0"/>
              <a:ext cx="377413" cy="383865"/>
            </a:xfrm>
            <a:prstGeom prst="rect">
              <a:avLst/>
            </a:prstGeom>
          </xdr:spPr>
        </xdr:pic>
      </xdr:grpSp>
      <xdr:pic>
        <xdr:nvPicPr>
          <xdr:cNvPr id="99" name="Picture 15">
            <a:extLst>
              <a:ext uri="{FF2B5EF4-FFF2-40B4-BE49-F238E27FC236}">
                <a16:creationId xmlns:a16="http://schemas.microsoft.com/office/drawing/2014/main" id="{00000000-0008-0000-0100-000063000000}"/>
              </a:ext>
            </a:extLst>
          </xdr:cNvPr>
          <xdr:cNvPicPr>
            <a:picLocks noChangeAspect="1" noChangeArrowheads="1"/>
          </xdr:cNvPicPr>
        </xdr:nvPicPr>
        <xdr:blipFill>
          <a:blip xmlns:r="http://schemas.openxmlformats.org/officeDocument/2006/relationships" r:embed="rId9" cstate="print">
            <a:extLst>
              <a:ext uri="{BEBA8EAE-BF5A-486C-A8C5-ECC9F3942E4B}">
                <a14:imgProps xmlns:a14="http://schemas.microsoft.com/office/drawing/2010/main">
                  <a14:imgLayer r:embed="rId10">
                    <a14:imgEffect>
                      <a14:brightnessContrast bright="-20000"/>
                    </a14:imgEffect>
                  </a14:imgLayer>
                </a14:imgProps>
              </a:ext>
              <a:ext uri="{28A0092B-C50C-407E-A947-70E740481C1C}">
                <a14:useLocalDpi xmlns:a14="http://schemas.microsoft.com/office/drawing/2010/main" val="0"/>
              </a:ext>
            </a:extLst>
          </a:blip>
          <a:srcRect/>
          <a:stretch>
            <a:fillRect/>
          </a:stretch>
        </xdr:blipFill>
        <xdr:spPr bwMode="auto">
          <a:xfrm>
            <a:off x="3158067" y="50799"/>
            <a:ext cx="343459" cy="313269"/>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lgn="ctr">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grpSp>
    <xdr:clientData/>
  </xdr:twoCellAnchor>
  <xdr:twoCellAnchor>
    <xdr:from>
      <xdr:col>60</xdr:col>
      <xdr:colOff>0</xdr:colOff>
      <xdr:row>4</xdr:row>
      <xdr:rowOff>0</xdr:rowOff>
    </xdr:from>
    <xdr:to>
      <xdr:col>62</xdr:col>
      <xdr:colOff>0</xdr:colOff>
      <xdr:row>5</xdr:row>
      <xdr:rowOff>0</xdr:rowOff>
    </xdr:to>
    <xdr:sp macro="" textlink="">
      <xdr:nvSpPr>
        <xdr:cNvPr id="104" name="テキスト ボックス 103">
          <a:extLst>
            <a:ext uri="{FF2B5EF4-FFF2-40B4-BE49-F238E27FC236}">
              <a16:creationId xmlns:a16="http://schemas.microsoft.com/office/drawing/2014/main" id="{00000000-0008-0000-0100-000068000000}"/>
            </a:ext>
          </a:extLst>
        </xdr:cNvPr>
        <xdr:cNvSpPr txBox="1"/>
      </xdr:nvSpPr>
      <xdr:spPr>
        <a:xfrm>
          <a:off x="15924944" y="856180"/>
          <a:ext cx="1738045" cy="325348"/>
        </a:xfrm>
        <a:prstGeom prst="rect">
          <a:avLst/>
        </a:prstGeom>
        <a:solidFill>
          <a:schemeClr val="bg1">
            <a:lumMod val="6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Other Info</a:t>
          </a:r>
          <a:endParaRPr kumimoji="1" lang="ja-JP" altLang="en-US" sz="1600" b="1">
            <a:solidFill>
              <a:schemeClr val="bg1"/>
            </a:solidFill>
          </a:endParaRPr>
        </a:p>
      </xdr:txBody>
    </xdr:sp>
    <xdr:clientData/>
  </xdr:twoCellAnchor>
  <xdr:twoCellAnchor>
    <xdr:from>
      <xdr:col>1</xdr:col>
      <xdr:colOff>3386</xdr:colOff>
      <xdr:row>16</xdr:row>
      <xdr:rowOff>23708</xdr:rowOff>
    </xdr:from>
    <xdr:to>
      <xdr:col>7</xdr:col>
      <xdr:colOff>0</xdr:colOff>
      <xdr:row>23</xdr:row>
      <xdr:rowOff>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60536" y="3290783"/>
          <a:ext cx="5082964" cy="1109767"/>
          <a:chOff x="56444" y="2709333"/>
          <a:chExt cx="4898662" cy="1185334"/>
        </a:xfrm>
      </xdr:grpSpPr>
      <xdr:grpSp>
        <xdr:nvGrpSpPr>
          <xdr:cNvPr id="91" name="グループ化 90">
            <a:extLst>
              <a:ext uri="{FF2B5EF4-FFF2-40B4-BE49-F238E27FC236}">
                <a16:creationId xmlns:a16="http://schemas.microsoft.com/office/drawing/2014/main" id="{00000000-0008-0000-0100-00005B000000}"/>
              </a:ext>
            </a:extLst>
          </xdr:cNvPr>
          <xdr:cNvGrpSpPr/>
        </xdr:nvGrpSpPr>
        <xdr:grpSpPr>
          <a:xfrm>
            <a:off x="56444" y="2709333"/>
            <a:ext cx="4898662" cy="1185334"/>
            <a:chOff x="50800" y="2726267"/>
            <a:chExt cx="4901934" cy="1524000"/>
          </a:xfrm>
        </xdr:grpSpPr>
        <mc:AlternateContent xmlns:mc="http://schemas.openxmlformats.org/markup-compatibility/2006" xmlns:a14="http://schemas.microsoft.com/office/drawing/2010/main">
          <mc:Choice Requires="a14">
            <xdr:graphicFrame macro="">
              <xdr:nvGraphicFramePr>
                <xdr:cNvPr id="77" name="DCR Max (mOhm)">
                  <a:extLst>
                    <a:ext uri="{FF2B5EF4-FFF2-40B4-BE49-F238E27FC236}">
                      <a16:creationId xmlns:a16="http://schemas.microsoft.com/office/drawing/2014/main" id="{00000000-0008-0000-0100-00004D000000}"/>
                    </a:ext>
                  </a:extLst>
                </xdr:cNvPr>
                <xdr:cNvGraphicFramePr/>
              </xdr:nvGraphicFramePr>
              <xdr:xfrm>
                <a:off x="4157134" y="3005733"/>
                <a:ext cx="795600" cy="1227600"/>
              </xdr:xfrm>
              <a:graphic>
                <a:graphicData uri="http://schemas.microsoft.com/office/drawing/2010/slicer">
                  <sle:slicer xmlns:sle="http://schemas.microsoft.com/office/drawing/2010/slicer" name="DCR Max (mOhm)"/>
                </a:graphicData>
              </a:graphic>
            </xdr:graphicFrame>
          </mc:Choice>
          <mc:Fallback xmlns="">
            <xdr:sp macro="" textlink="">
              <xdr:nvSpPr>
                <xdr:cNvPr id="0" name=""/>
                <xdr:cNvSpPr>
                  <a:spLocks noTextEdit="1"/>
                </xdr:cNvSpPr>
              </xdr:nvSpPr>
              <xdr:spPr>
                <a:xfrm>
                  <a:off x="4442981" y="3581056"/>
                  <a:ext cx="848686" cy="935703"/>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10" name="Method A (A typ at 40℃)">
                  <a:extLst>
                    <a:ext uri="{FF2B5EF4-FFF2-40B4-BE49-F238E27FC236}">
                      <a16:creationId xmlns:a16="http://schemas.microsoft.com/office/drawing/2014/main" id="{00000000-0008-0000-0100-00000A000000}"/>
                    </a:ext>
                  </a:extLst>
                </xdr:cNvPr>
                <xdr:cNvGraphicFramePr/>
              </xdr:nvGraphicFramePr>
              <xdr:xfrm>
                <a:off x="50800" y="3021135"/>
                <a:ext cx="857315" cy="1229132"/>
              </xdr:xfrm>
              <a:graphic>
                <a:graphicData uri="http://schemas.microsoft.com/office/drawing/2010/slicer">
                  <sle:slicer xmlns:sle="http://schemas.microsoft.com/office/drawing/2010/slicer" name="Method A (A typ at 40℃)"/>
                </a:graphicData>
              </a:graphic>
            </xdr:graphicFrame>
          </mc:Choice>
          <mc:Fallback xmlns="">
            <xdr:sp macro="" textlink="">
              <xdr:nvSpPr>
                <xdr:cNvPr id="0" name=""/>
                <xdr:cNvSpPr>
                  <a:spLocks noTextEdit="1"/>
                </xdr:cNvSpPr>
              </xdr:nvSpPr>
              <xdr:spPr>
                <a:xfrm>
                  <a:off x="62653" y="3592796"/>
                  <a:ext cx="914519" cy="93687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24" name="Method B (A typ at 40℃)">
                  <a:extLst>
                    <a:ext uri="{FF2B5EF4-FFF2-40B4-BE49-F238E27FC236}">
                      <a16:creationId xmlns:a16="http://schemas.microsoft.com/office/drawing/2014/main" id="{00000000-0008-0000-0100-000018000000}"/>
                    </a:ext>
                  </a:extLst>
                </xdr:cNvPr>
                <xdr:cNvGraphicFramePr/>
              </xdr:nvGraphicFramePr>
              <xdr:xfrm>
                <a:off x="914166" y="3021135"/>
                <a:ext cx="857315" cy="1229132"/>
              </xdr:xfrm>
              <a:graphic>
                <a:graphicData uri="http://schemas.microsoft.com/office/drawing/2010/slicer">
                  <sle:slicer xmlns:sle="http://schemas.microsoft.com/office/drawing/2010/slicer" name="Method B (A typ at 40℃)"/>
                </a:graphicData>
              </a:graphic>
            </xdr:graphicFrame>
          </mc:Choice>
          <mc:Fallback xmlns="">
            <xdr:sp macro="" textlink="">
              <xdr:nvSpPr>
                <xdr:cNvPr id="0" name=""/>
                <xdr:cNvSpPr>
                  <a:spLocks noTextEdit="1"/>
                </xdr:cNvSpPr>
              </xdr:nvSpPr>
              <xdr:spPr>
                <a:xfrm>
                  <a:off x="983627" y="3592796"/>
                  <a:ext cx="914519" cy="93687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56328" y="2726267"/>
              <a:ext cx="1722924" cy="288027"/>
            </a:xfrm>
            <a:prstGeom prst="rect">
              <a:avLst/>
            </a:prstGeom>
            <a:solidFill>
              <a:sysClr val="window" lastClr="FFFFFF"/>
            </a:solidFill>
            <a:ln w="9525" cmpd="sng">
              <a:solidFill>
                <a:srgbClr val="FF99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000" b="1">
                  <a:solidFill>
                    <a:sysClr val="windowText" lastClr="000000"/>
                  </a:solidFill>
                </a:rPr>
                <a:t>I </a:t>
              </a:r>
              <a:r>
                <a:rPr kumimoji="1" lang="ja-JP" altLang="en-US" sz="1000" b="1">
                  <a:solidFill>
                    <a:sysClr val="windowText" lastClr="000000"/>
                  </a:solidFill>
                </a:rPr>
                <a:t> </a:t>
              </a:r>
              <a:r>
                <a:rPr kumimoji="1" lang="en-US" altLang="ja-JP" sz="1000" b="1">
                  <a:solidFill>
                    <a:sysClr val="windowText" lastClr="000000"/>
                  </a:solidFill>
                </a:rPr>
                <a:t>(A)</a:t>
              </a:r>
              <a:endParaRPr kumimoji="1" lang="ja-JP" altLang="en-US" sz="1000" b="1">
                <a:solidFill>
                  <a:sysClr val="windowText" lastClr="000000"/>
                </a:solidFill>
              </a:endParaRPr>
            </a:p>
          </xdr:txBody>
        </xdr:sp>
        <xdr:sp macro="" textlink="">
          <xdr:nvSpPr>
            <xdr:cNvPr id="34" name="テキスト ボックス 33">
              <a:extLst>
                <a:ext uri="{FF2B5EF4-FFF2-40B4-BE49-F238E27FC236}">
                  <a16:creationId xmlns:a16="http://schemas.microsoft.com/office/drawing/2014/main" id="{00000000-0008-0000-0100-000022000000}"/>
                </a:ext>
              </a:extLst>
            </xdr:cNvPr>
            <xdr:cNvSpPr txBox="1"/>
          </xdr:nvSpPr>
          <xdr:spPr>
            <a:xfrm>
              <a:off x="1779252" y="2726267"/>
              <a:ext cx="1590436" cy="288027"/>
            </a:xfrm>
            <a:prstGeom prst="rect">
              <a:avLst/>
            </a:prstGeom>
            <a:solidFill>
              <a:sysClr val="window" lastClr="FFFFFF"/>
            </a:solidFill>
            <a:ln w="9525" cmpd="sng">
              <a:solidFill>
                <a:srgbClr val="FF99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000" b="1">
                  <a:solidFill>
                    <a:sysClr val="windowText" lastClr="000000"/>
                  </a:solidFill>
                </a:rPr>
                <a:t>Isat (A)</a:t>
              </a:r>
            </a:p>
          </xdr:txBody>
        </xdr:sp>
        <xdr:sp macro="" textlink="">
          <xdr:nvSpPr>
            <xdr:cNvPr id="36" name="テキスト ボックス 35">
              <a:extLst>
                <a:ext uri="{FF2B5EF4-FFF2-40B4-BE49-F238E27FC236}">
                  <a16:creationId xmlns:a16="http://schemas.microsoft.com/office/drawing/2014/main" id="{00000000-0008-0000-0100-000024000000}"/>
                </a:ext>
              </a:extLst>
            </xdr:cNvPr>
            <xdr:cNvSpPr txBox="1"/>
          </xdr:nvSpPr>
          <xdr:spPr>
            <a:xfrm>
              <a:off x="3369689" y="2726547"/>
              <a:ext cx="1572352" cy="288027"/>
            </a:xfrm>
            <a:prstGeom prst="rect">
              <a:avLst/>
            </a:prstGeom>
            <a:solidFill>
              <a:sysClr val="window" lastClr="FFFFFF"/>
            </a:solidFill>
            <a:ln w="9525" cmpd="sng">
              <a:solidFill>
                <a:srgbClr val="FF9900"/>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000" b="1">
                  <a:solidFill>
                    <a:sysClr val="windowText" lastClr="000000"/>
                  </a:solidFill>
                </a:rPr>
                <a:t>DCR </a:t>
              </a:r>
              <a:r>
                <a:rPr kumimoji="1" lang="en-US" altLang="ja-JP" sz="1000" b="1" baseline="0">
                  <a:solidFill>
                    <a:sysClr val="windowText" lastClr="000000"/>
                  </a:solidFill>
                </a:rPr>
                <a:t> </a:t>
              </a:r>
              <a:r>
                <a:rPr kumimoji="1" lang="en-US" altLang="ja-JP" sz="1000" b="1">
                  <a:solidFill>
                    <a:sysClr val="windowText" lastClr="000000"/>
                  </a:solidFill>
                </a:rPr>
                <a:t>(m</a:t>
              </a:r>
              <a:r>
                <a:rPr kumimoji="1" lang="el-GR" altLang="ja-JP" sz="1000" b="1">
                  <a:solidFill>
                    <a:sysClr val="windowText" lastClr="000000"/>
                  </a:solidFill>
                </a:rPr>
                <a:t>Ω</a:t>
              </a:r>
              <a:r>
                <a:rPr kumimoji="1" lang="en-US" altLang="ja-JP" sz="1000" b="1">
                  <a:solidFill>
                    <a:sysClr val="windowText" lastClr="000000"/>
                  </a:solidFill>
                </a:rPr>
                <a:t>)</a:t>
              </a:r>
              <a:endParaRPr kumimoji="1" lang="ja-JP" altLang="en-US" sz="1000" b="1">
                <a:solidFill>
                  <a:sysClr val="windowText" lastClr="000000"/>
                </a:solidFill>
              </a:endParaRPr>
            </a:p>
          </xdr:txBody>
        </xdr:sp>
        <mc:AlternateContent xmlns:mc="http://schemas.openxmlformats.org/markup-compatibility/2006" xmlns:a14="http://schemas.microsoft.com/office/drawing/2010/main">
          <mc:Choice Requires="a14">
            <xdr:graphicFrame macro="">
              <xdr:nvGraphicFramePr>
                <xdr:cNvPr id="48" name="DCR Typ (mOhm)">
                  <a:extLst>
                    <a:ext uri="{FF2B5EF4-FFF2-40B4-BE49-F238E27FC236}">
                      <a16:creationId xmlns:a16="http://schemas.microsoft.com/office/drawing/2014/main" id="{00000000-0008-0000-0100-000030000000}"/>
                    </a:ext>
                  </a:extLst>
                </xdr:cNvPr>
                <xdr:cNvGraphicFramePr/>
              </xdr:nvGraphicFramePr>
              <xdr:xfrm>
                <a:off x="3376174" y="3022552"/>
                <a:ext cx="786932" cy="1227714"/>
              </xdr:xfrm>
              <a:graphic>
                <a:graphicData uri="http://schemas.microsoft.com/office/drawing/2010/slicer">
                  <sle:slicer xmlns:sle="http://schemas.microsoft.com/office/drawing/2010/slicer" name="DCR Typ (mOhm)"/>
                </a:graphicData>
              </a:graphic>
            </xdr:graphicFrame>
          </mc:Choice>
          <mc:Fallback xmlns="">
            <xdr:sp macro="" textlink="">
              <xdr:nvSpPr>
                <xdr:cNvPr id="0" name=""/>
                <xdr:cNvSpPr>
                  <a:spLocks noTextEdit="1"/>
                </xdr:cNvSpPr>
              </xdr:nvSpPr>
              <xdr:spPr>
                <a:xfrm>
                  <a:off x="3609912" y="3593876"/>
                  <a:ext cx="839440" cy="93579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57" name="テキスト ボックス 56">
              <a:extLst>
                <a:ext uri="{FF2B5EF4-FFF2-40B4-BE49-F238E27FC236}">
                  <a16:creationId xmlns:a16="http://schemas.microsoft.com/office/drawing/2014/main" id="{00000000-0008-0000-0100-000039000000}"/>
                </a:ext>
              </a:extLst>
            </xdr:cNvPr>
            <xdr:cNvSpPr txBox="1"/>
          </xdr:nvSpPr>
          <xdr:spPr>
            <a:xfrm>
              <a:off x="75803" y="3070336"/>
              <a:ext cx="559859" cy="2157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r>
                <a:rPr kumimoji="1" lang="en-US" altLang="ja-JP" sz="800" b="1"/>
                <a:t>Method A</a:t>
              </a:r>
              <a:r>
                <a:rPr kumimoji="1" lang="ja-JP" altLang="en-US" sz="800" b="1"/>
                <a:t>*</a:t>
              </a:r>
              <a:endParaRPr kumimoji="1" lang="en-US" altLang="ja-JP" sz="800" b="1"/>
            </a:p>
          </xdr:txBody>
        </xdr:sp>
        <xdr:sp macro="" textlink="">
          <xdr:nvSpPr>
            <xdr:cNvPr id="58" name="テキスト ボックス 57">
              <a:extLst>
                <a:ext uri="{FF2B5EF4-FFF2-40B4-BE49-F238E27FC236}">
                  <a16:creationId xmlns:a16="http://schemas.microsoft.com/office/drawing/2014/main" id="{00000000-0008-0000-0100-00003A000000}"/>
                </a:ext>
              </a:extLst>
            </xdr:cNvPr>
            <xdr:cNvSpPr txBox="1"/>
          </xdr:nvSpPr>
          <xdr:spPr>
            <a:xfrm>
              <a:off x="940047" y="3062055"/>
              <a:ext cx="559859" cy="213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r>
                <a:rPr kumimoji="1" lang="en-US" altLang="ja-JP" sz="800" b="1"/>
                <a:t>Method B</a:t>
              </a:r>
              <a:r>
                <a:rPr kumimoji="1" lang="ja-JP" altLang="en-US" sz="800" b="1"/>
                <a:t>*</a:t>
              </a:r>
              <a:endParaRPr kumimoji="1" lang="en-US" altLang="ja-JP" sz="800" b="1"/>
            </a:p>
          </xdr:txBody>
        </xdr:sp>
        <xdr:sp macro="" textlink="">
          <xdr:nvSpPr>
            <xdr:cNvPr id="73" name="テキスト ボックス 72">
              <a:extLst>
                <a:ext uri="{FF2B5EF4-FFF2-40B4-BE49-F238E27FC236}">
                  <a16:creationId xmlns:a16="http://schemas.microsoft.com/office/drawing/2014/main" id="{00000000-0008-0000-0100-000049000000}"/>
                </a:ext>
              </a:extLst>
            </xdr:cNvPr>
            <xdr:cNvSpPr txBox="1"/>
          </xdr:nvSpPr>
          <xdr:spPr>
            <a:xfrm>
              <a:off x="4208000" y="3033928"/>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1000" b="0"/>
                <a:t>max</a:t>
              </a:r>
              <a:endParaRPr kumimoji="1" lang="en-US" altLang="ja-JP" sz="800" b="0"/>
            </a:p>
          </xdr:txBody>
        </xdr:sp>
        <xdr:sp macro="" textlink="">
          <xdr:nvSpPr>
            <xdr:cNvPr id="74" name="テキスト ボックス 73">
              <a:extLst>
                <a:ext uri="{FF2B5EF4-FFF2-40B4-BE49-F238E27FC236}">
                  <a16:creationId xmlns:a16="http://schemas.microsoft.com/office/drawing/2014/main" id="{00000000-0008-0000-0100-00004A000000}"/>
                </a:ext>
              </a:extLst>
            </xdr:cNvPr>
            <xdr:cNvSpPr txBox="1"/>
          </xdr:nvSpPr>
          <xdr:spPr>
            <a:xfrm>
              <a:off x="3417975" y="3033928"/>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1000" b="0"/>
                <a:t>typ</a:t>
              </a:r>
            </a:p>
          </xdr:txBody>
        </xdr:sp>
        <xdr:sp macro="" textlink="">
          <xdr:nvSpPr>
            <xdr:cNvPr id="87" name="テキスト ボックス 86">
              <a:extLst>
                <a:ext uri="{FF2B5EF4-FFF2-40B4-BE49-F238E27FC236}">
                  <a16:creationId xmlns:a16="http://schemas.microsoft.com/office/drawing/2014/main" id="{00000000-0008-0000-0100-000057000000}"/>
                </a:ext>
              </a:extLst>
            </xdr:cNvPr>
            <xdr:cNvSpPr txBox="1"/>
          </xdr:nvSpPr>
          <xdr:spPr>
            <a:xfrm>
              <a:off x="1834733" y="3033928"/>
              <a:ext cx="45838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1100" b="0"/>
                <a:t>-30%</a:t>
              </a:r>
            </a:p>
          </xdr:txBody>
        </xdr:sp>
        <mc:AlternateContent xmlns:mc="http://schemas.openxmlformats.org/markup-compatibility/2006" xmlns:a14="http://schemas.microsoft.com/office/drawing/2010/main">
          <mc:Choice Requires="a14">
            <xdr:graphicFrame macro="">
              <xdr:nvGraphicFramePr>
                <xdr:cNvPr id="51" name="⊿L=-20% &#10;typ (A)">
                  <a:extLst>
                    <a:ext uri="{FF2B5EF4-FFF2-40B4-BE49-F238E27FC236}">
                      <a16:creationId xmlns:a16="http://schemas.microsoft.com/office/drawing/2014/main" id="{00000000-0008-0000-0100-000033000000}"/>
                    </a:ext>
                  </a:extLst>
                </xdr:cNvPr>
                <xdr:cNvGraphicFramePr/>
              </xdr:nvGraphicFramePr>
              <xdr:xfrm>
                <a:off x="2575003" y="3018892"/>
                <a:ext cx="795631" cy="1231375"/>
              </xdr:xfrm>
              <a:graphic>
                <a:graphicData uri="http://schemas.microsoft.com/office/drawing/2010/slicer">
                  <sle:slicer xmlns:sle="http://schemas.microsoft.com/office/drawing/2010/slicer" name="⊿L=-20% &#10;typ (A)"/>
                </a:graphicData>
              </a:graphic>
            </xdr:graphicFrame>
          </mc:Choice>
          <mc:Fallback xmlns="">
            <xdr:sp macro="" textlink="">
              <xdr:nvSpPr>
                <xdr:cNvPr id="0" name=""/>
                <xdr:cNvSpPr>
                  <a:spLocks noTextEdit="1"/>
                </xdr:cNvSpPr>
              </xdr:nvSpPr>
              <xdr:spPr>
                <a:xfrm>
                  <a:off x="2755283" y="3591086"/>
                  <a:ext cx="848719" cy="938581"/>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mc:AlternateContent xmlns:mc="http://schemas.openxmlformats.org/markup-compatibility/2006" xmlns:a14="http://schemas.microsoft.com/office/drawing/2010/main">
          <mc:Choice Requires="a14">
            <xdr:graphicFrame macro="">
              <xdr:nvGraphicFramePr>
                <xdr:cNvPr id="52" name="⊿L=-30% &#10;typ (A)">
                  <a:extLst>
                    <a:ext uri="{FF2B5EF4-FFF2-40B4-BE49-F238E27FC236}">
                      <a16:creationId xmlns:a16="http://schemas.microsoft.com/office/drawing/2014/main" id="{00000000-0008-0000-0100-000034000000}"/>
                    </a:ext>
                  </a:extLst>
                </xdr:cNvPr>
                <xdr:cNvGraphicFramePr/>
              </xdr:nvGraphicFramePr>
              <xdr:xfrm>
                <a:off x="1775699" y="3018044"/>
                <a:ext cx="795631" cy="1232223"/>
              </xdr:xfrm>
              <a:graphic>
                <a:graphicData uri="http://schemas.microsoft.com/office/drawing/2010/slicer">
                  <sle:slicer xmlns:sle="http://schemas.microsoft.com/office/drawing/2010/slicer" name="⊿L=-30% &#10;typ (A)"/>
                </a:graphicData>
              </a:graphic>
            </xdr:graphicFrame>
          </mc:Choice>
          <mc:Fallback xmlns="">
            <xdr:sp macro="" textlink="">
              <xdr:nvSpPr>
                <xdr:cNvPr id="0" name=""/>
                <xdr:cNvSpPr>
                  <a:spLocks noTextEdit="1"/>
                </xdr:cNvSpPr>
              </xdr:nvSpPr>
              <xdr:spPr>
                <a:xfrm>
                  <a:off x="1902645" y="3590440"/>
                  <a:ext cx="848719" cy="939227"/>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sp macro="" textlink="">
          <xdr:nvSpPr>
            <xdr:cNvPr id="100" name="テキスト ボックス 99">
              <a:extLst>
                <a:ext uri="{FF2B5EF4-FFF2-40B4-BE49-F238E27FC236}">
                  <a16:creationId xmlns:a16="http://schemas.microsoft.com/office/drawing/2014/main" id="{00000000-0008-0000-0100-000064000000}"/>
                </a:ext>
              </a:extLst>
            </xdr:cNvPr>
            <xdr:cNvSpPr txBox="1"/>
          </xdr:nvSpPr>
          <xdr:spPr>
            <a:xfrm>
              <a:off x="1808584" y="3058117"/>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0"/>
                <a:t>-30%</a:t>
              </a:r>
            </a:p>
          </xdr:txBody>
        </xdr:sp>
        <xdr:sp macro="" textlink="">
          <xdr:nvSpPr>
            <xdr:cNvPr id="101" name="テキスト ボックス 100">
              <a:extLst>
                <a:ext uri="{FF2B5EF4-FFF2-40B4-BE49-F238E27FC236}">
                  <a16:creationId xmlns:a16="http://schemas.microsoft.com/office/drawing/2014/main" id="{00000000-0008-0000-0100-000065000000}"/>
                </a:ext>
              </a:extLst>
            </xdr:cNvPr>
            <xdr:cNvSpPr txBox="1"/>
          </xdr:nvSpPr>
          <xdr:spPr>
            <a:xfrm>
              <a:off x="2609430" y="3058117"/>
              <a:ext cx="246858" cy="1958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square" lIns="0" tIns="0" rIns="0" bIns="0" rtlCol="0" anchor="ctr"/>
            <a:lstStyle/>
            <a:p>
              <a:r>
                <a:rPr kumimoji="1" lang="en-US" altLang="ja-JP" sz="900" b="0"/>
                <a:t>-20%</a:t>
              </a:r>
            </a:p>
          </xdr:txBody>
        </xdr:sp>
      </xdr:grpSp>
      <xdr:sp macro="" textlink="">
        <xdr:nvSpPr>
          <xdr:cNvPr id="102" name="角丸四角形 101">
            <a:extLst>
              <a:ext uri="{FF2B5EF4-FFF2-40B4-BE49-F238E27FC236}">
                <a16:creationId xmlns:a16="http://schemas.microsoft.com/office/drawing/2014/main" id="{00000000-0008-0000-0100-000066000000}"/>
              </a:ext>
            </a:extLst>
          </xdr:cNvPr>
          <xdr:cNvSpPr/>
        </xdr:nvSpPr>
        <xdr:spPr bwMode="auto">
          <a:xfrm>
            <a:off x="56444" y="2709333"/>
            <a:ext cx="4898116" cy="1185332"/>
          </a:xfrm>
          <a:prstGeom prst="roundRect">
            <a:avLst>
              <a:gd name="adj" fmla="val 2966"/>
            </a:avLst>
          </a:prstGeom>
          <a:noFill/>
          <a:ln w="38100" cap="flat" cmpd="sng" algn="ctr">
            <a:solidFill>
              <a:schemeClr val="accent6"/>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grpSp>
    <xdr:clientData/>
  </xdr:twoCellAnchor>
  <xdr:twoCellAnchor>
    <xdr:from>
      <xdr:col>1</xdr:col>
      <xdr:colOff>16509</xdr:colOff>
      <xdr:row>4</xdr:row>
      <xdr:rowOff>296333</xdr:rowOff>
    </xdr:from>
    <xdr:to>
      <xdr:col>3</xdr:col>
      <xdr:colOff>161383</xdr:colOff>
      <xdr:row>13</xdr:row>
      <xdr:rowOff>0</xdr:rowOff>
    </xdr:to>
    <mc:AlternateContent xmlns:mc="http://schemas.openxmlformats.org/markup-compatibility/2006" xmlns:a14="http://schemas.microsoft.com/office/drawing/2010/main">
      <mc:Choice Requires="a14">
        <xdr:graphicFrame macro="">
          <xdr:nvGraphicFramePr>
            <xdr:cNvPr id="109" name="Feature 1">
              <a:extLst>
                <a:ext uri="{FF2B5EF4-FFF2-40B4-BE49-F238E27FC236}">
                  <a16:creationId xmlns:a16="http://schemas.microsoft.com/office/drawing/2014/main" id="{00000000-0008-0000-0100-00006D000000}"/>
                </a:ext>
              </a:extLst>
            </xdr:cNvPr>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73236" y="1208405"/>
              <a:ext cx="1719885" cy="1477010"/>
            </a:xfrm>
            <a:prstGeom prst="rect">
              <a:avLst/>
            </a:prstGeom>
            <a:solidFill>
              <a:prstClr val="white"/>
            </a:solidFill>
            <a:ln w="1">
              <a:solidFill>
                <a:prstClr val="green"/>
              </a:solidFill>
            </a:ln>
          </xdr:spPr>
          <xdr:txBody>
            <a:bodyPr vertOverflow="clip" horzOverflow="clip"/>
            <a:lstStyle/>
            <a:p>
              <a:r>
                <a:rPr lang="ja-JP" altLang="en-US" sz="1100"/>
                <a:t>この図形はスライサーを表しています。スライサーは、Excel 2010 以降でサポートされています。
図形がそれよりも前のバージョンの Excel で変更された場合、またはブックが Excel 2003 以前のバージョンで保存された場合は、スライサーを使用できません。</a:t>
              </a:r>
            </a:p>
          </xdr:txBody>
        </xdr:sp>
      </mc:Fallback>
    </mc:AlternateContent>
    <xdr:clientData/>
  </xdr:twoCellAnchor>
  <xdr:twoCellAnchor>
    <xdr:from>
      <xdr:col>1</xdr:col>
      <xdr:colOff>0</xdr:colOff>
      <xdr:row>3</xdr:row>
      <xdr:rowOff>5107</xdr:rowOff>
    </xdr:from>
    <xdr:to>
      <xdr:col>3</xdr:col>
      <xdr:colOff>156818</xdr:colOff>
      <xdr:row>16</xdr:row>
      <xdr:rowOff>0</xdr:rowOff>
    </xdr:to>
    <xdr:sp macro="" textlink="">
      <xdr:nvSpPr>
        <xdr:cNvPr id="110" name="角丸四角形 69">
          <a:extLst>
            <a:ext uri="{FF2B5EF4-FFF2-40B4-BE49-F238E27FC236}">
              <a16:creationId xmlns:a16="http://schemas.microsoft.com/office/drawing/2014/main" id="{00000000-0008-0000-0100-00006E000000}"/>
            </a:ext>
          </a:extLst>
        </xdr:cNvPr>
        <xdr:cNvSpPr/>
      </xdr:nvSpPr>
      <xdr:spPr bwMode="auto">
        <a:xfrm>
          <a:off x="59267" y="716307"/>
          <a:ext cx="1562284" cy="2628026"/>
        </a:xfrm>
        <a:prstGeom prst="roundRect">
          <a:avLst>
            <a:gd name="adj" fmla="val 2966"/>
          </a:avLst>
        </a:prstGeom>
        <a:noFill/>
        <a:ln w="38100" cap="flat" cmpd="sng" algn="ctr">
          <a:solidFill>
            <a:schemeClr val="bg1">
              <a:lumMod val="50000"/>
            </a:schemeClr>
          </a:solid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52</xdr:col>
      <xdr:colOff>1041400</xdr:colOff>
      <xdr:row>2</xdr:row>
      <xdr:rowOff>319406</xdr:rowOff>
    </xdr:from>
    <xdr:to>
      <xdr:col>62</xdr:col>
      <xdr:colOff>440265</xdr:colOff>
      <xdr:row>5</xdr:row>
      <xdr:rowOff>274103</xdr:rowOff>
    </xdr:to>
    <xdr:grpSp>
      <xdr:nvGrpSpPr>
        <xdr:cNvPr id="4" name="グループ化 3">
          <a:extLst>
            <a:ext uri="{FF2B5EF4-FFF2-40B4-BE49-F238E27FC236}">
              <a16:creationId xmlns:a16="http://schemas.microsoft.com/office/drawing/2014/main" id="{00000000-0008-0000-0100-000004000000}"/>
            </a:ext>
          </a:extLst>
        </xdr:cNvPr>
        <xdr:cNvGrpSpPr/>
      </xdr:nvGrpSpPr>
      <xdr:grpSpPr>
        <a:xfrm>
          <a:off x="18862675" y="690881"/>
          <a:ext cx="5666315" cy="773847"/>
          <a:chOff x="14446888" y="39084"/>
          <a:chExt cx="5485085" cy="724224"/>
        </a:xfrm>
      </xdr:grpSpPr>
      <xdr:sp macro="" textlink="">
        <xdr:nvSpPr>
          <xdr:cNvPr id="112" name="テキスト ボックス 111">
            <a:extLst>
              <a:ext uri="{FF2B5EF4-FFF2-40B4-BE49-F238E27FC236}">
                <a16:creationId xmlns:a16="http://schemas.microsoft.com/office/drawing/2014/main" id="{00000000-0008-0000-0100-000070000000}"/>
              </a:ext>
            </a:extLst>
          </xdr:cNvPr>
          <xdr:cNvSpPr txBox="1"/>
        </xdr:nvSpPr>
        <xdr:spPr>
          <a:xfrm>
            <a:off x="14983022" y="39084"/>
            <a:ext cx="4948951" cy="22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1100" b="1" cap="none" spc="0" baseline="0">
                <a:ln>
                  <a:noFill/>
                </a:ln>
                <a:solidFill>
                  <a:srgbClr val="FF0000"/>
                </a:solidFill>
                <a:effectLst>
                  <a:glow rad="63500">
                    <a:schemeClr val="bg1"/>
                  </a:glow>
                </a:effectLst>
                <a:latin typeface="+mj-lt"/>
                <a:ea typeface="Segoe UI" panose="020B0502040204020203" pitchFamily="34" charset="0"/>
                <a:cs typeface="Segoe UI" panose="020B0502040204020203" pitchFamily="34" charset="0"/>
              </a:rPr>
              <a:t>Forward to "PN-&gt;Parameter" Sheet</a:t>
            </a:r>
            <a:endParaRPr kumimoji="1" lang="en-US" altLang="ja-JP" sz="900" b="1" cap="none" spc="0" baseline="0">
              <a:ln>
                <a:noFill/>
              </a:ln>
              <a:solidFill>
                <a:srgbClr val="FF0000"/>
              </a:solidFill>
              <a:effectLst>
                <a:glow rad="63500">
                  <a:schemeClr val="bg1"/>
                </a:glow>
              </a:effectLst>
              <a:latin typeface="+mj-lt"/>
              <a:ea typeface="Segoe UI" panose="020B0502040204020203" pitchFamily="34" charset="0"/>
              <a:cs typeface="Segoe UI" panose="020B0502040204020203" pitchFamily="34" charset="0"/>
            </a:endParaRPr>
          </a:p>
        </xdr:txBody>
      </xdr:sp>
      <xdr:cxnSp macro="">
        <xdr:nvCxnSpPr>
          <xdr:cNvPr id="113" name="直線矢印コネクタ 112">
            <a:extLst>
              <a:ext uri="{FF2B5EF4-FFF2-40B4-BE49-F238E27FC236}">
                <a16:creationId xmlns:a16="http://schemas.microsoft.com/office/drawing/2014/main" id="{00000000-0008-0000-0100-000071000000}"/>
              </a:ext>
            </a:extLst>
          </xdr:cNvPr>
          <xdr:cNvCxnSpPr/>
        </xdr:nvCxnSpPr>
        <xdr:spPr bwMode="auto">
          <a:xfrm flipH="1">
            <a:off x="14446888" y="213199"/>
            <a:ext cx="679423" cy="469015"/>
          </a:xfrm>
          <a:prstGeom prst="straightConnector1">
            <a:avLst/>
          </a:prstGeom>
          <a:ln w="15875">
            <a:solidFill>
              <a:srgbClr val="FF0000"/>
            </a:solidFill>
            <a:headEnd type="none" w="med" len="med"/>
            <a:tailEnd type="arrow" w="sm" len="sm"/>
          </a:ln>
          <a:effectLst>
            <a:glow rad="63500">
              <a:schemeClr val="bg1"/>
            </a:glow>
          </a:effectLst>
        </xdr:spPr>
        <xdr:style>
          <a:lnRef idx="3">
            <a:schemeClr val="accent1"/>
          </a:lnRef>
          <a:fillRef idx="0">
            <a:schemeClr val="accent1"/>
          </a:fillRef>
          <a:effectRef idx="2">
            <a:schemeClr val="accent1"/>
          </a:effectRef>
          <a:fontRef idx="minor">
            <a:schemeClr val="tx1"/>
          </a:fontRef>
        </xdr:style>
      </xdr:cxnSp>
      <xdr:cxnSp macro="">
        <xdr:nvCxnSpPr>
          <xdr:cNvPr id="114" name="直線矢印コネクタ 113">
            <a:extLst>
              <a:ext uri="{FF2B5EF4-FFF2-40B4-BE49-F238E27FC236}">
                <a16:creationId xmlns:a16="http://schemas.microsoft.com/office/drawing/2014/main" id="{00000000-0008-0000-0100-000072000000}"/>
              </a:ext>
            </a:extLst>
          </xdr:cNvPr>
          <xdr:cNvCxnSpPr/>
        </xdr:nvCxnSpPr>
        <xdr:spPr bwMode="auto">
          <a:xfrm>
            <a:off x="15836361" y="228833"/>
            <a:ext cx="0" cy="534475"/>
          </a:xfrm>
          <a:prstGeom prst="straightConnector1">
            <a:avLst/>
          </a:prstGeom>
          <a:ln w="19050">
            <a:solidFill>
              <a:srgbClr val="FF0000"/>
            </a:solidFill>
            <a:headEnd type="none" w="med" len="med"/>
            <a:tailEnd type="arrow" w="sm" len="sm"/>
          </a:ln>
          <a:effectLst>
            <a:glow rad="63500">
              <a:schemeClr val="bg1"/>
            </a:glow>
          </a:effectLst>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52</xdr:col>
          <xdr:colOff>716280</xdr:colOff>
          <xdr:row>2</xdr:row>
          <xdr:rowOff>68580</xdr:rowOff>
        </xdr:from>
        <xdr:to>
          <xdr:col>52</xdr:col>
          <xdr:colOff>1135380</xdr:colOff>
          <xdr:row>2</xdr:row>
          <xdr:rowOff>259080</xdr:rowOff>
        </xdr:to>
        <xdr:pic>
          <xdr:nvPicPr>
            <xdr:cNvPr id="104847" name="図 58">
              <a:extLst>
                <a:ext uri="{FF2B5EF4-FFF2-40B4-BE49-F238E27FC236}">
                  <a16:creationId xmlns:a16="http://schemas.microsoft.com/office/drawing/2014/main" id="{8CABD760-12EE-C708-6E9E-C02C05D5F4EA}"/>
                </a:ext>
              </a:extLst>
            </xdr:cNvPr>
            <xdr:cNvPicPr>
              <a:picLocks noChangeAspect="1" noChangeArrowheads="1"/>
              <a:extLst>
                <a:ext uri="{84589F7E-364E-4C9E-8A38-B11213B215E9}">
                  <a14:cameraTool cellRange="CE1" spid="_x0000_s104860"/>
                </a:ext>
              </a:extLst>
            </xdr:cNvPicPr>
          </xdr:nvPicPr>
          <xdr:blipFill>
            <a:blip xmlns:r="http://schemas.openxmlformats.org/officeDocument/2006/relationships" r:embed="rId11"/>
            <a:srcRect l="50305" t="15385" b="19231"/>
            <a:stretch>
              <a:fillRect/>
            </a:stretch>
          </xdr:blipFill>
          <xdr:spPr bwMode="auto">
            <a:xfrm>
              <a:off x="13434060" y="449580"/>
              <a:ext cx="419100" cy="190500"/>
            </a:xfrm>
            <a:prstGeom prst="rect">
              <a:avLst/>
            </a:prstGeom>
            <a:solidFill>
              <a:srgbClr val="FFFFFF"/>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283028</xdr:colOff>
      <xdr:row>3</xdr:row>
      <xdr:rowOff>152400</xdr:rowOff>
    </xdr:from>
    <xdr:to>
      <xdr:col>5</xdr:col>
      <xdr:colOff>500741</xdr:colOff>
      <xdr:row>4</xdr:row>
      <xdr:rowOff>130628</xdr:rowOff>
    </xdr:to>
    <xdr:cxnSp macro="">
      <xdr:nvCxnSpPr>
        <xdr:cNvPr id="2" name="直線矢印コネクタ 1">
          <a:extLst>
            <a:ext uri="{FF2B5EF4-FFF2-40B4-BE49-F238E27FC236}">
              <a16:creationId xmlns:a16="http://schemas.microsoft.com/office/drawing/2014/main" id="{00000000-0008-0000-0300-000002000000}"/>
            </a:ext>
          </a:extLst>
        </xdr:cNvPr>
        <xdr:cNvCxnSpPr/>
      </xdr:nvCxnSpPr>
      <xdr:spPr bwMode="auto">
        <a:xfrm rot="10800000" flipV="1">
          <a:off x="1250768" y="746760"/>
          <a:ext cx="217713" cy="153488"/>
        </a:xfrm>
        <a:prstGeom prst="straightConnector1">
          <a:avLst/>
        </a:prstGeom>
        <a:ln>
          <a:solidFill>
            <a:srgbClr val="FF0000"/>
          </a:solidFill>
          <a:headEnd type="none" w="med" len="med"/>
          <a:tailEnd type="arrow"/>
        </a:ln>
        <a:effectLst/>
      </xdr:spPr>
      <xdr:style>
        <a:lnRef idx="3">
          <a:schemeClr val="accent1"/>
        </a:lnRef>
        <a:fillRef idx="0">
          <a:schemeClr val="accent1"/>
        </a:fillRef>
        <a:effectRef idx="2">
          <a:schemeClr val="accent1"/>
        </a:effectRef>
        <a:fontRef idx="minor">
          <a:schemeClr val="tx1"/>
        </a:fontRef>
      </xdr:style>
    </xdr:cxnSp>
    <xdr:clientData/>
  </xdr:twoCellAnchor>
  <xdr:twoCellAnchor>
    <xdr:from>
      <xdr:col>15</xdr:col>
      <xdr:colOff>1</xdr:colOff>
      <xdr:row>0</xdr:row>
      <xdr:rowOff>0</xdr:rowOff>
    </xdr:from>
    <xdr:to>
      <xdr:col>21</xdr:col>
      <xdr:colOff>1</xdr:colOff>
      <xdr:row>2</xdr:row>
      <xdr:rowOff>0</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820151" y="0"/>
          <a:ext cx="3676650" cy="400050"/>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600" b="1" cap="none" spc="0" baseline="0">
            <a:ln>
              <a:noFill/>
            </a:ln>
            <a:solidFill>
              <a:schemeClr val="bg1"/>
            </a:solidFill>
            <a:effectLst/>
            <a:latin typeface="Arial Unicode MS" panose="020B0604020202020204" pitchFamily="50" charset="-128"/>
            <a:ea typeface="Arial Unicode MS" panose="020B0604020202020204" pitchFamily="50" charset="-128"/>
            <a:cs typeface="Arial Unicode MS" panose="020B0604020202020204" pitchFamily="50" charset="-128"/>
          </a:endParaRPr>
        </a:p>
      </xdr:txBody>
    </xdr:sp>
    <xdr:clientData/>
  </xdr:twoCellAnchor>
  <xdr:twoCellAnchor>
    <xdr:from>
      <xdr:col>6</xdr:col>
      <xdr:colOff>346858</xdr:colOff>
      <xdr:row>5</xdr:row>
      <xdr:rowOff>169324</xdr:rowOff>
    </xdr:from>
    <xdr:to>
      <xdr:col>6</xdr:col>
      <xdr:colOff>575478</xdr:colOff>
      <xdr:row>5</xdr:row>
      <xdr:rowOff>329358</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259978" y="1114204"/>
          <a:ext cx="228620" cy="160034"/>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142875</xdr:colOff>
          <xdr:row>0</xdr:row>
          <xdr:rowOff>57150</xdr:rowOff>
        </xdr:from>
        <xdr:to>
          <xdr:col>19</xdr:col>
          <xdr:colOff>590550</xdr:colOff>
          <xdr:row>1</xdr:row>
          <xdr:rowOff>133350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100-000001580100}"/>
                </a:ext>
              </a:extLst>
            </xdr:cNvPr>
            <xdr:cNvSpPr/>
          </xdr:nvSpPr>
          <xdr:spPr bwMode="auto">
            <a:xfrm>
              <a:off x="0" y="0"/>
              <a:ext cx="0" cy="0"/>
            </a:xfrm>
            <a:prstGeom prst="rect">
              <a:avLst/>
            </a:prstGeom>
            <a:noFill/>
            <a:ln w="9525">
              <a:miter lim="800000"/>
              <a:headEnd/>
              <a:tailEnd/>
            </a:ln>
          </xdr:spPr>
          <xdr:txBody>
            <a:bodyPr vertOverflow="clip" wrap="square" lIns="72000" tIns="0" rIns="72000" bIns="0" anchor="ctr" upright="1"/>
            <a:lstStyle/>
            <a:p>
              <a:pPr algn="ctr" rtl="0">
                <a:defRPr sz="1000"/>
              </a:pPr>
              <a:r>
                <a:rPr lang="de-DE" sz="1400" b="0" i="0" u="none" strike="noStrike" baseline="0">
                  <a:solidFill>
                    <a:srgbClr val="000000"/>
                  </a:solidFill>
                  <a:latin typeface="Wingdings"/>
                </a:rPr>
                <a:t>3</a:t>
              </a:r>
              <a:r>
                <a:rPr lang="de-DE" sz="500" b="0" i="0" u="none" strike="noStrike" baseline="0">
                  <a:solidFill>
                    <a:srgbClr val="000000"/>
                  </a:solidFill>
                  <a:latin typeface="Wingdings"/>
                </a:rPr>
                <a:t> </a:t>
              </a:r>
              <a:r>
                <a:rPr lang="de-DE" sz="1400" b="0" i="0" u="none" strike="noStrike" baseline="0">
                  <a:solidFill>
                    <a:srgbClr val="000000"/>
                  </a:solidFill>
                  <a:latin typeface="MV Boli"/>
                  <a:cs typeface="MV Boli"/>
                </a:rPr>
                <a:t>Click here to export the List</a:t>
              </a:r>
              <a:r>
                <a:rPr lang="de-DE" sz="1400" b="0" i="0" u="none" strike="noStrike" baseline="0">
                  <a:solidFill>
                    <a:srgbClr val="000000"/>
                  </a:solidFill>
                  <a:latin typeface="ＭＳ Ｐゴシック"/>
                  <a:ea typeface="ＭＳ Ｐゴシック"/>
                  <a:cs typeface="MV Boli"/>
                </a:rPr>
                <a:t>　</a:t>
              </a:r>
              <a:endParaRPr lang="de-DE" sz="1400" b="0" i="0" u="none" strike="noStrike" baseline="0">
                <a:solidFill>
                  <a:srgbClr val="000000"/>
                </a:solidFill>
                <a:latin typeface="ＭＳ Ｐゴシック"/>
                <a:ea typeface="ＭＳ Ｐゴシック"/>
              </a:endParaRP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5</xdr:row>
          <xdr:rowOff>200025</xdr:rowOff>
        </xdr:from>
        <xdr:to>
          <xdr:col>5</xdr:col>
          <xdr:colOff>952500</xdr:colOff>
          <xdr:row>5</xdr:row>
          <xdr:rowOff>333375</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100-0000025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0" i="0" u="none" strike="noStrike" baseline="0">
                  <a:solidFill>
                    <a:srgbClr val="000000"/>
                  </a:solidFill>
                  <a:latin typeface="Segoe UI"/>
                  <a:cs typeface="Segoe UI"/>
                </a:rPr>
                <a:t>Clear</a:t>
              </a:r>
            </a:p>
          </xdr:txBody>
        </xdr:sp>
        <xdr:clientData fPrintsWithSheet="0"/>
      </xdr:twoCellAnchor>
    </mc:Choice>
    <mc:Fallback/>
  </mc:AlternateContent>
  <xdr:twoCellAnchor>
    <xdr:from>
      <xdr:col>5</xdr:col>
      <xdr:colOff>108857</xdr:colOff>
      <xdr:row>5</xdr:row>
      <xdr:rowOff>316563</xdr:rowOff>
    </xdr:from>
    <xdr:to>
      <xdr:col>5</xdr:col>
      <xdr:colOff>964090</xdr:colOff>
      <xdr:row>5</xdr:row>
      <xdr:rowOff>381229</xdr:rowOff>
    </xdr:to>
    <xdr:sp macro="[0]!PastePN_Clear.PastePN_Clear" textlink="">
      <xdr:nvSpPr>
        <xdr:cNvPr id="8" name="二等辺三角形 7">
          <a:extLst>
            <a:ext uri="{FF2B5EF4-FFF2-40B4-BE49-F238E27FC236}">
              <a16:creationId xmlns:a16="http://schemas.microsoft.com/office/drawing/2014/main" id="{00000000-0008-0000-0300-000008000000}"/>
            </a:ext>
          </a:extLst>
        </xdr:cNvPr>
        <xdr:cNvSpPr/>
      </xdr:nvSpPr>
      <xdr:spPr bwMode="auto">
        <a:xfrm flipV="1">
          <a:off x="1076597" y="1261443"/>
          <a:ext cx="855233" cy="64666"/>
        </a:xfrm>
        <a:prstGeom prst="triangle">
          <a:avLst/>
        </a:prstGeom>
        <a:solidFill>
          <a:schemeClr val="bg1">
            <a:lumMod val="8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t" upright="1"/>
        <a:lstStyle/>
        <a:p>
          <a:pPr algn="l"/>
          <a:endParaRPr kumimoji="1" lang="ja-JP" altLang="en-US" sz="1100"/>
        </a:p>
      </xdr:txBody>
    </xdr:sp>
    <xdr:clientData/>
  </xdr:twoCellAnchor>
  <xdr:twoCellAnchor>
    <xdr:from>
      <xdr:col>5</xdr:col>
      <xdr:colOff>555172</xdr:colOff>
      <xdr:row>3</xdr:row>
      <xdr:rowOff>54429</xdr:rowOff>
    </xdr:from>
    <xdr:to>
      <xdr:col>10</xdr:col>
      <xdr:colOff>0</xdr:colOff>
      <xdr:row>4</xdr:row>
      <xdr:rowOff>76201</xdr:rowOff>
    </xdr:to>
    <xdr:sp macro="" textlink="">
      <xdr:nvSpPr>
        <xdr:cNvPr id="10" name="テキスト ボックス 9">
          <a:extLst>
            <a:ext uri="{FF2B5EF4-FFF2-40B4-BE49-F238E27FC236}">
              <a16:creationId xmlns:a16="http://schemas.microsoft.com/office/drawing/2014/main" id="{00000000-0008-0000-0300-00000A000000}"/>
            </a:ext>
          </a:extLst>
        </xdr:cNvPr>
        <xdr:cNvSpPr txBox="1"/>
      </xdr:nvSpPr>
      <xdr:spPr>
        <a:xfrm>
          <a:off x="1522912" y="648789"/>
          <a:ext cx="3701144" cy="197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en-US" altLang="ja-JP" sz="1200" b="1" cap="none" spc="0" baseline="0">
              <a:ln>
                <a:noFill/>
              </a:ln>
              <a:solidFill>
                <a:srgbClr val="FF0000"/>
              </a:solidFill>
              <a:effectLst/>
              <a:latin typeface="+mj-lt"/>
              <a:ea typeface="Segoe UI" panose="020B0502040204020203" pitchFamily="34" charset="0"/>
              <a:cs typeface="Segoe UI" panose="020B0502040204020203" pitchFamily="34" charset="0"/>
            </a:rPr>
            <a:t>Paste (or type) PNs in Column F from F7 cell</a:t>
          </a:r>
        </a:p>
      </xdr:txBody>
    </xdr:sp>
    <xdr:clientData/>
  </xdr:twoCellAnchor>
  <xdr:twoCellAnchor>
    <xdr:from>
      <xdr:col>10</xdr:col>
      <xdr:colOff>0</xdr:colOff>
      <xdr:row>4</xdr:row>
      <xdr:rowOff>0</xdr:rowOff>
    </xdr:from>
    <xdr:to>
      <xdr:col>12</xdr:col>
      <xdr:colOff>0</xdr:colOff>
      <xdr:row>5</xdr:row>
      <xdr:rowOff>0</xdr:rowOff>
    </xdr:to>
    <xdr:sp macro="" textlink="">
      <xdr:nvSpPr>
        <xdr:cNvPr id="6" name="テキスト ボックス 5">
          <a:extLst>
            <a:ext uri="{FF2B5EF4-FFF2-40B4-BE49-F238E27FC236}">
              <a16:creationId xmlns:a16="http://schemas.microsoft.com/office/drawing/2014/main" id="{00000000-0008-0000-0300-000006000000}"/>
            </a:ext>
          </a:extLst>
        </xdr:cNvPr>
        <xdr:cNvSpPr txBox="1"/>
      </xdr:nvSpPr>
      <xdr:spPr>
        <a:xfrm>
          <a:off x="4591050" y="771525"/>
          <a:ext cx="1619250" cy="171450"/>
        </a:xfrm>
        <a:prstGeom prst="rect">
          <a:avLst/>
        </a:prstGeom>
        <a:solidFill>
          <a:schemeClr val="tx1">
            <a:lumMod val="65000"/>
            <a:lumOff val="3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 </a:t>
          </a:r>
          <a:r>
            <a:rPr kumimoji="1" lang="en-US" altLang="ja-JP" sz="1100" b="0">
              <a:solidFill>
                <a:schemeClr val="bg1"/>
              </a:solidFill>
            </a:rPr>
            <a:t>(⊿T=40C)</a:t>
          </a:r>
        </a:p>
      </xdr:txBody>
    </xdr:sp>
    <xdr:clientData/>
  </xdr:twoCellAnchor>
  <xdr:twoCellAnchor>
    <xdr:from>
      <xdr:col>12</xdr:col>
      <xdr:colOff>0</xdr:colOff>
      <xdr:row>4</xdr:row>
      <xdr:rowOff>0</xdr:rowOff>
    </xdr:from>
    <xdr:to>
      <xdr:col>14</xdr:col>
      <xdr:colOff>0</xdr:colOff>
      <xdr:row>5</xdr:row>
      <xdr:rowOff>0</xdr:rowOff>
    </xdr:to>
    <xdr:sp macro="" textlink="">
      <xdr:nvSpPr>
        <xdr:cNvPr id="13" name="テキスト ボックス 12">
          <a:extLst>
            <a:ext uri="{FF2B5EF4-FFF2-40B4-BE49-F238E27FC236}">
              <a16:creationId xmlns:a16="http://schemas.microsoft.com/office/drawing/2014/main" id="{00000000-0008-0000-0300-00000D000000}"/>
            </a:ext>
          </a:extLst>
        </xdr:cNvPr>
        <xdr:cNvSpPr txBox="1"/>
      </xdr:nvSpPr>
      <xdr:spPr>
        <a:xfrm>
          <a:off x="6210300" y="771525"/>
          <a:ext cx="1466850" cy="171450"/>
        </a:xfrm>
        <a:prstGeom prst="rect">
          <a:avLst/>
        </a:prstGeom>
        <a:solidFill>
          <a:schemeClr val="tx1">
            <a:lumMod val="65000"/>
            <a:lumOff val="3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Isat</a:t>
          </a:r>
          <a:endParaRPr kumimoji="1" lang="ja-JP" altLang="en-US" sz="1400" b="1">
            <a:solidFill>
              <a:schemeClr val="bg1"/>
            </a:solidFill>
          </a:endParaRPr>
        </a:p>
      </xdr:txBody>
    </xdr:sp>
    <xdr:clientData/>
  </xdr:twoCellAnchor>
  <xdr:twoCellAnchor>
    <xdr:from>
      <xdr:col>14</xdr:col>
      <xdr:colOff>0</xdr:colOff>
      <xdr:row>4</xdr:row>
      <xdr:rowOff>0</xdr:rowOff>
    </xdr:from>
    <xdr:to>
      <xdr:col>16</xdr:col>
      <xdr:colOff>0</xdr:colOff>
      <xdr:row>5</xdr:row>
      <xdr:rowOff>0</xdr:rowOff>
    </xdr:to>
    <xdr:sp macro="" textlink="">
      <xdr:nvSpPr>
        <xdr:cNvPr id="14" name="テキスト ボックス 13">
          <a:extLst>
            <a:ext uri="{FF2B5EF4-FFF2-40B4-BE49-F238E27FC236}">
              <a16:creationId xmlns:a16="http://schemas.microsoft.com/office/drawing/2014/main" id="{00000000-0008-0000-0300-00000E000000}"/>
            </a:ext>
          </a:extLst>
        </xdr:cNvPr>
        <xdr:cNvSpPr txBox="1"/>
      </xdr:nvSpPr>
      <xdr:spPr>
        <a:xfrm>
          <a:off x="7677150" y="771525"/>
          <a:ext cx="1466850" cy="171450"/>
        </a:xfrm>
        <a:prstGeom prst="rect">
          <a:avLst/>
        </a:prstGeom>
        <a:solidFill>
          <a:schemeClr val="tx1">
            <a:lumMod val="65000"/>
            <a:lumOff val="35000"/>
          </a:schemeClr>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DCR</a:t>
          </a:r>
          <a:endParaRPr kumimoji="1" lang="ja-JP" altLang="en-US" sz="14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16</xdr:col>
      <xdr:colOff>434089</xdr:colOff>
      <xdr:row>25</xdr:row>
      <xdr:rowOff>95250</xdr:rowOff>
    </xdr:from>
    <xdr:to>
      <xdr:col>19</xdr:col>
      <xdr:colOff>0</xdr:colOff>
      <xdr:row>36</xdr:row>
      <xdr:rowOff>0</xdr:rowOff>
    </xdr:to>
    <xdr:graphicFrame macro="">
      <xdr:nvGraphicFramePr>
        <xdr:cNvPr id="13" name="グラフ 12">
          <a:extLst>
            <a:ext uri="{FF2B5EF4-FFF2-40B4-BE49-F238E27FC236}">
              <a16:creationId xmlns:a16="http://schemas.microsoft.com/office/drawing/2014/main" id="{00000000-0008-0000-0400-00000D000000}"/>
            </a:ext>
            <a:ext uri="{147F2762-F138-4A5C-976F-8EAC2B608ADB}">
              <a16:predDERef xmlns:a16="http://schemas.microsoft.com/office/drawing/2014/main" pred="{B4C9267A-754A-472C-AFFF-1179338CA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578766</xdr:colOff>
      <xdr:row>24</xdr:row>
      <xdr:rowOff>135161</xdr:rowOff>
    </xdr:from>
    <xdr:to>
      <xdr:col>15</xdr:col>
      <xdr:colOff>387004</xdr:colOff>
      <xdr:row>26</xdr:row>
      <xdr:rowOff>6873</xdr:rowOff>
    </xdr:to>
    <xdr:sp macro="" textlink="">
      <xdr:nvSpPr>
        <xdr:cNvPr id="29" name="二等辺三角形 28">
          <a:extLst>
            <a:ext uri="{FF2B5EF4-FFF2-40B4-BE49-F238E27FC236}">
              <a16:creationId xmlns:a16="http://schemas.microsoft.com/office/drawing/2014/main" id="{00000000-0008-0000-0400-00001D000000}"/>
            </a:ext>
          </a:extLst>
        </xdr:cNvPr>
        <xdr:cNvSpPr/>
      </xdr:nvSpPr>
      <xdr:spPr bwMode="auto">
        <a:xfrm rot="16200000">
          <a:off x="4160248" y="1519239"/>
          <a:ext cx="256899" cy="469754"/>
        </a:xfrm>
        <a:prstGeom prst="triangle">
          <a:avLst/>
        </a:prstGeom>
        <a:solidFill>
          <a:srgbClr val="FFFFFF"/>
        </a:solidFill>
        <a:ln w="3175" cap="flat" cmpd="sng" algn="ctr">
          <a:solidFill>
            <a:schemeClr val="tx1">
              <a:lumMod val="65000"/>
              <a:lumOff val="35000"/>
            </a:schemeClr>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35170</xdr:colOff>
      <xdr:row>24</xdr:row>
      <xdr:rowOff>130292</xdr:rowOff>
    </xdr:from>
    <xdr:to>
      <xdr:col>16</xdr:col>
      <xdr:colOff>343319</xdr:colOff>
      <xdr:row>36</xdr:row>
      <xdr:rowOff>13517</xdr:rowOff>
    </xdr:to>
    <mc:AlternateContent xmlns:mc="http://schemas.openxmlformats.org/markup-compatibility/2006" xmlns:sle15="http://schemas.microsoft.com/office/drawing/2012/slicer">
      <mc:Choice Requires="sle15">
        <xdr:graphicFrame macro="">
          <xdr:nvGraphicFramePr>
            <xdr:cNvPr id="17" name="Size Rough (mm)">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microsoft.com/office/drawing/2010/slicer">
              <sle:slicer xmlns:sle="http://schemas.microsoft.com/office/drawing/2010/slicer" name="Size Rough (mm)"/>
            </a:graphicData>
          </a:graphic>
        </xdr:graphicFrame>
      </mc:Choice>
      <mc:Fallback xmlns="">
        <xdr:sp macro="" textlink="">
          <xdr:nvSpPr>
            <xdr:cNvPr id="0" name=""/>
            <xdr:cNvSpPr>
              <a:spLocks noTextEdit="1"/>
            </xdr:cNvSpPr>
          </xdr:nvSpPr>
          <xdr:spPr>
            <a:xfrm>
              <a:off x="3441758" y="1609468"/>
              <a:ext cx="831090" cy="1504343"/>
            </a:xfrm>
            <a:prstGeom prst="rect">
              <a:avLst/>
            </a:prstGeom>
            <a:solidFill>
              <a:prstClr val="white"/>
            </a:solidFill>
            <a:ln w="1">
              <a:solidFill>
                <a:prstClr val="green"/>
              </a:solidFill>
            </a:ln>
          </xdr:spPr>
          <xdr:txBody>
            <a:bodyPr vertOverflow="clip" horzOverflow="clip"/>
            <a:lstStyle/>
            <a:p>
              <a:r>
                <a:rPr lang="ja-JP" altLang="en-US" sz="1100"/>
                <a:t>この図形はテーブル スライサーを表しています。テーブル スライサーはこのバージョンの Excel ではサポートされていません。
以前のバージョンの Excel で図形を変更した場合、または Excel 2007 以前の形式でブックを保存した場合は、スライサーを使用できません。</a:t>
              </a:r>
            </a:p>
          </xdr:txBody>
        </xdr:sp>
      </mc:Fallback>
    </mc:AlternateContent>
    <xdr:clientData/>
  </xdr:twoCellAnchor>
  <mc:AlternateContent xmlns:mc="http://schemas.openxmlformats.org/markup-compatibility/2006">
    <mc:Choice xmlns:a14="http://schemas.microsoft.com/office/drawing/2010/main" Requires="a14">
      <xdr:twoCellAnchor>
        <xdr:from>
          <xdr:col>7</xdr:col>
          <xdr:colOff>85725</xdr:colOff>
          <xdr:row>36</xdr:row>
          <xdr:rowOff>38100</xdr:rowOff>
        </xdr:from>
        <xdr:to>
          <xdr:col>9</xdr:col>
          <xdr:colOff>419100</xdr:colOff>
          <xdr:row>36</xdr:row>
          <xdr:rowOff>180975</xdr:rowOff>
        </xdr:to>
        <xdr:sp macro="" textlink="">
          <xdr:nvSpPr>
            <xdr:cNvPr id="99330" name="Button 2" hidden="1">
              <a:extLst>
                <a:ext uri="{63B3BB69-23CF-44E3-9099-C40C66FF867C}">
                  <a14:compatExt spid="_x0000_s99330"/>
                </a:ext>
                <a:ext uri="{FF2B5EF4-FFF2-40B4-BE49-F238E27FC236}">
                  <a16:creationId xmlns:a16="http://schemas.microsoft.com/office/drawing/2014/main" id="{00000000-0008-0000-0200-0000028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900" b="1" i="0" u="none" strike="noStrike" baseline="0">
                  <a:solidFill>
                    <a:srgbClr val="000000"/>
                  </a:solidFill>
                  <a:latin typeface="Segoe UI"/>
                  <a:cs typeface="Segoe UI"/>
                </a:rPr>
                <a:t>Clear values</a:t>
              </a:r>
            </a:p>
          </xdr:txBody>
        </xdr:sp>
        <xdr:clientData fPrintsWithSheet="0"/>
      </xdr:twoCellAnchor>
    </mc:Choice>
    <mc:Fallback/>
  </mc:AlternateContent>
  <xdr:twoCellAnchor>
    <xdr:from>
      <xdr:col>18</xdr:col>
      <xdr:colOff>0</xdr:colOff>
      <xdr:row>49</xdr:row>
      <xdr:rowOff>0</xdr:rowOff>
    </xdr:from>
    <xdr:to>
      <xdr:col>20</xdr:col>
      <xdr:colOff>0</xdr:colOff>
      <xdr:row>49</xdr:row>
      <xdr:rowOff>144000</xdr:rowOff>
    </xdr:to>
    <xdr:sp macro="" textlink="">
      <xdr:nvSpPr>
        <xdr:cNvPr id="7" name="テキスト ボックス 6">
          <a:extLst>
            <a:ext uri="{FF2B5EF4-FFF2-40B4-BE49-F238E27FC236}">
              <a16:creationId xmlns:a16="http://schemas.microsoft.com/office/drawing/2014/main" id="{00000000-0008-0000-0400-000007000000}"/>
            </a:ext>
          </a:extLst>
        </xdr:cNvPr>
        <xdr:cNvSpPr txBox="1"/>
      </xdr:nvSpPr>
      <xdr:spPr>
        <a:xfrm>
          <a:off x="5638800" y="3512820"/>
          <a:ext cx="1203960" cy="144000"/>
        </a:xfrm>
        <a:prstGeom prst="rect">
          <a:avLst/>
        </a:prstGeom>
        <a:solidFill>
          <a:schemeClr val="tx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 </a:t>
          </a:r>
          <a:r>
            <a:rPr kumimoji="1" lang="en-US" altLang="ja-JP" sz="1100" b="0">
              <a:solidFill>
                <a:schemeClr val="bg1"/>
              </a:solidFill>
            </a:rPr>
            <a:t>(⊿T=40C)</a:t>
          </a:r>
        </a:p>
      </xdr:txBody>
    </xdr:sp>
    <xdr:clientData/>
  </xdr:twoCellAnchor>
  <xdr:twoCellAnchor>
    <xdr:from>
      <xdr:col>20</xdr:col>
      <xdr:colOff>0</xdr:colOff>
      <xdr:row>49</xdr:row>
      <xdr:rowOff>0</xdr:rowOff>
    </xdr:from>
    <xdr:to>
      <xdr:col>22</xdr:col>
      <xdr:colOff>0</xdr:colOff>
      <xdr:row>49</xdr:row>
      <xdr:rowOff>144000</xdr:rowOff>
    </xdr:to>
    <xdr:sp macro="" textlink="">
      <xdr:nvSpPr>
        <xdr:cNvPr id="8" name="テキスト ボックス 7">
          <a:extLst>
            <a:ext uri="{FF2B5EF4-FFF2-40B4-BE49-F238E27FC236}">
              <a16:creationId xmlns:a16="http://schemas.microsoft.com/office/drawing/2014/main" id="{00000000-0008-0000-0400-000008000000}"/>
            </a:ext>
          </a:extLst>
        </xdr:cNvPr>
        <xdr:cNvSpPr txBox="1"/>
      </xdr:nvSpPr>
      <xdr:spPr>
        <a:xfrm>
          <a:off x="6842760" y="3512820"/>
          <a:ext cx="1203960" cy="144000"/>
        </a:xfrm>
        <a:prstGeom prst="rect">
          <a:avLst/>
        </a:prstGeom>
        <a:solidFill>
          <a:schemeClr val="tx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Isat</a:t>
          </a:r>
          <a:endParaRPr kumimoji="1" lang="ja-JP" altLang="en-US" sz="1400" b="1">
            <a:solidFill>
              <a:schemeClr val="bg1"/>
            </a:solidFill>
          </a:endParaRPr>
        </a:p>
      </xdr:txBody>
    </xdr:sp>
    <xdr:clientData/>
  </xdr:twoCellAnchor>
  <xdr:twoCellAnchor>
    <xdr:from>
      <xdr:col>22</xdr:col>
      <xdr:colOff>0</xdr:colOff>
      <xdr:row>49</xdr:row>
      <xdr:rowOff>0</xdr:rowOff>
    </xdr:from>
    <xdr:to>
      <xdr:col>24</xdr:col>
      <xdr:colOff>0</xdr:colOff>
      <xdr:row>49</xdr:row>
      <xdr:rowOff>144000</xdr:rowOff>
    </xdr:to>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8046720" y="3512820"/>
          <a:ext cx="1203960" cy="144000"/>
        </a:xfrm>
        <a:prstGeom prst="rect">
          <a:avLst/>
        </a:prstGeom>
        <a:solidFill>
          <a:schemeClr val="tx2"/>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400" b="1">
              <a:solidFill>
                <a:schemeClr val="bg1"/>
              </a:solidFill>
            </a:rPr>
            <a:t>DCR</a:t>
          </a:r>
          <a:endParaRPr kumimoji="1" lang="ja-JP" altLang="en-US" sz="1400" b="1">
            <a:solidFill>
              <a:schemeClr val="bg1"/>
            </a:solidFill>
          </a:endParaRPr>
        </a:p>
      </xdr:txBody>
    </xdr:sp>
    <xdr:clientData/>
  </xdr:twoCellAnchor>
  <xdr:twoCellAnchor>
    <xdr:from>
      <xdr:col>14</xdr:col>
      <xdr:colOff>0</xdr:colOff>
      <xdr:row>28</xdr:row>
      <xdr:rowOff>53340</xdr:rowOff>
    </xdr:from>
    <xdr:to>
      <xdr:col>15</xdr:col>
      <xdr:colOff>0</xdr:colOff>
      <xdr:row>48</xdr:row>
      <xdr:rowOff>2</xdr:rowOff>
    </xdr:to>
    <xdr:sp macro="" textlink="">
      <xdr:nvSpPr>
        <xdr:cNvPr id="20" name="矢印: 右 19">
          <a:extLst>
            <a:ext uri="{FF2B5EF4-FFF2-40B4-BE49-F238E27FC236}">
              <a16:creationId xmlns:a16="http://schemas.microsoft.com/office/drawing/2014/main" id="{00000000-0008-0000-0400-000014000000}"/>
            </a:ext>
          </a:extLst>
        </xdr:cNvPr>
        <xdr:cNvSpPr/>
      </xdr:nvSpPr>
      <xdr:spPr bwMode="auto">
        <a:xfrm rot="5400000">
          <a:off x="2693669" y="2404111"/>
          <a:ext cx="891542" cy="670560"/>
        </a:xfrm>
        <a:prstGeom prst="rightArrow">
          <a:avLst>
            <a:gd name="adj1" fmla="val 61364"/>
            <a:gd name="adj2" fmla="val 31330"/>
          </a:avLst>
        </a:prstGeom>
        <a:gradFill flip="none" rotWithShape="1">
          <a:gsLst>
            <a:gs pos="40000">
              <a:srgbClr val="B9C4D2"/>
            </a:gs>
            <a:gs pos="100000">
              <a:schemeClr val="bg1">
                <a:lumMod val="95000"/>
                <a:alpha val="0"/>
              </a:schemeClr>
            </a:gs>
            <a:gs pos="0">
              <a:schemeClr val="tx2"/>
            </a:gs>
            <a:gs pos="76000">
              <a:schemeClr val="bg1">
                <a:lumMod val="95000"/>
              </a:schemeClr>
            </a:gs>
          </a:gsLst>
          <a:lin ang="10800000" scaled="1"/>
          <a:tileRect/>
        </a:gra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13</xdr:col>
      <xdr:colOff>323848</xdr:colOff>
      <xdr:row>21</xdr:row>
      <xdr:rowOff>21915</xdr:rowOff>
    </xdr:from>
    <xdr:to>
      <xdr:col>16</xdr:col>
      <xdr:colOff>174598</xdr:colOff>
      <xdr:row>23</xdr:row>
      <xdr:rowOff>76199</xdr:rowOff>
    </xdr:to>
    <xdr:grpSp>
      <xdr:nvGrpSpPr>
        <xdr:cNvPr id="26" name="グループ化 25">
          <a:extLst>
            <a:ext uri="{FF2B5EF4-FFF2-40B4-BE49-F238E27FC236}">
              <a16:creationId xmlns:a16="http://schemas.microsoft.com/office/drawing/2014/main" id="{00000000-0008-0000-0400-00001A000000}"/>
            </a:ext>
          </a:extLst>
        </xdr:cNvPr>
        <xdr:cNvGrpSpPr/>
      </xdr:nvGrpSpPr>
      <xdr:grpSpPr>
        <a:xfrm>
          <a:off x="2638423" y="4165290"/>
          <a:ext cx="2079600" cy="444809"/>
          <a:chOff x="3782799" y="1494056"/>
          <a:chExt cx="1961580" cy="466447"/>
        </a:xfrm>
      </xdr:grpSpPr>
      <xdr:cxnSp macro="">
        <xdr:nvCxnSpPr>
          <xdr:cNvPr id="27" name="直線コネクタ 26">
            <a:extLst>
              <a:ext uri="{FF2B5EF4-FFF2-40B4-BE49-F238E27FC236}">
                <a16:creationId xmlns:a16="http://schemas.microsoft.com/office/drawing/2014/main" id="{00000000-0008-0000-0400-00001B000000}"/>
              </a:ext>
            </a:extLst>
          </xdr:cNvPr>
          <xdr:cNvCxnSpPr/>
        </xdr:nvCxnSpPr>
        <xdr:spPr>
          <a:xfrm>
            <a:off x="3782799" y="1690016"/>
            <a:ext cx="1961580" cy="0"/>
          </a:xfrm>
          <a:prstGeom prst="line">
            <a:avLst/>
          </a:prstGeom>
          <a:ln w="38100"/>
          <a:effectLst/>
        </xdr:spPr>
        <xdr:style>
          <a:lnRef idx="3">
            <a:schemeClr val="dk1"/>
          </a:lnRef>
          <a:fillRef idx="0">
            <a:schemeClr val="dk1"/>
          </a:fillRef>
          <a:effectRef idx="2">
            <a:schemeClr val="dk1"/>
          </a:effectRef>
          <a:fontRef idx="minor">
            <a:schemeClr val="tx1"/>
          </a:fontRef>
        </xdr:style>
      </xdr:cxnSp>
      <xdr:sp macro="" textlink="">
        <xdr:nvSpPr>
          <xdr:cNvPr id="28" name="テキスト ボックス 27">
            <a:extLst>
              <a:ext uri="{FF2B5EF4-FFF2-40B4-BE49-F238E27FC236}">
                <a16:creationId xmlns:a16="http://schemas.microsoft.com/office/drawing/2014/main" id="{00000000-0008-0000-0400-00001C000000}"/>
              </a:ext>
            </a:extLst>
          </xdr:cNvPr>
          <xdr:cNvSpPr txBox="1"/>
        </xdr:nvSpPr>
        <xdr:spPr>
          <a:xfrm>
            <a:off x="4329456" y="1494056"/>
            <a:ext cx="723927" cy="466447"/>
          </a:xfrm>
          <a:prstGeom prst="rect">
            <a:avLst/>
          </a:prstGeom>
          <a:solidFill>
            <a:schemeClr val="lt1"/>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ctr"/>
          <a:lstStyle/>
          <a:p>
            <a:pPr algn="ctr"/>
            <a:r>
              <a:rPr kumimoji="1" lang="en-US" altLang="ja-JP" sz="1600" b="1"/>
              <a:t>DC/DC</a:t>
            </a:r>
            <a:endParaRPr kumimoji="1" lang="ja-JP" altLang="en-US" sz="1600" b="1"/>
          </a:p>
        </xdr:txBody>
      </xdr:sp>
    </xdr:grpSp>
    <xdr:clientData/>
  </xdr:twoCellAnchor>
  <xdr:twoCellAnchor>
    <xdr:from>
      <xdr:col>15</xdr:col>
      <xdr:colOff>66500</xdr:colOff>
      <xdr:row>24</xdr:row>
      <xdr:rowOff>142360</xdr:rowOff>
    </xdr:from>
    <xdr:to>
      <xdr:col>16</xdr:col>
      <xdr:colOff>42961</xdr:colOff>
      <xdr:row>26</xdr:row>
      <xdr:rowOff>0</xdr:rowOff>
    </xdr:to>
    <xdr:grpSp>
      <xdr:nvGrpSpPr>
        <xdr:cNvPr id="3" name="グループ化 2">
          <a:extLst>
            <a:ext uri="{FF2B5EF4-FFF2-40B4-BE49-F238E27FC236}">
              <a16:creationId xmlns:a16="http://schemas.microsoft.com/office/drawing/2014/main" id="{00000000-0008-0000-0400-000003000000}"/>
            </a:ext>
          </a:extLst>
        </xdr:cNvPr>
        <xdr:cNvGrpSpPr/>
      </xdr:nvGrpSpPr>
      <xdr:grpSpPr>
        <a:xfrm>
          <a:off x="4095575" y="4866760"/>
          <a:ext cx="490811" cy="257690"/>
          <a:chOff x="3900282" y="1769932"/>
          <a:chExt cx="1016663" cy="99615"/>
        </a:xfrm>
      </xdr:grpSpPr>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3900282" y="1769932"/>
            <a:ext cx="1016663" cy="996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l">
              <a:lnSpc>
                <a:spcPts val="600"/>
              </a:lnSpc>
            </a:pPr>
            <a:r>
              <a:rPr kumimoji="1" lang="en-US" altLang="ja-JP" sz="800" b="1">
                <a:latin typeface="Meiryo UI" panose="020B0604030504040204" pitchFamily="50" charset="-128"/>
                <a:ea typeface="Meiryo UI" panose="020B0604030504040204" pitchFamily="50" charset="-128"/>
              </a:rPr>
              <a:t>Size</a:t>
            </a:r>
            <a:r>
              <a:rPr kumimoji="1" lang="en-US" altLang="ja-JP" sz="800" b="0">
                <a:latin typeface="Meiryo UI" panose="020B0604030504040204" pitchFamily="50" charset="-128"/>
                <a:ea typeface="Meiryo UI" panose="020B0604030504040204" pitchFamily="50" charset="-128"/>
              </a:rPr>
              <a:t> </a:t>
            </a:r>
            <a:r>
              <a:rPr kumimoji="1" lang="en-US" altLang="ja-JP" sz="600" b="0">
                <a:latin typeface="Meiryo UI" panose="020B0604030504040204" pitchFamily="50" charset="-128"/>
                <a:ea typeface="Meiryo UI" panose="020B0604030504040204" pitchFamily="50" charset="-128"/>
              </a:rPr>
              <a:t>(mm)</a:t>
            </a:r>
            <a:r>
              <a:rPr kumimoji="1" lang="en-US" altLang="ja-JP" sz="600" b="1" baseline="0">
                <a:latin typeface="Meiryo UI" panose="020B0604030504040204" pitchFamily="50" charset="-128"/>
                <a:ea typeface="Meiryo UI" panose="020B0604030504040204" pitchFamily="50" charset="-128"/>
              </a:rPr>
              <a:t> </a:t>
            </a:r>
          </a:p>
          <a:p>
            <a:pPr algn="l">
              <a:lnSpc>
                <a:spcPts val="600"/>
              </a:lnSpc>
            </a:pPr>
            <a:r>
              <a:rPr kumimoji="1" lang="en-US" altLang="ja-JP" sz="600" b="0">
                <a:latin typeface="Meiryo UI" panose="020B0604030504040204" pitchFamily="50" charset="-128"/>
                <a:ea typeface="Meiryo UI" panose="020B0604030504040204" pitchFamily="50" charset="-128"/>
              </a:rPr>
              <a:t>*rough</a:t>
            </a:r>
            <a:endParaRPr kumimoji="1" lang="ja-JP" altLang="en-US" sz="600" b="0">
              <a:latin typeface="Meiryo UI" panose="020B0604030504040204" pitchFamily="50" charset="-128"/>
              <a:ea typeface="Meiryo UI" panose="020B0604030504040204" pitchFamily="50" charset="-128"/>
            </a:endParaRPr>
          </a:p>
        </xdr:txBody>
      </xdr:sp>
    </xdr:grpSp>
    <xdr:clientData/>
  </xdr:twoCellAnchor>
  <xdr:twoCellAnchor>
    <xdr:from>
      <xdr:col>16</xdr:col>
      <xdr:colOff>434089</xdr:colOff>
      <xdr:row>21</xdr:row>
      <xdr:rowOff>0</xdr:rowOff>
    </xdr:from>
    <xdr:to>
      <xdr:col>19</xdr:col>
      <xdr:colOff>0</xdr:colOff>
      <xdr:row>25</xdr:row>
      <xdr:rowOff>78304</xdr:rowOff>
    </xdr:to>
    <xdr:graphicFrame macro="">
      <xdr:nvGraphicFramePr>
        <xdr:cNvPr id="4" name="グラフ 3">
          <a:extLst>
            <a:ext uri="{FF2B5EF4-FFF2-40B4-BE49-F238E27FC236}">
              <a16:creationId xmlns:a16="http://schemas.microsoft.com/office/drawing/2014/main" id="{00000000-0008-0000-0400-000004000000}"/>
            </a:ext>
            <a:ext uri="{147F2762-F138-4A5C-976F-8EAC2B608ADB}">
              <a16:predDERef xmlns:a16="http://schemas.microsoft.com/office/drawing/2014/main" pre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1066770</xdr:colOff>
      <xdr:row>23</xdr:row>
      <xdr:rowOff>7620</xdr:rowOff>
    </xdr:from>
    <xdr:to>
      <xdr:col>14</xdr:col>
      <xdr:colOff>561610</xdr:colOff>
      <xdr:row>25</xdr:row>
      <xdr:rowOff>159889</xdr:rowOff>
    </xdr:to>
    <xdr:grpSp>
      <xdr:nvGrpSpPr>
        <xdr:cNvPr id="33" name="グループ化 32">
          <a:extLst>
            <a:ext uri="{FF2B5EF4-FFF2-40B4-BE49-F238E27FC236}">
              <a16:creationId xmlns:a16="http://schemas.microsoft.com/office/drawing/2014/main" id="{00000000-0008-0000-0400-000021000000}"/>
            </a:ext>
          </a:extLst>
        </xdr:cNvPr>
        <xdr:cNvGrpSpPr/>
      </xdr:nvGrpSpPr>
      <xdr:grpSpPr>
        <a:xfrm>
          <a:off x="3381345" y="4541520"/>
          <a:ext cx="561640" cy="542794"/>
          <a:chOff x="2826990" y="1295400"/>
          <a:chExt cx="592120" cy="502789"/>
        </a:xfrm>
      </xdr:grpSpPr>
      <xdr:grpSp>
        <xdr:nvGrpSpPr>
          <xdr:cNvPr id="14" name="グループ化 13">
            <a:extLst>
              <a:ext uri="{FF2B5EF4-FFF2-40B4-BE49-F238E27FC236}">
                <a16:creationId xmlns:a16="http://schemas.microsoft.com/office/drawing/2014/main" id="{00000000-0008-0000-0400-00000E000000}"/>
              </a:ext>
            </a:extLst>
          </xdr:cNvPr>
          <xdr:cNvGrpSpPr/>
        </xdr:nvGrpSpPr>
        <xdr:grpSpPr>
          <a:xfrm>
            <a:off x="2940346" y="1463203"/>
            <a:ext cx="478764" cy="334986"/>
            <a:chOff x="2767054" y="1857618"/>
            <a:chExt cx="477440" cy="358240"/>
          </a:xfrm>
        </xdr:grpSpPr>
        <xdr:sp macro="" textlink="">
          <xdr:nvSpPr>
            <xdr:cNvPr id="11" name="直方体 10">
              <a:extLst>
                <a:ext uri="{FF2B5EF4-FFF2-40B4-BE49-F238E27FC236}">
                  <a16:creationId xmlns:a16="http://schemas.microsoft.com/office/drawing/2014/main" id="{00000000-0008-0000-0400-00000B000000}"/>
                </a:ext>
              </a:extLst>
            </xdr:cNvPr>
            <xdr:cNvSpPr/>
          </xdr:nvSpPr>
          <xdr:spPr bwMode="auto">
            <a:xfrm>
              <a:off x="2767054" y="1857618"/>
              <a:ext cx="477440" cy="355615"/>
            </a:xfrm>
            <a:prstGeom prst="cube">
              <a:avLst>
                <a:gd name="adj" fmla="val 39969"/>
              </a:avLst>
            </a:prstGeom>
            <a:solidFill>
              <a:schemeClr val="tx1">
                <a:lumMod val="50000"/>
                <a:lumOff val="50000"/>
              </a:schemeClr>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sp macro="" textlink="">
          <xdr:nvSpPr>
            <xdr:cNvPr id="12" name="正方形/長方形 11">
              <a:extLst>
                <a:ext uri="{FF2B5EF4-FFF2-40B4-BE49-F238E27FC236}">
                  <a16:creationId xmlns:a16="http://schemas.microsoft.com/office/drawing/2014/main" id="{00000000-0008-0000-0400-00000C000000}"/>
                </a:ext>
              </a:extLst>
            </xdr:cNvPr>
            <xdr:cNvSpPr/>
          </xdr:nvSpPr>
          <xdr:spPr bwMode="auto">
            <a:xfrm>
              <a:off x="2825703" y="2097536"/>
              <a:ext cx="218872" cy="118322"/>
            </a:xfrm>
            <a:prstGeom prst="rect">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grpSp>
      <xdr:sp macro="" textlink="">
        <xdr:nvSpPr>
          <xdr:cNvPr id="18" name="テキスト ボックス 17">
            <a:extLst>
              <a:ext uri="{FF2B5EF4-FFF2-40B4-BE49-F238E27FC236}">
                <a16:creationId xmlns:a16="http://schemas.microsoft.com/office/drawing/2014/main" id="{00000000-0008-0000-0400-000012000000}"/>
              </a:ext>
            </a:extLst>
          </xdr:cNvPr>
          <xdr:cNvSpPr txBox="1"/>
        </xdr:nvSpPr>
        <xdr:spPr>
          <a:xfrm>
            <a:off x="3042422" y="1415780"/>
            <a:ext cx="261155" cy="215079"/>
          </a:xfrm>
          <a:prstGeom prst="rect">
            <a:avLst/>
          </a:prstGeom>
          <a:noFill/>
          <a:ln w="9525" cmpd="sng">
            <a:noFill/>
          </a:ln>
          <a:scene3d>
            <a:camera prst="isometricOffAxis2Top">
              <a:rot lat="18000000" lon="1800000" rev="19800000"/>
            </a:camera>
            <a:lightRig rig="threePt" dir="t"/>
          </a:scene3d>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kumimoji="1" lang="en-US" altLang="ja-JP" sz="1600" b="1">
                <a:solidFill>
                  <a:schemeClr val="tx1">
                    <a:lumMod val="65000"/>
                    <a:lumOff val="35000"/>
                  </a:schemeClr>
                </a:solidFill>
              </a:rPr>
              <a:t>L</a:t>
            </a:r>
            <a:endParaRPr kumimoji="1" lang="ja-JP" altLang="en-US" sz="1600" b="1">
              <a:solidFill>
                <a:schemeClr val="tx1">
                  <a:lumMod val="65000"/>
                  <a:lumOff val="35000"/>
                </a:schemeClr>
              </a:solidFill>
            </a:endParaRPr>
          </a:p>
        </xdr:txBody>
      </xdr:sp>
      <xdr:sp macro="" textlink="">
        <xdr:nvSpPr>
          <xdr:cNvPr id="23" name="フリーフォーム: 図形 22">
            <a:extLst>
              <a:ext uri="{FF2B5EF4-FFF2-40B4-BE49-F238E27FC236}">
                <a16:creationId xmlns:a16="http://schemas.microsoft.com/office/drawing/2014/main" id="{00000000-0008-0000-0400-000017000000}"/>
              </a:ext>
            </a:extLst>
          </xdr:cNvPr>
          <xdr:cNvSpPr/>
        </xdr:nvSpPr>
        <xdr:spPr bwMode="auto">
          <a:xfrm>
            <a:off x="2826990" y="1295400"/>
            <a:ext cx="83850" cy="320040"/>
          </a:xfrm>
          <a:custGeom>
            <a:avLst/>
            <a:gdLst>
              <a:gd name="connsiteX0" fmla="*/ 76230 w 83850"/>
              <a:gd name="connsiteY0" fmla="*/ 320040 h 320040"/>
              <a:gd name="connsiteX1" fmla="*/ 30 w 83850"/>
              <a:gd name="connsiteY1" fmla="*/ 236220 h 320040"/>
              <a:gd name="connsiteX2" fmla="*/ 83850 w 83850"/>
              <a:gd name="connsiteY2" fmla="*/ 0 h 320040"/>
            </a:gdLst>
            <a:ahLst/>
            <a:cxnLst>
              <a:cxn ang="0">
                <a:pos x="connsiteX0" y="connsiteY0"/>
              </a:cxn>
              <a:cxn ang="0">
                <a:pos x="connsiteX1" y="connsiteY1"/>
              </a:cxn>
              <a:cxn ang="0">
                <a:pos x="connsiteX2" y="connsiteY2"/>
              </a:cxn>
            </a:cxnLst>
            <a:rect l="l" t="t" r="r" b="b"/>
            <a:pathLst>
              <a:path w="83850" h="320040">
                <a:moveTo>
                  <a:pt x="76230" y="320040"/>
                </a:moveTo>
                <a:cubicBezTo>
                  <a:pt x="37495" y="304800"/>
                  <a:pt x="-1240" y="289560"/>
                  <a:pt x="30" y="236220"/>
                </a:cubicBezTo>
                <a:cubicBezTo>
                  <a:pt x="1300" y="182880"/>
                  <a:pt x="42575" y="91440"/>
                  <a:pt x="83850" y="0"/>
                </a:cubicBezTo>
              </a:path>
            </a:pathLst>
          </a:custGeom>
          <a:ln w="19050">
            <a:headEnd type="none" w="med" len="med"/>
            <a:tailEnd type="none" w="med" len="med"/>
          </a:ln>
        </xdr:spPr>
        <xdr:style>
          <a:lnRef idx="1">
            <a:schemeClr val="dk1"/>
          </a:lnRef>
          <a:fillRef idx="0">
            <a:schemeClr val="dk1"/>
          </a:fillRef>
          <a:effectRef idx="0">
            <a:schemeClr val="dk1"/>
          </a:effectRef>
          <a:fontRef idx="minor">
            <a:schemeClr val="tx1"/>
          </a:fontRef>
        </xdr:style>
        <xdr:txBody>
          <a:bodyPr vertOverflow="clip" wrap="square" lIns="18288" tIns="0" rIns="0" bIns="0" rtlCol="0" anchor="ctr" upright="1"/>
          <a:lstStyle/>
          <a:p>
            <a:pPr algn="l"/>
            <a:endParaRPr kumimoji="1" lang="ja-JP" altLang="en-US" sz="1100"/>
          </a:p>
        </xdr:txBody>
      </xdr:sp>
    </xdr:grpSp>
    <xdr:clientData/>
  </xdr:twoCellAnchor>
  <xdr:twoCellAnchor>
    <xdr:from>
      <xdr:col>8</xdr:col>
      <xdr:colOff>362023</xdr:colOff>
      <xdr:row>30</xdr:row>
      <xdr:rowOff>69632</xdr:rowOff>
    </xdr:from>
    <xdr:to>
      <xdr:col>8</xdr:col>
      <xdr:colOff>433244</xdr:colOff>
      <xdr:row>30</xdr:row>
      <xdr:rowOff>161926</xdr:rowOff>
    </xdr:to>
    <xdr:grpSp>
      <xdr:nvGrpSpPr>
        <xdr:cNvPr id="99328" name="グループ化 99327">
          <a:extLst>
            <a:ext uri="{FF2B5EF4-FFF2-40B4-BE49-F238E27FC236}">
              <a16:creationId xmlns:a16="http://schemas.microsoft.com/office/drawing/2014/main" id="{00000000-0008-0000-0400-000000840100}"/>
            </a:ext>
          </a:extLst>
        </xdr:cNvPr>
        <xdr:cNvGrpSpPr/>
      </xdr:nvGrpSpPr>
      <xdr:grpSpPr>
        <a:xfrm>
          <a:off x="1076398" y="6013232"/>
          <a:ext cx="71221" cy="92294"/>
          <a:chOff x="857633" y="2516705"/>
          <a:chExt cx="71221" cy="92294"/>
        </a:xfrm>
      </xdr:grpSpPr>
      <xdr:cxnSp macro="">
        <xdr:nvCxnSpPr>
          <xdr:cNvPr id="48" name="直線コネクタ 47">
            <a:extLst>
              <a:ext uri="{FF2B5EF4-FFF2-40B4-BE49-F238E27FC236}">
                <a16:creationId xmlns:a16="http://schemas.microsoft.com/office/drawing/2014/main" id="{00000000-0008-0000-0400-000030000000}"/>
              </a:ext>
            </a:extLst>
          </xdr:cNvPr>
          <xdr:cNvCxnSpPr/>
        </xdr:nvCxnSpPr>
        <xdr:spPr bwMode="auto">
          <a:xfrm flipH="1" flipV="1">
            <a:off x="857633" y="2516705"/>
            <a:ext cx="71221" cy="0"/>
          </a:xfrm>
          <a:prstGeom prst="line">
            <a:avLst/>
          </a:prstGeom>
          <a:solidFill>
            <a:srgbClr val="FFFFFF"/>
          </a:solidFill>
          <a:ln w="3175" cap="flat" cmpd="sng" algn="ctr">
            <a:solidFill>
              <a:srgbClr val="00B050"/>
            </a:solidFill>
            <a:prstDash val="solid"/>
            <a:round/>
            <a:headEnd type="none" w="med" len="med"/>
            <a:tailEnd type="none" w="med" len="med"/>
          </a:ln>
          <a:effectLst/>
        </xdr:spPr>
      </xdr:cxnSp>
      <xdr:cxnSp macro="">
        <xdr:nvCxnSpPr>
          <xdr:cNvPr id="63" name="直線矢印コネクタ 62">
            <a:extLst>
              <a:ext uri="{FF2B5EF4-FFF2-40B4-BE49-F238E27FC236}">
                <a16:creationId xmlns:a16="http://schemas.microsoft.com/office/drawing/2014/main" id="{00000000-0008-0000-0400-00003F000000}"/>
              </a:ext>
            </a:extLst>
          </xdr:cNvPr>
          <xdr:cNvCxnSpPr/>
        </xdr:nvCxnSpPr>
        <xdr:spPr bwMode="auto">
          <a:xfrm flipV="1">
            <a:off x="892818" y="2518999"/>
            <a:ext cx="0" cy="90000"/>
          </a:xfrm>
          <a:prstGeom prst="straightConnector1">
            <a:avLst/>
          </a:prstGeom>
          <a:solidFill>
            <a:srgbClr val="FFFFFF"/>
          </a:solidFill>
          <a:ln w="12700" cap="flat" cmpd="sng" algn="ctr">
            <a:solidFill>
              <a:srgbClr val="00B050"/>
            </a:solidFill>
            <a:prstDash val="solid"/>
            <a:round/>
            <a:headEnd type="none" w="med" len="med"/>
            <a:tailEnd type="triangle" w="sm" len="sm"/>
          </a:ln>
          <a:effectLst/>
        </xdr:spPr>
      </xdr:cxnSp>
    </xdr:grpSp>
    <xdr:clientData/>
  </xdr:twoCellAnchor>
  <xdr:oneCellAnchor>
    <xdr:from>
      <xdr:col>10</xdr:col>
      <xdr:colOff>22860</xdr:colOff>
      <xdr:row>36</xdr:row>
      <xdr:rowOff>38100</xdr:rowOff>
    </xdr:from>
    <xdr:ext cx="1028700" cy="117917"/>
    <xdr:sp macro="" textlink="">
      <xdr:nvSpPr>
        <xdr:cNvPr id="22" name="テキスト ボックス 21">
          <a:extLst>
            <a:ext uri="{FF2B5EF4-FFF2-40B4-BE49-F238E27FC236}">
              <a16:creationId xmlns:a16="http://schemas.microsoft.com/office/drawing/2014/main" id="{00000000-0008-0000-0400-000016000000}"/>
            </a:ext>
          </a:extLst>
        </xdr:cNvPr>
        <xdr:cNvSpPr txBox="1"/>
      </xdr:nvSpPr>
      <xdr:spPr>
        <a:xfrm>
          <a:off x="1295400" y="2895600"/>
          <a:ext cx="1028700" cy="1179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800" b="0">
              <a:solidFill>
                <a:schemeClr val="bg1">
                  <a:lumMod val="95000"/>
                </a:schemeClr>
              </a:solidFill>
              <a:latin typeface="Arial" panose="020B0604020202020204" pitchFamily="34" charset="0"/>
              <a:ea typeface="Meiryo UI" panose="020B0604030504040204" pitchFamily="50" charset="-128"/>
              <a:cs typeface="Arial" panose="020B0604020202020204" pitchFamily="34" charset="0"/>
            </a:rPr>
            <a:t>(margins to default)</a:t>
          </a:r>
        </a:p>
      </xdr:txBody>
    </xdr:sp>
    <xdr:clientData/>
  </xdr:oneCellAnchor>
  <xdr:twoCellAnchor editAs="absolute">
    <xdr:from>
      <xdr:col>4</xdr:col>
      <xdr:colOff>0</xdr:colOff>
      <xdr:row>61</xdr:row>
      <xdr:rowOff>0</xdr:rowOff>
    </xdr:from>
    <xdr:to>
      <xdr:col>13</xdr:col>
      <xdr:colOff>542364</xdr:colOff>
      <xdr:row>62</xdr:row>
      <xdr:rowOff>65</xdr:rowOff>
    </xdr:to>
    <xdr:sp macro="" textlink="">
      <xdr:nvSpPr>
        <xdr:cNvPr id="99352" name="テキスト ボックス 99351">
          <a:extLst>
            <a:ext uri="{FF2B5EF4-FFF2-40B4-BE49-F238E27FC236}">
              <a16:creationId xmlns:a16="http://schemas.microsoft.com/office/drawing/2014/main" id="{00000000-0008-0000-0400-000018840100}"/>
            </a:ext>
          </a:extLst>
        </xdr:cNvPr>
        <xdr:cNvSpPr txBox="1"/>
      </xdr:nvSpPr>
      <xdr:spPr>
        <a:xfrm>
          <a:off x="109483" y="5977759"/>
          <a:ext cx="2113017" cy="1905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b="1">
              <a:solidFill>
                <a:schemeClr val="bg1">
                  <a:lumMod val="75000"/>
                </a:schemeClr>
              </a:solidFill>
              <a:latin typeface="Meiryo UI" panose="020B0604030504040204" pitchFamily="50" charset="-128"/>
              <a:ea typeface="Meiryo UI" panose="020B0604030504040204" pitchFamily="50" charset="-128"/>
            </a:rPr>
            <a:t>*Calculations Based on</a:t>
          </a:r>
          <a:endParaRPr kumimoji="1" lang="ja-JP" altLang="en-US" sz="900" b="1">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xdr:twoCellAnchor editAs="absolute">
    <xdr:from>
      <xdr:col>7</xdr:col>
      <xdr:colOff>137134</xdr:colOff>
      <xdr:row>62</xdr:row>
      <xdr:rowOff>14334</xdr:rowOff>
    </xdr:from>
    <xdr:to>
      <xdr:col>9</xdr:col>
      <xdr:colOff>288176</xdr:colOff>
      <xdr:row>63</xdr:row>
      <xdr:rowOff>33449</xdr:rowOff>
    </xdr:to>
    <xdr:sp macro="" textlink="">
      <xdr:nvSpPr>
        <xdr:cNvPr id="99353" name="テキスト ボックス 99352">
          <a:extLst>
            <a:ext uri="{FF2B5EF4-FFF2-40B4-BE49-F238E27FC236}">
              <a16:creationId xmlns:a16="http://schemas.microsoft.com/office/drawing/2014/main" id="{00000000-0008-0000-0400-000019840100}"/>
            </a:ext>
          </a:extLst>
        </xdr:cNvPr>
        <xdr:cNvSpPr txBox="1"/>
      </xdr:nvSpPr>
      <xdr:spPr>
        <a:xfrm>
          <a:off x="136613" y="6209320"/>
          <a:ext cx="806362" cy="1905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b="1">
              <a:solidFill>
                <a:schemeClr val="bg1">
                  <a:lumMod val="75000"/>
                </a:schemeClr>
              </a:solidFill>
              <a:latin typeface="Meiryo UI" panose="020B0604030504040204" pitchFamily="50" charset="-128"/>
              <a:ea typeface="Meiryo UI" panose="020B0604030504040204" pitchFamily="50" charset="-128"/>
            </a:rPr>
            <a:t>Buck</a:t>
          </a:r>
          <a:endParaRPr kumimoji="1" lang="ja-JP" altLang="en-US" sz="900" b="1">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xdr:twoCellAnchor editAs="absolute">
    <xdr:from>
      <xdr:col>13</xdr:col>
      <xdr:colOff>784191</xdr:colOff>
      <xdr:row>62</xdr:row>
      <xdr:rowOff>8576</xdr:rowOff>
    </xdr:from>
    <xdr:to>
      <xdr:col>14</xdr:col>
      <xdr:colOff>487557</xdr:colOff>
      <xdr:row>63</xdr:row>
      <xdr:rowOff>27691</xdr:rowOff>
    </xdr:to>
    <xdr:sp macro="" textlink="">
      <xdr:nvSpPr>
        <xdr:cNvPr id="99354" name="テキスト ボックス 99353">
          <a:extLst>
            <a:ext uri="{FF2B5EF4-FFF2-40B4-BE49-F238E27FC236}">
              <a16:creationId xmlns:a16="http://schemas.microsoft.com/office/drawing/2014/main" id="{00000000-0008-0000-0400-00001A840100}"/>
            </a:ext>
          </a:extLst>
        </xdr:cNvPr>
        <xdr:cNvSpPr txBox="1"/>
      </xdr:nvSpPr>
      <xdr:spPr>
        <a:xfrm>
          <a:off x="2413451" y="6773376"/>
          <a:ext cx="804457" cy="19056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r>
            <a:rPr kumimoji="1" lang="en-US" altLang="ja-JP" sz="900" b="1">
              <a:solidFill>
                <a:schemeClr val="bg1">
                  <a:lumMod val="75000"/>
                </a:schemeClr>
              </a:solidFill>
              <a:latin typeface="Meiryo UI" panose="020B0604030504040204" pitchFamily="50" charset="-128"/>
              <a:ea typeface="Meiryo UI" panose="020B0604030504040204" pitchFamily="50" charset="-128"/>
            </a:rPr>
            <a:t>Boost</a:t>
          </a:r>
          <a:endParaRPr kumimoji="1" lang="ja-JP" altLang="en-US" sz="900" b="1">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xdr:twoCellAnchor editAs="absolute">
    <xdr:from>
      <xdr:col>7</xdr:col>
      <xdr:colOff>181953</xdr:colOff>
      <xdr:row>63</xdr:row>
      <xdr:rowOff>88583</xdr:rowOff>
    </xdr:from>
    <xdr:to>
      <xdr:col>13</xdr:col>
      <xdr:colOff>517239</xdr:colOff>
      <xdr:row>65</xdr:row>
      <xdr:rowOff>81907</xdr:rowOff>
    </xdr:to>
    <xdr:grpSp>
      <xdr:nvGrpSpPr>
        <xdr:cNvPr id="35" name="グループ化 34">
          <a:extLst>
            <a:ext uri="{FF2B5EF4-FFF2-40B4-BE49-F238E27FC236}">
              <a16:creationId xmlns:a16="http://schemas.microsoft.com/office/drawing/2014/main" id="{00000000-0008-0000-0400-000023000000}"/>
            </a:ext>
          </a:extLst>
        </xdr:cNvPr>
        <xdr:cNvGrpSpPr/>
      </xdr:nvGrpSpPr>
      <xdr:grpSpPr>
        <a:xfrm>
          <a:off x="686778" y="12032933"/>
          <a:ext cx="2145036" cy="374324"/>
          <a:chOff x="230059" y="7017136"/>
          <a:chExt cx="1916440" cy="374563"/>
        </a:xfrm>
      </xdr:grpSpPr>
      <xdr:grpSp>
        <xdr:nvGrpSpPr>
          <xdr:cNvPr id="60" name="グループ化 59">
            <a:extLst>
              <a:ext uri="{FF2B5EF4-FFF2-40B4-BE49-F238E27FC236}">
                <a16:creationId xmlns:a16="http://schemas.microsoft.com/office/drawing/2014/main" id="{00000000-0008-0000-0400-00003C000000}"/>
              </a:ext>
            </a:extLst>
          </xdr:cNvPr>
          <xdr:cNvGrpSpPr/>
        </xdr:nvGrpSpPr>
        <xdr:grpSpPr>
          <a:xfrm>
            <a:off x="230059" y="7017136"/>
            <a:ext cx="1540227" cy="374563"/>
            <a:chOff x="172909" y="8078214"/>
            <a:chExt cx="1606767" cy="361169"/>
          </a:xfrm>
        </xdr:grpSpPr>
        <xdr:cxnSp macro="">
          <xdr:nvCxnSpPr>
            <xdr:cNvPr id="36" name="直線コネクタ 35">
              <a:extLst>
                <a:ext uri="{FF2B5EF4-FFF2-40B4-BE49-F238E27FC236}">
                  <a16:creationId xmlns:a16="http://schemas.microsoft.com/office/drawing/2014/main" id="{00000000-0008-0000-0400-000024000000}"/>
                </a:ext>
              </a:extLst>
            </xdr:cNvPr>
            <xdr:cNvCxnSpPr/>
          </xdr:nvCxnSpPr>
          <xdr:spPr bwMode="auto">
            <a:xfrm>
              <a:off x="398280" y="8258175"/>
              <a:ext cx="1381396" cy="0"/>
            </a:xfrm>
            <a:prstGeom prst="line">
              <a:avLst/>
            </a:prstGeom>
            <a:solidFill>
              <a:srgbClr val="FFFFFF"/>
            </a:solidFill>
            <a:ln w="9525" cap="flat" cmpd="sng" algn="ctr">
              <a:solidFill>
                <a:schemeClr val="tx1">
                  <a:lumMod val="50000"/>
                  <a:lumOff val="50000"/>
                </a:schemeClr>
              </a:solidFill>
              <a:prstDash val="solid"/>
              <a:round/>
              <a:headEnd type="none" w="med" len="med"/>
              <a:tailEnd type="none" w="med" len="med"/>
            </a:ln>
            <a:effectLst/>
          </xdr:spPr>
        </xdr:cxnSp>
        <xdr:sp macro="" textlink="">
          <xdr:nvSpPr>
            <xdr:cNvPr id="39" name="テキスト ボックス 38">
              <a:extLst>
                <a:ext uri="{FF2B5EF4-FFF2-40B4-BE49-F238E27FC236}">
                  <a16:creationId xmlns:a16="http://schemas.microsoft.com/office/drawing/2014/main" id="{00000000-0008-0000-0400-000027000000}"/>
                </a:ext>
              </a:extLst>
            </xdr:cNvPr>
            <xdr:cNvSpPr txBox="1"/>
          </xdr:nvSpPr>
          <xdr:spPr>
            <a:xfrm>
              <a:off x="553908" y="8078214"/>
              <a:ext cx="859305" cy="16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Vout</a:t>
              </a:r>
              <a:r>
                <a:rPr kumimoji="1" lang="ja-JP" altLang="en-US" sz="800" b="0">
                  <a:solidFill>
                    <a:schemeClr val="bg1">
                      <a:lumMod val="75000"/>
                    </a:schemeClr>
                  </a:solidFill>
                  <a:latin typeface="Meiryo UI" panose="020B0604030504040204" pitchFamily="50" charset="-128"/>
                  <a:ea typeface="Meiryo UI" panose="020B0604030504040204" pitchFamily="50" charset="-128"/>
                </a:rPr>
                <a:t>*</a:t>
              </a:r>
              <a:r>
                <a:rPr kumimoji="1" lang="en-US" altLang="ja-JP" sz="800" b="0">
                  <a:solidFill>
                    <a:schemeClr val="bg1">
                      <a:lumMod val="75000"/>
                    </a:schemeClr>
                  </a:solidFill>
                  <a:latin typeface="Meiryo UI" panose="020B0604030504040204" pitchFamily="50" charset="-128"/>
                  <a:ea typeface="Meiryo UI" panose="020B0604030504040204" pitchFamily="50" charset="-128"/>
                </a:rPr>
                <a:t>(Vin-Vout)</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56" name="テキスト ボックス 55">
              <a:extLst>
                <a:ext uri="{FF2B5EF4-FFF2-40B4-BE49-F238E27FC236}">
                  <a16:creationId xmlns:a16="http://schemas.microsoft.com/office/drawing/2014/main" id="{00000000-0008-0000-0400-000038000000}"/>
                </a:ext>
              </a:extLst>
            </xdr:cNvPr>
            <xdr:cNvSpPr txBox="1"/>
          </xdr:nvSpPr>
          <xdr:spPr>
            <a:xfrm>
              <a:off x="415627" y="8279130"/>
              <a:ext cx="1189629" cy="16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Fsw*Kind*Iout/ph*Vin</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59" name="テキスト ボックス 58">
              <a:extLst>
                <a:ext uri="{FF2B5EF4-FFF2-40B4-BE49-F238E27FC236}">
                  <a16:creationId xmlns:a16="http://schemas.microsoft.com/office/drawing/2014/main" id="{00000000-0008-0000-0400-00003B000000}"/>
                </a:ext>
              </a:extLst>
            </xdr:cNvPr>
            <xdr:cNvSpPr txBox="1"/>
          </xdr:nvSpPr>
          <xdr:spPr>
            <a:xfrm>
              <a:off x="172909" y="8150603"/>
              <a:ext cx="181827" cy="160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L </a:t>
              </a:r>
              <a:r>
                <a:rPr kumimoji="1" lang="ja-JP" altLang="en-US" sz="800" b="0">
                  <a:solidFill>
                    <a:schemeClr val="bg1">
                      <a:lumMod val="75000"/>
                    </a:schemeClr>
                  </a:solidFill>
                  <a:latin typeface="Meiryo UI" panose="020B0604030504040204" pitchFamily="50" charset="-128"/>
                  <a:ea typeface="Meiryo UI" panose="020B0604030504040204" pitchFamily="50" charset="-128"/>
                </a:rPr>
                <a:t>≥</a:t>
              </a:r>
            </a:p>
          </xdr:txBody>
        </xdr:sp>
      </xdr:grpSp>
      <xdr:sp macro="" textlink="">
        <xdr:nvSpPr>
          <xdr:cNvPr id="99376" name="テキスト ボックス 99375">
            <a:extLst>
              <a:ext uri="{FF2B5EF4-FFF2-40B4-BE49-F238E27FC236}">
                <a16:creationId xmlns:a16="http://schemas.microsoft.com/office/drawing/2014/main" id="{00000000-0008-0000-0400-000030840100}"/>
              </a:ext>
            </a:extLst>
          </xdr:cNvPr>
          <xdr:cNvSpPr txBox="1"/>
        </xdr:nvSpPr>
        <xdr:spPr>
          <a:xfrm>
            <a:off x="1807408" y="7113668"/>
            <a:ext cx="339091" cy="20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kumimoji="1" lang="en-US" altLang="ja-JP" sz="900" b="0">
                <a:solidFill>
                  <a:schemeClr val="bg1">
                    <a:lumMod val="75000"/>
                  </a:schemeClr>
                </a:solidFill>
                <a:latin typeface="Meiryo UI" panose="020B0604030504040204" pitchFamily="50" charset="-128"/>
                <a:ea typeface="Meiryo UI" panose="020B0604030504040204" pitchFamily="50" charset="-128"/>
              </a:rPr>
              <a:t>(*1.3)</a:t>
            </a:r>
            <a:endParaRPr kumimoji="1" lang="ja-JP" altLang="en-US" sz="900" b="0">
              <a:solidFill>
                <a:schemeClr val="bg1">
                  <a:lumMod val="75000"/>
                </a:schemeClr>
              </a:solidFill>
              <a:latin typeface="Meiryo UI" panose="020B0604030504040204" pitchFamily="50" charset="-128"/>
              <a:ea typeface="Meiryo UI" panose="020B0604030504040204" pitchFamily="50" charset="-128"/>
            </a:endParaRPr>
          </a:p>
        </xdr:txBody>
      </xdr:sp>
    </xdr:grpSp>
    <xdr:clientData/>
  </xdr:twoCellAnchor>
  <xdr:twoCellAnchor editAs="absolute">
    <xdr:from>
      <xdr:col>13</xdr:col>
      <xdr:colOff>802785</xdr:colOff>
      <xdr:row>63</xdr:row>
      <xdr:rowOff>91946</xdr:rowOff>
    </xdr:from>
    <xdr:to>
      <xdr:col>16</xdr:col>
      <xdr:colOff>444744</xdr:colOff>
      <xdr:row>65</xdr:row>
      <xdr:rowOff>87023</xdr:rowOff>
    </xdr:to>
    <xdr:grpSp>
      <xdr:nvGrpSpPr>
        <xdr:cNvPr id="40" name="グループ化 39">
          <a:extLst>
            <a:ext uri="{FF2B5EF4-FFF2-40B4-BE49-F238E27FC236}">
              <a16:creationId xmlns:a16="http://schemas.microsoft.com/office/drawing/2014/main" id="{00000000-0008-0000-0400-000028000000}"/>
            </a:ext>
          </a:extLst>
        </xdr:cNvPr>
        <xdr:cNvGrpSpPr/>
      </xdr:nvGrpSpPr>
      <xdr:grpSpPr>
        <a:xfrm>
          <a:off x="3117360" y="12036296"/>
          <a:ext cx="1870809" cy="376077"/>
          <a:chOff x="2239654" y="7020545"/>
          <a:chExt cx="1914611" cy="380078"/>
        </a:xfrm>
      </xdr:grpSpPr>
      <xdr:grpSp>
        <xdr:nvGrpSpPr>
          <xdr:cNvPr id="99337" name="グループ化 99336">
            <a:extLst>
              <a:ext uri="{FF2B5EF4-FFF2-40B4-BE49-F238E27FC236}">
                <a16:creationId xmlns:a16="http://schemas.microsoft.com/office/drawing/2014/main" id="{00000000-0008-0000-0400-000009840100}"/>
              </a:ext>
            </a:extLst>
          </xdr:cNvPr>
          <xdr:cNvGrpSpPr/>
        </xdr:nvGrpSpPr>
        <xdr:grpSpPr>
          <a:xfrm>
            <a:off x="2239654" y="7020545"/>
            <a:ext cx="1565240" cy="380078"/>
            <a:chOff x="172909" y="8087946"/>
            <a:chExt cx="1785125" cy="342427"/>
          </a:xfrm>
        </xdr:grpSpPr>
        <xdr:cxnSp macro="">
          <xdr:nvCxnSpPr>
            <xdr:cNvPr id="99341" name="直線コネクタ 99340">
              <a:extLst>
                <a:ext uri="{FF2B5EF4-FFF2-40B4-BE49-F238E27FC236}">
                  <a16:creationId xmlns:a16="http://schemas.microsoft.com/office/drawing/2014/main" id="{00000000-0008-0000-0400-00000D840100}"/>
                </a:ext>
              </a:extLst>
            </xdr:cNvPr>
            <xdr:cNvCxnSpPr/>
          </xdr:nvCxnSpPr>
          <xdr:spPr bwMode="auto">
            <a:xfrm>
              <a:off x="398278" y="8258175"/>
              <a:ext cx="1513630" cy="0"/>
            </a:xfrm>
            <a:prstGeom prst="line">
              <a:avLst/>
            </a:prstGeom>
            <a:solidFill>
              <a:srgbClr val="FFFFFF"/>
            </a:solidFill>
            <a:ln w="9525" cap="flat" cmpd="sng" algn="ctr">
              <a:solidFill>
                <a:schemeClr val="tx1">
                  <a:lumMod val="50000"/>
                  <a:lumOff val="50000"/>
                </a:schemeClr>
              </a:solidFill>
              <a:prstDash val="solid"/>
              <a:round/>
              <a:headEnd type="none" w="med" len="med"/>
              <a:tailEnd type="none" w="med" len="med"/>
            </a:ln>
            <a:effectLst/>
          </xdr:spPr>
        </xdr:cxnSp>
        <xdr:sp macro="" textlink="">
          <xdr:nvSpPr>
            <xdr:cNvPr id="99343" name="テキスト ボックス 99342">
              <a:extLst>
                <a:ext uri="{FF2B5EF4-FFF2-40B4-BE49-F238E27FC236}">
                  <a16:creationId xmlns:a16="http://schemas.microsoft.com/office/drawing/2014/main" id="{00000000-0008-0000-0400-00000F840100}"/>
                </a:ext>
              </a:extLst>
            </xdr:cNvPr>
            <xdr:cNvSpPr txBox="1"/>
          </xdr:nvSpPr>
          <xdr:spPr>
            <a:xfrm>
              <a:off x="553908" y="8087946"/>
              <a:ext cx="1016264" cy="15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Vin^2*(Vout-Vin)</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99347" name="テキスト ボックス 99346">
              <a:extLst>
                <a:ext uri="{FF2B5EF4-FFF2-40B4-BE49-F238E27FC236}">
                  <a16:creationId xmlns:a16="http://schemas.microsoft.com/office/drawing/2014/main" id="{00000000-0008-0000-0400-000013840100}"/>
                </a:ext>
              </a:extLst>
            </xdr:cNvPr>
            <xdr:cNvSpPr txBox="1"/>
          </xdr:nvSpPr>
          <xdr:spPr>
            <a:xfrm>
              <a:off x="415627" y="8279130"/>
              <a:ext cx="1542407" cy="15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Fsw*Kind*Iout/ph*Vout^2</a:t>
              </a:r>
              <a:endParaRPr kumimoji="1" lang="ja-JP" altLang="en-US" sz="800" b="0">
                <a:solidFill>
                  <a:schemeClr val="bg1">
                    <a:lumMod val="75000"/>
                  </a:schemeClr>
                </a:solidFill>
                <a:latin typeface="Meiryo UI" panose="020B0604030504040204" pitchFamily="50" charset="-128"/>
                <a:ea typeface="Meiryo UI" panose="020B0604030504040204" pitchFamily="50" charset="-128"/>
              </a:endParaRPr>
            </a:p>
          </xdr:txBody>
        </xdr:sp>
        <xdr:sp macro="" textlink="">
          <xdr:nvSpPr>
            <xdr:cNvPr id="99351" name="テキスト ボックス 99350">
              <a:extLst>
                <a:ext uri="{FF2B5EF4-FFF2-40B4-BE49-F238E27FC236}">
                  <a16:creationId xmlns:a16="http://schemas.microsoft.com/office/drawing/2014/main" id="{00000000-0008-0000-0400-000017840100}"/>
                </a:ext>
              </a:extLst>
            </xdr:cNvPr>
            <xdr:cNvSpPr txBox="1"/>
          </xdr:nvSpPr>
          <xdr:spPr>
            <a:xfrm>
              <a:off x="172909" y="8150603"/>
              <a:ext cx="197676" cy="1512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sp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L </a:t>
              </a:r>
              <a:r>
                <a:rPr kumimoji="1" lang="ja-JP" altLang="en-US" sz="800" b="0">
                  <a:solidFill>
                    <a:schemeClr val="bg1">
                      <a:lumMod val="75000"/>
                    </a:schemeClr>
                  </a:solidFill>
                  <a:latin typeface="Meiryo UI" panose="020B0604030504040204" pitchFamily="50" charset="-128"/>
                  <a:ea typeface="Meiryo UI" panose="020B0604030504040204" pitchFamily="50" charset="-128"/>
                </a:rPr>
                <a:t>≥</a:t>
              </a:r>
            </a:p>
          </xdr:txBody>
        </xdr:sp>
      </xdr:grpSp>
      <xdr:sp macro="" textlink="">
        <xdr:nvSpPr>
          <xdr:cNvPr id="99377" name="テキスト ボックス 99376">
            <a:extLst>
              <a:ext uri="{FF2B5EF4-FFF2-40B4-BE49-F238E27FC236}">
                <a16:creationId xmlns:a16="http://schemas.microsoft.com/office/drawing/2014/main" id="{00000000-0008-0000-0400-000031840100}"/>
              </a:ext>
            </a:extLst>
          </xdr:cNvPr>
          <xdr:cNvSpPr txBox="1"/>
        </xdr:nvSpPr>
        <xdr:spPr>
          <a:xfrm>
            <a:off x="3822270" y="7121111"/>
            <a:ext cx="331995" cy="2070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kumimoji="1" lang="en-US" altLang="ja-JP" sz="900" b="0">
                <a:solidFill>
                  <a:schemeClr val="bg1">
                    <a:lumMod val="75000"/>
                  </a:schemeClr>
                </a:solidFill>
                <a:latin typeface="Meiryo UI" panose="020B0604030504040204" pitchFamily="50" charset="-128"/>
                <a:ea typeface="Meiryo UI" panose="020B0604030504040204" pitchFamily="50" charset="-128"/>
              </a:rPr>
              <a:t>(*1.3)</a:t>
            </a:r>
            <a:endParaRPr kumimoji="1" lang="ja-JP" altLang="en-US" sz="900" b="0">
              <a:solidFill>
                <a:schemeClr val="bg1">
                  <a:lumMod val="75000"/>
                </a:schemeClr>
              </a:solidFill>
              <a:latin typeface="Meiryo UI" panose="020B0604030504040204" pitchFamily="50" charset="-128"/>
              <a:ea typeface="Meiryo UI" panose="020B0604030504040204" pitchFamily="50" charset="-128"/>
            </a:endParaRPr>
          </a:p>
        </xdr:txBody>
      </xdr:sp>
    </xdr:grpSp>
    <xdr:clientData/>
  </xdr:twoCellAnchor>
  <mc:AlternateContent xmlns:mc="http://schemas.openxmlformats.org/markup-compatibility/2006">
    <mc:Choice xmlns:a14="http://schemas.microsoft.com/office/drawing/2010/main" Requires="a14">
      <xdr:twoCellAnchor editAs="oneCell">
        <xdr:from>
          <xdr:col>18</xdr:col>
          <xdr:colOff>503541</xdr:colOff>
          <xdr:row>21</xdr:row>
          <xdr:rowOff>130628</xdr:rowOff>
        </xdr:from>
        <xdr:to>
          <xdr:col>22</xdr:col>
          <xdr:colOff>401621</xdr:colOff>
          <xdr:row>26</xdr:row>
          <xdr:rowOff>179267</xdr:rowOff>
        </xdr:to>
        <xdr:pic>
          <xdr:nvPicPr>
            <xdr:cNvPr id="25" name="図 24">
              <a:extLst>
                <a:ext uri="{FF2B5EF4-FFF2-40B4-BE49-F238E27FC236}">
                  <a16:creationId xmlns:a16="http://schemas.microsoft.com/office/drawing/2014/main" id="{00000000-0008-0000-0400-000019000000}"/>
                </a:ext>
              </a:extLst>
            </xdr:cNvPr>
            <xdr:cNvPicPr>
              <a:picLocks noChangeAspect="1" noChangeArrowheads="1"/>
              <a:extLst>
                <a:ext uri="{84589F7E-364E-4C9E-8A38-B11213B215E9}">
                  <a14:cameraTool cellRange="appimg" spid="_x0000_s128683"/>
                </a:ext>
              </a:extLst>
            </xdr:cNvPicPr>
          </xdr:nvPicPr>
          <xdr:blipFill>
            <a:blip xmlns:r="http://schemas.openxmlformats.org/officeDocument/2006/relationships" r:embed="rId3"/>
            <a:srcRect/>
            <a:stretch>
              <a:fillRect/>
            </a:stretch>
          </xdr:blipFill>
          <xdr:spPr bwMode="auto">
            <a:xfrm>
              <a:off x="5588725" y="1032587"/>
              <a:ext cx="2044120" cy="98947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51698</xdr:colOff>
          <xdr:row>28</xdr:row>
          <xdr:rowOff>19283</xdr:rowOff>
        </xdr:from>
        <xdr:to>
          <xdr:col>22</xdr:col>
          <xdr:colOff>447932</xdr:colOff>
          <xdr:row>32</xdr:row>
          <xdr:rowOff>190866</xdr:rowOff>
        </xdr:to>
        <xdr:pic>
          <xdr:nvPicPr>
            <xdr:cNvPr id="31" name="図 30">
              <a:extLst>
                <a:ext uri="{FF2B5EF4-FFF2-40B4-BE49-F238E27FC236}">
                  <a16:creationId xmlns:a16="http://schemas.microsoft.com/office/drawing/2014/main" id="{00000000-0008-0000-0400-00001F000000}"/>
                </a:ext>
              </a:extLst>
            </xdr:cNvPr>
            <xdr:cNvPicPr>
              <a:picLocks noChangeAspect="1" noChangeArrowheads="1"/>
              <a:extLst>
                <a:ext uri="{84589F7E-364E-4C9E-8A38-B11213B215E9}">
                  <a14:cameraTool cellRange="boardimg" spid="_x0000_s128684"/>
                </a:ext>
              </a:extLst>
            </xdr:cNvPicPr>
          </xdr:nvPicPr>
          <xdr:blipFill>
            <a:blip xmlns:r="http://schemas.openxmlformats.org/officeDocument/2006/relationships" r:embed="rId4"/>
            <a:srcRect/>
            <a:stretch>
              <a:fillRect/>
            </a:stretch>
          </xdr:blipFill>
          <xdr:spPr bwMode="auto">
            <a:xfrm>
              <a:off x="5673392" y="2243079"/>
              <a:ext cx="2005764" cy="980236"/>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absolute">
    <xdr:from>
      <xdr:col>7</xdr:col>
      <xdr:colOff>97863</xdr:colOff>
      <xdr:row>66</xdr:row>
      <xdr:rowOff>9381</xdr:rowOff>
    </xdr:from>
    <xdr:to>
      <xdr:col>13</xdr:col>
      <xdr:colOff>784374</xdr:colOff>
      <xdr:row>68</xdr:row>
      <xdr:rowOff>11422</xdr:rowOff>
    </xdr:to>
    <xdr:sp macro="" textlink="">
      <xdr:nvSpPr>
        <xdr:cNvPr id="38" name="テキスト ボックス 37">
          <a:extLst>
            <a:ext uri="{FF2B5EF4-FFF2-40B4-BE49-F238E27FC236}">
              <a16:creationId xmlns:a16="http://schemas.microsoft.com/office/drawing/2014/main" id="{00000000-0008-0000-0400-000026000000}"/>
            </a:ext>
          </a:extLst>
        </xdr:cNvPr>
        <xdr:cNvSpPr txBox="1"/>
      </xdr:nvSpPr>
      <xdr:spPr>
        <a:xfrm>
          <a:off x="152399" y="7522845"/>
          <a:ext cx="2257425" cy="36970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kumimoji="1" lang="en-US" altLang="ja-JP" sz="800" b="0">
              <a:solidFill>
                <a:schemeClr val="bg1">
                  <a:lumMod val="75000"/>
                </a:schemeClr>
              </a:solidFill>
              <a:latin typeface="Meiryo UI" panose="020B0604030504040204" pitchFamily="50" charset="-128"/>
              <a:ea typeface="Meiryo UI" panose="020B0604030504040204" pitchFamily="50" charset="-128"/>
            </a:rPr>
            <a:t>*Kind = Inductor</a:t>
          </a:r>
          <a:r>
            <a:rPr kumimoji="1" lang="en-US" altLang="ja-JP" sz="800" b="0" baseline="0">
              <a:solidFill>
                <a:schemeClr val="bg1">
                  <a:lumMod val="75000"/>
                </a:schemeClr>
              </a:solidFill>
              <a:latin typeface="Meiryo UI" panose="020B0604030504040204" pitchFamily="50" charset="-128"/>
              <a:ea typeface="Meiryo UI" panose="020B0604030504040204" pitchFamily="50" charset="-128"/>
            </a:rPr>
            <a:t> ripple current rate to Iout</a:t>
          </a:r>
        </a:p>
        <a:p>
          <a:r>
            <a:rPr kumimoji="1" lang="en-US" altLang="ja-JP" sz="800" b="0" baseline="0">
              <a:solidFill>
                <a:schemeClr val="bg1">
                  <a:lumMod val="75000"/>
                </a:schemeClr>
              </a:solidFill>
              <a:latin typeface="Meiryo UI" panose="020B0604030504040204" pitchFamily="50" charset="-128"/>
              <a:ea typeface="Meiryo UI" panose="020B0604030504040204" pitchFamily="50" charset="-128"/>
            </a:rPr>
            <a:t>  1.3 = Isat -30% considered (optional)</a:t>
          </a:r>
          <a:endParaRPr kumimoji="1" lang="en-US" altLang="ja-JP" sz="800" b="0">
            <a:solidFill>
              <a:schemeClr val="bg1">
                <a:lumMod val="75000"/>
              </a:schemeClr>
            </a:solidFill>
            <a:latin typeface="Meiryo UI" panose="020B0604030504040204" pitchFamily="50" charset="-128"/>
            <a:ea typeface="Meiryo UI" panose="020B0604030504040204" pitchFamily="50" charset="-128"/>
          </a:endParaRPr>
        </a:p>
      </xdr:txBody>
    </xdr:sp>
    <xdr:clientData/>
  </xdr:twoCellAnchor>
  <mc:AlternateContent xmlns:mc="http://schemas.openxmlformats.org/markup-compatibility/2006">
    <mc:Choice xmlns:a14="http://schemas.microsoft.com/office/drawing/2010/main" Requires="a14">
      <xdr:twoCellAnchor editAs="oneCell">
        <xdr:from>
          <xdr:col>17</xdr:col>
          <xdr:colOff>239627</xdr:colOff>
          <xdr:row>28</xdr:row>
          <xdr:rowOff>172492</xdr:rowOff>
        </xdr:from>
        <xdr:to>
          <xdr:col>18</xdr:col>
          <xdr:colOff>368861</xdr:colOff>
          <xdr:row>31</xdr:row>
          <xdr:rowOff>50891</xdr:rowOff>
        </xdr:to>
        <xdr:pic>
          <xdr:nvPicPr>
            <xdr:cNvPr id="10" name="図 9">
              <a:extLst>
                <a:ext uri="{FF2B5EF4-FFF2-40B4-BE49-F238E27FC236}">
                  <a16:creationId xmlns:a16="http://schemas.microsoft.com/office/drawing/2014/main" id="{00000000-0008-0000-0400-00000A000000}"/>
                </a:ext>
              </a:extLst>
            </xdr:cNvPr>
            <xdr:cNvPicPr>
              <a:picLocks noChangeAspect="1" noChangeArrowheads="1"/>
              <a:extLst>
                <a:ext uri="{84589F7E-364E-4C9E-8A38-B11213B215E9}">
                  <a14:cameraTool cellRange="計算sheet!$AL$20:$AM$23" spid="_x0000_s128685"/>
                </a:ext>
              </a:extLst>
            </xdr:cNvPicPr>
          </xdr:nvPicPr>
          <xdr:blipFill>
            <a:blip xmlns:r="http://schemas.openxmlformats.org/officeDocument/2006/relationships" r:embed="rId5"/>
            <a:srcRect/>
            <a:stretch>
              <a:fillRect/>
            </a:stretch>
          </xdr:blipFill>
          <xdr:spPr bwMode="auto">
            <a:xfrm>
              <a:off x="4845645" y="2417671"/>
              <a:ext cx="598680" cy="49072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10</xdr:col>
      <xdr:colOff>74317</xdr:colOff>
      <xdr:row>19</xdr:row>
      <xdr:rowOff>76741</xdr:rowOff>
    </xdr:from>
    <xdr:to>
      <xdr:col>21</xdr:col>
      <xdr:colOff>192690</xdr:colOff>
      <xdr:row>20</xdr:row>
      <xdr:rowOff>10110</xdr:rowOff>
    </xdr:to>
    <xdr:grpSp>
      <xdr:nvGrpSpPr>
        <xdr:cNvPr id="24" name="グループ化 23">
          <a:extLst>
            <a:ext uri="{FF2B5EF4-FFF2-40B4-BE49-F238E27FC236}">
              <a16:creationId xmlns:a16="http://schemas.microsoft.com/office/drawing/2014/main" id="{00000000-0008-0000-0400-000018000000}"/>
            </a:ext>
          </a:extLst>
        </xdr:cNvPr>
        <xdr:cNvGrpSpPr/>
      </xdr:nvGrpSpPr>
      <xdr:grpSpPr>
        <a:xfrm>
          <a:off x="1693567" y="3829591"/>
          <a:ext cx="5719073" cy="123869"/>
          <a:chOff x="1248766" y="634635"/>
          <a:chExt cx="5592779" cy="110344"/>
        </a:xfrm>
      </xdr:grpSpPr>
      <xdr:sp macro="" textlink="">
        <xdr:nvSpPr>
          <xdr:cNvPr id="21" name="矢印: 下 20">
            <a:extLst>
              <a:ext uri="{FF2B5EF4-FFF2-40B4-BE49-F238E27FC236}">
                <a16:creationId xmlns:a16="http://schemas.microsoft.com/office/drawing/2014/main" id="{00000000-0008-0000-0400-000015000000}"/>
              </a:ext>
            </a:extLst>
          </xdr:cNvPr>
          <xdr:cNvSpPr/>
        </xdr:nvSpPr>
        <xdr:spPr bwMode="auto">
          <a:xfrm rot="3600000">
            <a:off x="1286552" y="603151"/>
            <a:ext cx="104042" cy="179614"/>
          </a:xfrm>
          <a:prstGeom prst="downArrow">
            <a:avLst/>
          </a:prstGeom>
          <a:solidFill>
            <a:schemeClr val="bg1">
              <a:lumMod val="95000"/>
            </a:schemeClr>
          </a:solidFill>
          <a:ln w="3175" cap="flat" cmpd="sng" algn="ctr">
            <a:solidFill>
              <a:schemeClr val="bg1"/>
            </a:solidFill>
            <a:prstDash val="solid"/>
            <a:round/>
            <a:headEnd type="none" w="med" len="med"/>
            <a:tailEnd type="none" w="med" len="med"/>
          </a:ln>
          <a:effectLst>
            <a:outerShdw dist="12700" dir="2700000" algn="tl" rotWithShape="0">
              <a:prstClr val="black">
                <a:alpha val="50000"/>
              </a:prstClr>
            </a:outerShdw>
          </a:effectLst>
        </xdr:spPr>
        <xdr:txBody>
          <a:bodyPr vertOverflow="clip" wrap="square" lIns="18288" tIns="0" rIns="0" bIns="0" rtlCol="0" anchor="ctr" upright="1"/>
          <a:lstStyle/>
          <a:p>
            <a:pPr marL="0" indent="0" algn="l"/>
            <a:endParaRPr kumimoji="1" lang="ja-JP" altLang="en-US" sz="1100">
              <a:latin typeface="+mn-lt"/>
              <a:ea typeface="+mn-ea"/>
              <a:cs typeface="+mn-cs"/>
            </a:endParaRPr>
          </a:p>
        </xdr:txBody>
      </xdr:sp>
      <xdr:sp macro="" textlink="">
        <xdr:nvSpPr>
          <xdr:cNvPr id="15" name="正方形/長方形 14">
            <a:extLst>
              <a:ext uri="{FF2B5EF4-FFF2-40B4-BE49-F238E27FC236}">
                <a16:creationId xmlns:a16="http://schemas.microsoft.com/office/drawing/2014/main" id="{00000000-0008-0000-0400-00000F000000}"/>
              </a:ext>
            </a:extLst>
          </xdr:cNvPr>
          <xdr:cNvSpPr/>
        </xdr:nvSpPr>
        <xdr:spPr bwMode="auto">
          <a:xfrm>
            <a:off x="1408340" y="634635"/>
            <a:ext cx="5433205" cy="46478"/>
          </a:xfrm>
          <a:prstGeom prst="rect">
            <a:avLst/>
          </a:prstGeom>
          <a:solidFill>
            <a:schemeClr val="bg1">
              <a:lumMod val="95000"/>
            </a:schemeClr>
          </a:solidFill>
          <a:ln w="3175" cap="flat" cmpd="sng" algn="ctr">
            <a:solidFill>
              <a:schemeClr val="bg1"/>
            </a:solidFill>
            <a:prstDash val="solid"/>
            <a:round/>
            <a:headEnd type="none" w="med" len="med"/>
            <a:tailEnd type="none" w="med" len="med"/>
          </a:ln>
          <a:effectLst>
            <a:outerShdw dist="12700" dir="2700000" algn="tl" rotWithShape="0">
              <a:prstClr val="black">
                <a:alpha val="50000"/>
              </a:prstClr>
            </a:outerShdw>
          </a:effectLst>
        </xdr:spPr>
        <xdr:txBody>
          <a:bodyPr vertOverflow="clip" wrap="square" lIns="18288" tIns="0" rIns="0" bIns="0" rtlCol="0" anchor="ctr" upright="1"/>
          <a:lstStyle/>
          <a:p>
            <a:pPr algn="l"/>
            <a:endParaRPr kumimoji="1" lang="ja-JP" altLang="en-US" sz="1100"/>
          </a:p>
        </xdr:txBody>
      </xdr:sp>
    </xdr:grpSp>
    <xdr:clientData/>
  </xdr:twoCellAnchor>
  <mc:AlternateContent xmlns:mc="http://schemas.openxmlformats.org/markup-compatibility/2006">
    <mc:Choice xmlns:a14="http://schemas.microsoft.com/office/drawing/2010/main" Requires="a14">
      <xdr:twoCellAnchor>
        <xdr:from>
          <xdr:col>19</xdr:col>
          <xdr:colOff>19050</xdr:colOff>
          <xdr:row>19</xdr:row>
          <xdr:rowOff>28575</xdr:rowOff>
        </xdr:from>
        <xdr:to>
          <xdr:col>21</xdr:col>
          <xdr:colOff>76200</xdr:colOff>
          <xdr:row>19</xdr:row>
          <xdr:rowOff>171450</xdr:rowOff>
        </xdr:to>
        <xdr:sp macro="" textlink="">
          <xdr:nvSpPr>
            <xdr:cNvPr id="99335" name="Button 7" hidden="1">
              <a:extLst>
                <a:ext uri="{63B3BB69-23CF-44E3-9099-C40C66FF867C}">
                  <a14:compatExt spid="_x0000_s99335"/>
                </a:ext>
                <a:ext uri="{FF2B5EF4-FFF2-40B4-BE49-F238E27FC236}">
                  <a16:creationId xmlns:a16="http://schemas.microsoft.com/office/drawing/2014/main" id="{00000000-0008-0000-0200-00000784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de-DE" sz="900" b="1" i="0" u="none" strike="noStrike" baseline="0">
                  <a:solidFill>
                    <a:srgbClr val="000000"/>
                  </a:solidFill>
                  <a:latin typeface="Segoe UI"/>
                  <a:cs typeface="Segoe UI"/>
                </a:rPr>
                <a:t>Apply design values</a:t>
              </a:r>
            </a:p>
          </xdr:txBody>
        </xdr:sp>
        <xdr:clientData fPrintsWithSheet="0"/>
      </xdr:twoCellAnchor>
    </mc:Choice>
    <mc:Fallback/>
  </mc:AlternateContent>
  <xdr:twoCellAnchor>
    <xdr:from>
      <xdr:col>8</xdr:col>
      <xdr:colOff>362023</xdr:colOff>
      <xdr:row>31</xdr:row>
      <xdr:rowOff>69632</xdr:rowOff>
    </xdr:from>
    <xdr:to>
      <xdr:col>8</xdr:col>
      <xdr:colOff>433244</xdr:colOff>
      <xdr:row>31</xdr:row>
      <xdr:rowOff>161926</xdr:rowOff>
    </xdr:to>
    <xdr:grpSp>
      <xdr:nvGrpSpPr>
        <xdr:cNvPr id="42" name="グループ化 41">
          <a:extLst>
            <a:ext uri="{FF2B5EF4-FFF2-40B4-BE49-F238E27FC236}">
              <a16:creationId xmlns:a16="http://schemas.microsoft.com/office/drawing/2014/main" id="{00000000-0008-0000-0400-00002A000000}"/>
            </a:ext>
          </a:extLst>
        </xdr:cNvPr>
        <xdr:cNvGrpSpPr/>
      </xdr:nvGrpSpPr>
      <xdr:grpSpPr>
        <a:xfrm rot="10800000">
          <a:off x="1076398" y="6213257"/>
          <a:ext cx="71221" cy="92294"/>
          <a:chOff x="857633" y="2516705"/>
          <a:chExt cx="71221" cy="92294"/>
        </a:xfrm>
      </xdr:grpSpPr>
      <xdr:cxnSp macro="">
        <xdr:nvCxnSpPr>
          <xdr:cNvPr id="43" name="直線コネクタ 42">
            <a:extLst>
              <a:ext uri="{FF2B5EF4-FFF2-40B4-BE49-F238E27FC236}">
                <a16:creationId xmlns:a16="http://schemas.microsoft.com/office/drawing/2014/main" id="{00000000-0008-0000-0400-00002B000000}"/>
              </a:ext>
            </a:extLst>
          </xdr:cNvPr>
          <xdr:cNvCxnSpPr/>
        </xdr:nvCxnSpPr>
        <xdr:spPr bwMode="auto">
          <a:xfrm flipH="1" flipV="1">
            <a:off x="857633" y="2516705"/>
            <a:ext cx="71221" cy="0"/>
          </a:xfrm>
          <a:prstGeom prst="line">
            <a:avLst/>
          </a:prstGeom>
          <a:solidFill>
            <a:srgbClr val="FFFFFF"/>
          </a:solidFill>
          <a:ln w="3175" cap="flat" cmpd="sng" algn="ctr">
            <a:solidFill>
              <a:srgbClr val="00B050"/>
            </a:solidFill>
            <a:prstDash val="solid"/>
            <a:round/>
            <a:headEnd type="none" w="med" len="med"/>
            <a:tailEnd type="none" w="med" len="med"/>
          </a:ln>
          <a:effectLst/>
        </xdr:spPr>
      </xdr:cxnSp>
      <xdr:cxnSp macro="">
        <xdr:nvCxnSpPr>
          <xdr:cNvPr id="44" name="直線矢印コネクタ 43">
            <a:extLst>
              <a:ext uri="{FF2B5EF4-FFF2-40B4-BE49-F238E27FC236}">
                <a16:creationId xmlns:a16="http://schemas.microsoft.com/office/drawing/2014/main" id="{00000000-0008-0000-0400-00002C000000}"/>
              </a:ext>
            </a:extLst>
          </xdr:cNvPr>
          <xdr:cNvCxnSpPr/>
        </xdr:nvCxnSpPr>
        <xdr:spPr bwMode="auto">
          <a:xfrm flipV="1">
            <a:off x="892818" y="2518999"/>
            <a:ext cx="0" cy="90000"/>
          </a:xfrm>
          <a:prstGeom prst="straightConnector1">
            <a:avLst/>
          </a:prstGeom>
          <a:solidFill>
            <a:srgbClr val="FFFFFF"/>
          </a:solidFill>
          <a:ln w="12700" cap="flat" cmpd="sng" algn="ctr">
            <a:solidFill>
              <a:srgbClr val="00B050"/>
            </a:solidFill>
            <a:prstDash val="solid"/>
            <a:round/>
            <a:headEnd type="none" w="med" len="med"/>
            <a:tailEnd type="triangle" w="sm" len="sm"/>
          </a:ln>
          <a:effectLst/>
        </xdr:spPr>
      </xdr:cxnSp>
    </xdr:grpSp>
    <xdr:clientData/>
  </xdr:twoCellAnchor>
  <xdr:twoCellAnchor>
    <xdr:from>
      <xdr:col>8</xdr:col>
      <xdr:colOff>362023</xdr:colOff>
      <xdr:row>28</xdr:row>
      <xdr:rowOff>71685</xdr:rowOff>
    </xdr:from>
    <xdr:to>
      <xdr:col>8</xdr:col>
      <xdr:colOff>433244</xdr:colOff>
      <xdr:row>28</xdr:row>
      <xdr:rowOff>163979</xdr:rowOff>
    </xdr:to>
    <xdr:grpSp>
      <xdr:nvGrpSpPr>
        <xdr:cNvPr id="46" name="グループ化 45">
          <a:extLst>
            <a:ext uri="{FF2B5EF4-FFF2-40B4-BE49-F238E27FC236}">
              <a16:creationId xmlns:a16="http://schemas.microsoft.com/office/drawing/2014/main" id="{00000000-0008-0000-0400-00002E000000}"/>
            </a:ext>
          </a:extLst>
        </xdr:cNvPr>
        <xdr:cNvGrpSpPr/>
      </xdr:nvGrpSpPr>
      <xdr:grpSpPr>
        <a:xfrm>
          <a:off x="1076398" y="5615235"/>
          <a:ext cx="71221" cy="92294"/>
          <a:chOff x="857633" y="2516705"/>
          <a:chExt cx="71221" cy="92294"/>
        </a:xfrm>
      </xdr:grpSpPr>
      <xdr:cxnSp macro="">
        <xdr:nvCxnSpPr>
          <xdr:cNvPr id="47" name="直線コネクタ 46">
            <a:extLst>
              <a:ext uri="{FF2B5EF4-FFF2-40B4-BE49-F238E27FC236}">
                <a16:creationId xmlns:a16="http://schemas.microsoft.com/office/drawing/2014/main" id="{00000000-0008-0000-0400-00002F000000}"/>
              </a:ext>
            </a:extLst>
          </xdr:cNvPr>
          <xdr:cNvCxnSpPr/>
        </xdr:nvCxnSpPr>
        <xdr:spPr bwMode="auto">
          <a:xfrm flipH="1" flipV="1">
            <a:off x="857633" y="2516705"/>
            <a:ext cx="71221" cy="0"/>
          </a:xfrm>
          <a:prstGeom prst="line">
            <a:avLst/>
          </a:prstGeom>
          <a:solidFill>
            <a:srgbClr val="FFFFFF"/>
          </a:solidFill>
          <a:ln w="3175" cap="flat" cmpd="sng" algn="ctr">
            <a:solidFill>
              <a:srgbClr val="00B050"/>
            </a:solidFill>
            <a:prstDash val="solid"/>
            <a:round/>
            <a:headEnd type="none" w="med" len="med"/>
            <a:tailEnd type="none" w="med" len="med"/>
          </a:ln>
          <a:effectLst/>
        </xdr:spPr>
      </xdr:cxnSp>
      <xdr:cxnSp macro="">
        <xdr:nvCxnSpPr>
          <xdr:cNvPr id="49" name="直線矢印コネクタ 48">
            <a:extLst>
              <a:ext uri="{FF2B5EF4-FFF2-40B4-BE49-F238E27FC236}">
                <a16:creationId xmlns:a16="http://schemas.microsoft.com/office/drawing/2014/main" id="{00000000-0008-0000-0400-000031000000}"/>
              </a:ext>
            </a:extLst>
          </xdr:cNvPr>
          <xdr:cNvCxnSpPr/>
        </xdr:nvCxnSpPr>
        <xdr:spPr bwMode="auto">
          <a:xfrm flipV="1">
            <a:off x="892818" y="2518999"/>
            <a:ext cx="0" cy="90000"/>
          </a:xfrm>
          <a:prstGeom prst="straightConnector1">
            <a:avLst/>
          </a:prstGeom>
          <a:solidFill>
            <a:srgbClr val="FFFFFF"/>
          </a:solidFill>
          <a:ln w="12700" cap="flat" cmpd="sng" algn="ctr">
            <a:solidFill>
              <a:srgbClr val="00B050"/>
            </a:solidFill>
            <a:prstDash val="solid"/>
            <a:round/>
            <a:headEnd type="none" w="med" len="med"/>
            <a:tailEnd type="triangle" w="sm" len="sm"/>
          </a:ln>
          <a:effectLst/>
        </xdr:spPr>
      </xdr:cxnSp>
    </xdr:grpSp>
    <xdr:clientData/>
  </xdr:twoCellAnchor>
  <xdr:twoCellAnchor>
    <xdr:from>
      <xdr:col>21</xdr:col>
      <xdr:colOff>183577</xdr:colOff>
      <xdr:row>19</xdr:row>
      <xdr:rowOff>118713</xdr:rowOff>
    </xdr:from>
    <xdr:to>
      <xdr:col>21</xdr:col>
      <xdr:colOff>507577</xdr:colOff>
      <xdr:row>19</xdr:row>
      <xdr:rowOff>164774</xdr:rowOff>
    </xdr:to>
    <xdr:sp macro="" textlink="">
      <xdr:nvSpPr>
        <xdr:cNvPr id="6" name="正方形/長方形 5">
          <a:extLst>
            <a:ext uri="{FF2B5EF4-FFF2-40B4-BE49-F238E27FC236}">
              <a16:creationId xmlns:a16="http://schemas.microsoft.com/office/drawing/2014/main" id="{00000000-0008-0000-0400-000006000000}"/>
            </a:ext>
          </a:extLst>
        </xdr:cNvPr>
        <xdr:cNvSpPr/>
      </xdr:nvSpPr>
      <xdr:spPr bwMode="auto">
        <a:xfrm rot="900000">
          <a:off x="6878291" y="647448"/>
          <a:ext cx="324000" cy="46061"/>
        </a:xfrm>
        <a:prstGeom prst="rect">
          <a:avLst/>
        </a:prstGeom>
        <a:solidFill>
          <a:schemeClr val="bg1">
            <a:lumMod val="95000"/>
          </a:schemeClr>
        </a:solidFill>
        <a:ln w="3175" cap="flat" cmpd="sng" algn="ctr">
          <a:solidFill>
            <a:schemeClr val="bg1"/>
          </a:solidFill>
          <a:prstDash val="solid"/>
          <a:round/>
          <a:headEnd type="none" w="med" len="med"/>
          <a:tailEnd type="none" w="med" len="med"/>
        </a:ln>
        <a:effectLst>
          <a:outerShdw dist="12700" dir="2700000" algn="tl" rotWithShape="0">
            <a:prstClr val="black">
              <a:alpha val="50000"/>
            </a:prstClr>
          </a:outerShdw>
        </a:effectLst>
      </xdr:spPr>
      <xdr:txBody>
        <a:bodyPr vertOverflow="clip" wrap="square" lIns="18288" tIns="0" rIns="0" bIns="0" rtlCol="0" anchor="ctr" upright="1"/>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00200" name="図 24">
              <a:extLst>
                <a:ext uri="{FF2B5EF4-FFF2-40B4-BE49-F238E27FC236}">
                  <a16:creationId xmlns:a16="http://schemas.microsoft.com/office/drawing/2014/main" id="{EE39BF53-DD2F-9A88-14A3-C72F742B8575}"/>
                </a:ext>
              </a:extLst>
            </xdr:cNvPr>
            <xdr:cNvPicPr>
              <a:picLocks noChangeAspect="1" noChangeArrowheads="1"/>
              <a:extLst>
                <a:ext uri="{84589F7E-364E-4C9E-8A38-B11213B215E9}">
                  <a14:cameraTool cellRange="appimg" spid="_x0000_s128686"/>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00201" name="図 30">
              <a:extLst>
                <a:ext uri="{FF2B5EF4-FFF2-40B4-BE49-F238E27FC236}">
                  <a16:creationId xmlns:a16="http://schemas.microsoft.com/office/drawing/2014/main" id="{D6001627-C85A-4121-167F-12F1DEA4BA9F}"/>
                </a:ext>
              </a:extLst>
            </xdr:cNvPr>
            <xdr:cNvPicPr>
              <a:picLocks noChangeAspect="1" noChangeArrowheads="1"/>
              <a:extLst>
                <a:ext uri="{84589F7E-364E-4C9E-8A38-B11213B215E9}">
                  <a14:cameraTool cellRange="boardimg" spid="_x0000_s128687"/>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00202" name="図 9">
              <a:extLst>
                <a:ext uri="{FF2B5EF4-FFF2-40B4-BE49-F238E27FC236}">
                  <a16:creationId xmlns:a16="http://schemas.microsoft.com/office/drawing/2014/main" id="{50573794-C7FB-5CC4-C54C-57D0DBE30B97}"/>
                </a:ext>
              </a:extLst>
            </xdr:cNvPr>
            <xdr:cNvPicPr>
              <a:picLocks noChangeAspect="1" noChangeArrowheads="1"/>
              <a:extLst>
                <a:ext uri="{84589F7E-364E-4C9E-8A38-B11213B215E9}">
                  <a14:cameraTool cellRange="計算sheet!$AL$20:$AM$23" spid="_x0000_s128688"/>
                </a:ext>
              </a:extLst>
            </xdr:cNvPicPr>
          </xdr:nvPicPr>
          <xdr:blipFill>
            <a:blip xmlns:r="http://schemas.openxmlformats.org/officeDocument/2006/relationships" r:embed="rId5"/>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13045" name="図 24">
              <a:extLst>
                <a:ext uri="{FF2B5EF4-FFF2-40B4-BE49-F238E27FC236}">
                  <a16:creationId xmlns:a16="http://schemas.microsoft.com/office/drawing/2014/main" id="{F18F89E0-1D16-2BC1-6588-1DB7B809419D}"/>
                </a:ext>
              </a:extLst>
            </xdr:cNvPr>
            <xdr:cNvPicPr>
              <a:picLocks noChangeAspect="1" noChangeArrowheads="1"/>
              <a:extLst>
                <a:ext uri="{84589F7E-364E-4C9E-8A38-B11213B215E9}">
                  <a14:cameraTool cellRange="appimg" spid="_x0000_s128689"/>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13046" name="図 30">
              <a:extLst>
                <a:ext uri="{FF2B5EF4-FFF2-40B4-BE49-F238E27FC236}">
                  <a16:creationId xmlns:a16="http://schemas.microsoft.com/office/drawing/2014/main" id="{47ABD042-93AD-A7CE-A130-C78F22D8B921}"/>
                </a:ext>
              </a:extLst>
            </xdr:cNvPr>
            <xdr:cNvPicPr>
              <a:picLocks noChangeAspect="1" noChangeArrowheads="1"/>
              <a:extLst>
                <a:ext uri="{84589F7E-364E-4C9E-8A38-B11213B215E9}">
                  <a14:cameraTool cellRange="boardimg" spid="_x0000_s128690"/>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13047" name="図 9">
              <a:extLst>
                <a:ext uri="{FF2B5EF4-FFF2-40B4-BE49-F238E27FC236}">
                  <a16:creationId xmlns:a16="http://schemas.microsoft.com/office/drawing/2014/main" id="{73171EEC-080C-4E6F-DA54-E7975D3CBFAE}"/>
                </a:ext>
              </a:extLst>
            </xdr:cNvPr>
            <xdr:cNvPicPr>
              <a:picLocks noChangeAspect="1" noChangeArrowheads="1"/>
              <a:extLst>
                <a:ext uri="{84589F7E-364E-4C9E-8A38-B11213B215E9}">
                  <a14:cameraTool cellRange="計算sheet!$AL$20:$AM$23" spid="_x0000_s128691"/>
                </a:ext>
              </a:extLst>
            </xdr:cNvPicPr>
          </xdr:nvPicPr>
          <xdr:blipFill>
            <a:blip xmlns:r="http://schemas.openxmlformats.org/officeDocument/2006/relationships" r:embed="rId6"/>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13048" name="Picture 1432">
              <a:extLst>
                <a:ext uri="{FF2B5EF4-FFF2-40B4-BE49-F238E27FC236}">
                  <a16:creationId xmlns:a16="http://schemas.microsoft.com/office/drawing/2014/main" id="{4FFAC55D-A85C-53DB-6333-6222D3B88682}"/>
                </a:ext>
              </a:extLst>
            </xdr:cNvPr>
            <xdr:cNvPicPr>
              <a:picLocks noChangeAspect="1" noChangeArrowheads="1"/>
              <a:extLst>
                <a:ext uri="{84589F7E-364E-4C9E-8A38-B11213B215E9}">
                  <a14:cameraTool cellRange="appimg" spid="_x0000_s128692"/>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13049" name="Picture 1433">
              <a:extLst>
                <a:ext uri="{FF2B5EF4-FFF2-40B4-BE49-F238E27FC236}">
                  <a16:creationId xmlns:a16="http://schemas.microsoft.com/office/drawing/2014/main" id="{13D20C18-6B1E-94BE-27C5-3B3C9E6D1FC1}"/>
                </a:ext>
              </a:extLst>
            </xdr:cNvPr>
            <xdr:cNvPicPr>
              <a:picLocks noChangeAspect="1" noChangeArrowheads="1"/>
              <a:extLst>
                <a:ext uri="{84589F7E-364E-4C9E-8A38-B11213B215E9}">
                  <a14:cameraTool cellRange="boardimg" spid="_x0000_s128693"/>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13050" name="Picture 1434">
              <a:extLst>
                <a:ext uri="{FF2B5EF4-FFF2-40B4-BE49-F238E27FC236}">
                  <a16:creationId xmlns:a16="http://schemas.microsoft.com/office/drawing/2014/main" id="{48194D81-65B5-9A12-8A6F-64B94CE4D8E6}"/>
                </a:ext>
              </a:extLst>
            </xdr:cNvPr>
            <xdr:cNvPicPr>
              <a:picLocks noChangeAspect="1" noChangeArrowheads="1"/>
              <a:extLst>
                <a:ext uri="{84589F7E-364E-4C9E-8A38-B11213B215E9}">
                  <a14:cameraTool cellRange="計算sheet!$AL$20:$AM$23" spid="_x0000_s128694"/>
                </a:ext>
              </a:extLst>
            </xdr:cNvPicPr>
          </xdr:nvPicPr>
          <xdr:blipFill>
            <a:blip xmlns:r="http://schemas.openxmlformats.org/officeDocument/2006/relationships" r:embed="rId5"/>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87" name="図 24">
              <a:extLst>
                <a:ext uri="{FF2B5EF4-FFF2-40B4-BE49-F238E27FC236}">
                  <a16:creationId xmlns:a16="http://schemas.microsoft.com/office/drawing/2014/main" id="{B14FA43A-A642-2CF4-5A3A-27694CA96C9E}"/>
                </a:ext>
              </a:extLst>
            </xdr:cNvPr>
            <xdr:cNvPicPr>
              <a:picLocks noChangeAspect="1" noChangeArrowheads="1"/>
              <a:extLst>
                <a:ext uri="{84589F7E-364E-4C9E-8A38-B11213B215E9}">
                  <a14:cameraTool cellRange="appimg" spid="_x0000_s128695"/>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88" name="図 30">
              <a:extLst>
                <a:ext uri="{FF2B5EF4-FFF2-40B4-BE49-F238E27FC236}">
                  <a16:creationId xmlns:a16="http://schemas.microsoft.com/office/drawing/2014/main" id="{AA1C6CF8-4936-84CF-C699-8046B0F51DFD}"/>
                </a:ext>
              </a:extLst>
            </xdr:cNvPr>
            <xdr:cNvPicPr>
              <a:picLocks noChangeAspect="1" noChangeArrowheads="1"/>
              <a:extLst>
                <a:ext uri="{84589F7E-364E-4C9E-8A38-B11213B215E9}">
                  <a14:cameraTool cellRange="boardimg" spid="_x0000_s128696"/>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89" name="図 9">
              <a:extLst>
                <a:ext uri="{FF2B5EF4-FFF2-40B4-BE49-F238E27FC236}">
                  <a16:creationId xmlns:a16="http://schemas.microsoft.com/office/drawing/2014/main" id="{14329D48-62B6-B039-E045-638856CB35B6}"/>
                </a:ext>
              </a:extLst>
            </xdr:cNvPr>
            <xdr:cNvPicPr>
              <a:picLocks noChangeAspect="1" noChangeArrowheads="1"/>
              <a:extLst>
                <a:ext uri="{84589F7E-364E-4C9E-8A38-B11213B215E9}">
                  <a14:cameraTool cellRange="計算sheet!$AL$20:$AM$23" spid="_x0000_s128697"/>
                </a:ext>
              </a:extLst>
            </xdr:cNvPicPr>
          </xdr:nvPicPr>
          <xdr:blipFill>
            <a:blip xmlns:r="http://schemas.openxmlformats.org/officeDocument/2006/relationships" r:embed="rId6"/>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90" name="Picture 4686">
              <a:extLst>
                <a:ext uri="{FF2B5EF4-FFF2-40B4-BE49-F238E27FC236}">
                  <a16:creationId xmlns:a16="http://schemas.microsoft.com/office/drawing/2014/main" id="{541FB4DD-625F-3533-7E51-EDC7DB94E5BF}"/>
                </a:ext>
              </a:extLst>
            </xdr:cNvPr>
            <xdr:cNvPicPr>
              <a:picLocks noChangeAspect="1" noChangeArrowheads="1"/>
              <a:extLst>
                <a:ext uri="{84589F7E-364E-4C9E-8A38-B11213B215E9}">
                  <a14:cameraTool cellRange="appimg" spid="_x0000_s128698"/>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91" name="Picture 4687">
              <a:extLst>
                <a:ext uri="{FF2B5EF4-FFF2-40B4-BE49-F238E27FC236}">
                  <a16:creationId xmlns:a16="http://schemas.microsoft.com/office/drawing/2014/main" id="{CD91A54B-C3D6-F19C-8B1F-90911CE53A66}"/>
                </a:ext>
              </a:extLst>
            </xdr:cNvPr>
            <xdr:cNvPicPr>
              <a:picLocks noChangeAspect="1" noChangeArrowheads="1"/>
              <a:extLst>
                <a:ext uri="{84589F7E-364E-4C9E-8A38-B11213B215E9}">
                  <a14:cameraTool cellRange="boardimg" spid="_x0000_s128699"/>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92" name="Picture 4688">
              <a:extLst>
                <a:ext uri="{FF2B5EF4-FFF2-40B4-BE49-F238E27FC236}">
                  <a16:creationId xmlns:a16="http://schemas.microsoft.com/office/drawing/2014/main" id="{17633251-3B7D-24BA-7D08-6831C38E9379}"/>
                </a:ext>
              </a:extLst>
            </xdr:cNvPr>
            <xdr:cNvPicPr>
              <a:picLocks noChangeAspect="1" noChangeArrowheads="1"/>
              <a:extLst>
                <a:ext uri="{84589F7E-364E-4C9E-8A38-B11213B215E9}">
                  <a14:cameraTool cellRange="計算sheet!$AL$20:$AM$23" spid="_x0000_s128700"/>
                </a:ext>
              </a:extLst>
            </xdr:cNvPicPr>
          </xdr:nvPicPr>
          <xdr:blipFill>
            <a:blip xmlns:r="http://schemas.openxmlformats.org/officeDocument/2006/relationships" r:embed="rId5"/>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93" name="Picture 4689">
              <a:extLst>
                <a:ext uri="{FF2B5EF4-FFF2-40B4-BE49-F238E27FC236}">
                  <a16:creationId xmlns:a16="http://schemas.microsoft.com/office/drawing/2014/main" id="{E4D47A2A-F431-DF43-8AEC-AA5D7D0CD45D}"/>
                </a:ext>
              </a:extLst>
            </xdr:cNvPr>
            <xdr:cNvPicPr>
              <a:picLocks noChangeAspect="1" noChangeArrowheads="1"/>
              <a:extLst>
                <a:ext uri="{84589F7E-364E-4C9E-8A38-B11213B215E9}">
                  <a14:cameraTool cellRange="appimg" spid="_x0000_s128701"/>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94" name="Picture 4690">
              <a:extLst>
                <a:ext uri="{FF2B5EF4-FFF2-40B4-BE49-F238E27FC236}">
                  <a16:creationId xmlns:a16="http://schemas.microsoft.com/office/drawing/2014/main" id="{7785C19A-5B06-17C4-6D98-0FA861F99228}"/>
                </a:ext>
              </a:extLst>
            </xdr:cNvPr>
            <xdr:cNvPicPr>
              <a:picLocks noChangeAspect="1" noChangeArrowheads="1"/>
              <a:extLst>
                <a:ext uri="{84589F7E-364E-4C9E-8A38-B11213B215E9}">
                  <a14:cameraTool cellRange="boardimg" spid="_x0000_s128702"/>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95" name="Picture 4691">
              <a:extLst>
                <a:ext uri="{FF2B5EF4-FFF2-40B4-BE49-F238E27FC236}">
                  <a16:creationId xmlns:a16="http://schemas.microsoft.com/office/drawing/2014/main" id="{3582D099-5BC4-6173-2A0C-12D9AFD892D3}"/>
                </a:ext>
              </a:extLst>
            </xdr:cNvPr>
            <xdr:cNvPicPr>
              <a:picLocks noChangeAspect="1" noChangeArrowheads="1"/>
              <a:extLst>
                <a:ext uri="{84589F7E-364E-4C9E-8A38-B11213B215E9}">
                  <a14:cameraTool cellRange="計算sheet!$AL$20:$AM$23" spid="_x0000_s128703"/>
                </a:ext>
              </a:extLst>
            </xdr:cNvPicPr>
          </xdr:nvPicPr>
          <xdr:blipFill>
            <a:blip xmlns:r="http://schemas.openxmlformats.org/officeDocument/2006/relationships" r:embed="rId6"/>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502920</xdr:colOff>
          <xdr:row>21</xdr:row>
          <xdr:rowOff>129540</xdr:rowOff>
        </xdr:from>
        <xdr:to>
          <xdr:col>22</xdr:col>
          <xdr:colOff>403860</xdr:colOff>
          <xdr:row>26</xdr:row>
          <xdr:rowOff>182880</xdr:rowOff>
        </xdr:to>
        <xdr:pic>
          <xdr:nvPicPr>
            <xdr:cNvPr id="128596" name="Picture 1432">
              <a:extLst>
                <a:ext uri="{FF2B5EF4-FFF2-40B4-BE49-F238E27FC236}">
                  <a16:creationId xmlns:a16="http://schemas.microsoft.com/office/drawing/2014/main" id="{001AD456-0348-C468-1B0A-5F714A5964C2}"/>
                </a:ext>
              </a:extLst>
            </xdr:cNvPr>
            <xdr:cNvPicPr>
              <a:picLocks noChangeAspect="1" noChangeArrowheads="1"/>
              <a:extLst>
                <a:ext uri="{84589F7E-364E-4C9E-8A38-B11213B215E9}">
                  <a14:cameraTool cellRange="appimg" spid="_x0000_s128704"/>
                </a:ext>
              </a:extLst>
            </xdr:cNvPicPr>
          </xdr:nvPicPr>
          <xdr:blipFill>
            <a:blip xmlns:r="http://schemas.openxmlformats.org/officeDocument/2006/relationships" r:embed="rId3"/>
            <a:srcRect/>
            <a:stretch>
              <a:fillRect/>
            </a:stretch>
          </xdr:blipFill>
          <xdr:spPr bwMode="auto">
            <a:xfrm>
              <a:off x="5593080" y="1036320"/>
              <a:ext cx="2034540" cy="99822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53340</xdr:colOff>
          <xdr:row>28</xdr:row>
          <xdr:rowOff>22860</xdr:rowOff>
        </xdr:from>
        <xdr:to>
          <xdr:col>22</xdr:col>
          <xdr:colOff>449580</xdr:colOff>
          <xdr:row>32</xdr:row>
          <xdr:rowOff>190500</xdr:rowOff>
        </xdr:to>
        <xdr:pic>
          <xdr:nvPicPr>
            <xdr:cNvPr id="128597" name="Picture 1433">
              <a:extLst>
                <a:ext uri="{FF2B5EF4-FFF2-40B4-BE49-F238E27FC236}">
                  <a16:creationId xmlns:a16="http://schemas.microsoft.com/office/drawing/2014/main" id="{483109AF-4294-9839-2428-FF4A126E7D37}"/>
                </a:ext>
              </a:extLst>
            </xdr:cNvPr>
            <xdr:cNvPicPr>
              <a:picLocks noChangeAspect="1" noChangeArrowheads="1"/>
              <a:extLst>
                <a:ext uri="{84589F7E-364E-4C9E-8A38-B11213B215E9}">
                  <a14:cameraTool cellRange="boardimg" spid="_x0000_s128705"/>
                </a:ext>
              </a:extLst>
            </xdr:cNvPicPr>
          </xdr:nvPicPr>
          <xdr:blipFill>
            <a:blip xmlns:r="http://schemas.openxmlformats.org/officeDocument/2006/relationships" r:embed="rId4"/>
            <a:srcRect/>
            <a:stretch>
              <a:fillRect/>
            </a:stretch>
          </xdr:blipFill>
          <xdr:spPr bwMode="auto">
            <a:xfrm>
              <a:off x="5676900" y="2255520"/>
              <a:ext cx="1996440" cy="9906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236220</xdr:colOff>
          <xdr:row>28</xdr:row>
          <xdr:rowOff>175260</xdr:rowOff>
        </xdr:from>
        <xdr:to>
          <xdr:col>18</xdr:col>
          <xdr:colOff>365760</xdr:colOff>
          <xdr:row>31</xdr:row>
          <xdr:rowOff>53340</xdr:rowOff>
        </xdr:to>
        <xdr:pic>
          <xdr:nvPicPr>
            <xdr:cNvPr id="128598" name="Picture 1434">
              <a:extLst>
                <a:ext uri="{FF2B5EF4-FFF2-40B4-BE49-F238E27FC236}">
                  <a16:creationId xmlns:a16="http://schemas.microsoft.com/office/drawing/2014/main" id="{16E3619D-DAD3-46BC-FDF2-9F3F5C3D8E14}"/>
                </a:ext>
              </a:extLst>
            </xdr:cNvPr>
            <xdr:cNvPicPr>
              <a:picLocks noChangeAspect="1" noChangeArrowheads="1"/>
              <a:extLst>
                <a:ext uri="{84589F7E-364E-4C9E-8A38-B11213B215E9}">
                  <a14:cameraTool cellRange="計算sheet!$AL$20:$AM$23" spid="_x0000_s128706"/>
                </a:ext>
              </a:extLst>
            </xdr:cNvPicPr>
          </xdr:nvPicPr>
          <xdr:blipFill>
            <a:blip xmlns:r="http://schemas.openxmlformats.org/officeDocument/2006/relationships" r:embed="rId6"/>
            <a:srcRect/>
            <a:stretch>
              <a:fillRect/>
            </a:stretch>
          </xdr:blipFill>
          <xdr:spPr bwMode="auto">
            <a:xfrm>
              <a:off x="4853940" y="2407920"/>
              <a:ext cx="601980" cy="49530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39</xdr:col>
      <xdr:colOff>0</xdr:colOff>
      <xdr:row>3</xdr:row>
      <xdr:rowOff>0</xdr:rowOff>
    </xdr:from>
    <xdr:to>
      <xdr:col>41</xdr:col>
      <xdr:colOff>0</xdr:colOff>
      <xdr:row>5</xdr:row>
      <xdr:rowOff>0</xdr:rowOff>
    </xdr:to>
    <xdr:sp macro="" textlink="">
      <xdr:nvSpPr>
        <xdr:cNvPr id="10" name="テキスト ボックス 9">
          <a:extLst>
            <a:ext uri="{FF2B5EF4-FFF2-40B4-BE49-F238E27FC236}">
              <a16:creationId xmlns:a16="http://schemas.microsoft.com/office/drawing/2014/main" id="{00000000-0008-0000-0200-00000A000000}"/>
            </a:ext>
          </a:extLst>
        </xdr:cNvPr>
        <xdr:cNvSpPr txBox="1"/>
      </xdr:nvSpPr>
      <xdr:spPr>
        <a:xfrm>
          <a:off x="1219200" y="457200"/>
          <a:ext cx="1219200" cy="304800"/>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Lo </a:t>
          </a:r>
          <a:r>
            <a:rPr kumimoji="1" lang="en-US" altLang="ja-JP" sz="1200" b="0">
              <a:solidFill>
                <a:schemeClr val="bg1"/>
              </a:solidFill>
            </a:rPr>
            <a:t>(at 0A)</a:t>
          </a:r>
          <a:endParaRPr kumimoji="1" lang="ja-JP" altLang="en-US" sz="1200" b="0">
            <a:solidFill>
              <a:schemeClr val="bg1"/>
            </a:solidFill>
          </a:endParaRPr>
        </a:p>
      </xdr:txBody>
    </xdr:sp>
    <xdr:clientData/>
  </xdr:twoCellAnchor>
  <xdr:twoCellAnchor>
    <xdr:from>
      <xdr:col>47</xdr:col>
      <xdr:colOff>0</xdr:colOff>
      <xdr:row>3</xdr:row>
      <xdr:rowOff>1057</xdr:rowOff>
    </xdr:from>
    <xdr:to>
      <xdr:col>49</xdr:col>
      <xdr:colOff>0</xdr:colOff>
      <xdr:row>4</xdr:row>
      <xdr:rowOff>148436</xdr:rowOff>
    </xdr:to>
    <xdr:sp macro="" textlink="">
      <xdr:nvSpPr>
        <xdr:cNvPr id="11" name="テキスト ボックス 10">
          <a:extLst>
            <a:ext uri="{FF2B5EF4-FFF2-40B4-BE49-F238E27FC236}">
              <a16:creationId xmlns:a16="http://schemas.microsoft.com/office/drawing/2014/main" id="{00000000-0008-0000-0200-00000B000000}"/>
            </a:ext>
          </a:extLst>
        </xdr:cNvPr>
        <xdr:cNvSpPr txBox="1"/>
      </xdr:nvSpPr>
      <xdr:spPr>
        <a:xfrm>
          <a:off x="6705600" y="458257"/>
          <a:ext cx="1219200" cy="299779"/>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Dimensions</a:t>
          </a:r>
          <a:endParaRPr kumimoji="1" lang="ja-JP" altLang="en-US" sz="1600" b="1">
            <a:solidFill>
              <a:schemeClr val="bg1"/>
            </a:solidFill>
          </a:endParaRPr>
        </a:p>
      </xdr:txBody>
    </xdr:sp>
    <xdr:clientData/>
  </xdr:twoCellAnchor>
  <xdr:twoCellAnchor>
    <xdr:from>
      <xdr:col>41</xdr:col>
      <xdr:colOff>0</xdr:colOff>
      <xdr:row>2</xdr:row>
      <xdr:rowOff>149382</xdr:rowOff>
    </xdr:from>
    <xdr:to>
      <xdr:col>43</xdr:col>
      <xdr:colOff>0</xdr:colOff>
      <xdr:row>4</xdr:row>
      <xdr:rowOff>146530</xdr:rowOff>
    </xdr:to>
    <xdr:sp macro="" textlink="">
      <xdr:nvSpPr>
        <xdr:cNvPr id="12" name="テキスト ボックス 11">
          <a:extLst>
            <a:ext uri="{FF2B5EF4-FFF2-40B4-BE49-F238E27FC236}">
              <a16:creationId xmlns:a16="http://schemas.microsoft.com/office/drawing/2014/main" id="{00000000-0008-0000-0200-00000C000000}"/>
            </a:ext>
          </a:extLst>
        </xdr:cNvPr>
        <xdr:cNvSpPr txBox="1"/>
      </xdr:nvSpPr>
      <xdr:spPr>
        <a:xfrm>
          <a:off x="2124075" y="549432"/>
          <a:ext cx="1219200" cy="301948"/>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  </a:t>
          </a:r>
          <a:r>
            <a:rPr kumimoji="1" lang="en-US" altLang="ja-JP" sz="1200" b="0">
              <a:solidFill>
                <a:schemeClr val="bg1"/>
              </a:solidFill>
            </a:rPr>
            <a:t>(⊿T=40C)</a:t>
          </a:r>
        </a:p>
      </xdr:txBody>
    </xdr:sp>
    <xdr:clientData/>
  </xdr:twoCellAnchor>
  <xdr:twoCellAnchor>
    <xdr:from>
      <xdr:col>43</xdr:col>
      <xdr:colOff>0</xdr:colOff>
      <xdr:row>2</xdr:row>
      <xdr:rowOff>149382</xdr:rowOff>
    </xdr:from>
    <xdr:to>
      <xdr:col>45</xdr:col>
      <xdr:colOff>0</xdr:colOff>
      <xdr:row>4</xdr:row>
      <xdr:rowOff>148435</xdr:rowOff>
    </xdr:to>
    <xdr:sp macro="" textlink="">
      <xdr:nvSpPr>
        <xdr:cNvPr id="13" name="テキスト ボックス 12">
          <a:extLst>
            <a:ext uri="{FF2B5EF4-FFF2-40B4-BE49-F238E27FC236}">
              <a16:creationId xmlns:a16="http://schemas.microsoft.com/office/drawing/2014/main" id="{00000000-0008-0000-0200-00000D000000}"/>
            </a:ext>
          </a:extLst>
        </xdr:cNvPr>
        <xdr:cNvSpPr txBox="1"/>
      </xdr:nvSpPr>
      <xdr:spPr>
        <a:xfrm>
          <a:off x="3657600" y="454182"/>
          <a:ext cx="1219200" cy="303853"/>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Isat </a:t>
          </a:r>
        </a:p>
      </xdr:txBody>
    </xdr:sp>
    <xdr:clientData/>
  </xdr:twoCellAnchor>
  <xdr:twoCellAnchor>
    <xdr:from>
      <xdr:col>45</xdr:col>
      <xdr:colOff>0</xdr:colOff>
      <xdr:row>2</xdr:row>
      <xdr:rowOff>149382</xdr:rowOff>
    </xdr:from>
    <xdr:to>
      <xdr:col>47</xdr:col>
      <xdr:colOff>0</xdr:colOff>
      <xdr:row>4</xdr:row>
      <xdr:rowOff>148435</xdr:rowOff>
    </xdr:to>
    <xdr:sp macro="" textlink="">
      <xdr:nvSpPr>
        <xdr:cNvPr id="14" name="テキスト ボックス 13">
          <a:extLst>
            <a:ext uri="{FF2B5EF4-FFF2-40B4-BE49-F238E27FC236}">
              <a16:creationId xmlns:a16="http://schemas.microsoft.com/office/drawing/2014/main" id="{00000000-0008-0000-0200-00000E000000}"/>
            </a:ext>
          </a:extLst>
        </xdr:cNvPr>
        <xdr:cNvSpPr txBox="1"/>
      </xdr:nvSpPr>
      <xdr:spPr>
        <a:xfrm>
          <a:off x="4876800" y="454182"/>
          <a:ext cx="1219200" cy="303853"/>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DCR</a:t>
          </a:r>
          <a:endParaRPr kumimoji="1" lang="ja-JP" altLang="en-US" sz="1600" b="1">
            <a:solidFill>
              <a:schemeClr val="bg1"/>
            </a:solidFill>
          </a:endParaRPr>
        </a:p>
      </xdr:txBody>
    </xdr:sp>
    <xdr:clientData/>
  </xdr:twoCellAnchor>
  <xdr:twoCellAnchor>
    <xdr:from>
      <xdr:col>51</xdr:col>
      <xdr:colOff>0</xdr:colOff>
      <xdr:row>2</xdr:row>
      <xdr:rowOff>149382</xdr:rowOff>
    </xdr:from>
    <xdr:to>
      <xdr:col>53</xdr:col>
      <xdr:colOff>0</xdr:colOff>
      <xdr:row>4</xdr:row>
      <xdr:rowOff>146530</xdr:rowOff>
    </xdr:to>
    <xdr:sp macro="" textlink="">
      <xdr:nvSpPr>
        <xdr:cNvPr id="15" name="テキスト ボックス 14">
          <a:extLst>
            <a:ext uri="{FF2B5EF4-FFF2-40B4-BE49-F238E27FC236}">
              <a16:creationId xmlns:a16="http://schemas.microsoft.com/office/drawing/2014/main" id="{00000000-0008-0000-0200-00000F000000}"/>
            </a:ext>
          </a:extLst>
        </xdr:cNvPr>
        <xdr:cNvSpPr txBox="1"/>
      </xdr:nvSpPr>
      <xdr:spPr>
        <a:xfrm>
          <a:off x="8801100" y="549432"/>
          <a:ext cx="1447800" cy="301948"/>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Ordering Info</a:t>
          </a:r>
          <a:endParaRPr kumimoji="1" lang="ja-JP" altLang="en-US" sz="1600" b="1">
            <a:solidFill>
              <a:schemeClr val="bg1"/>
            </a:solidFill>
          </a:endParaRPr>
        </a:p>
      </xdr:txBody>
    </xdr:sp>
    <xdr:clientData/>
  </xdr:twoCellAnchor>
  <xdr:twoCellAnchor>
    <xdr:from>
      <xdr:col>49</xdr:col>
      <xdr:colOff>0</xdr:colOff>
      <xdr:row>3</xdr:row>
      <xdr:rowOff>947</xdr:rowOff>
    </xdr:from>
    <xdr:to>
      <xdr:col>51</xdr:col>
      <xdr:colOff>0</xdr:colOff>
      <xdr:row>5</xdr:row>
      <xdr:rowOff>0</xdr:rowOff>
    </xdr:to>
    <xdr:sp macro="" textlink="">
      <xdr:nvSpPr>
        <xdr:cNvPr id="17" name="テキスト ボックス 16">
          <a:extLst>
            <a:ext uri="{FF2B5EF4-FFF2-40B4-BE49-F238E27FC236}">
              <a16:creationId xmlns:a16="http://schemas.microsoft.com/office/drawing/2014/main" id="{00000000-0008-0000-0200-000011000000}"/>
            </a:ext>
          </a:extLst>
        </xdr:cNvPr>
        <xdr:cNvSpPr txBox="1"/>
      </xdr:nvSpPr>
      <xdr:spPr>
        <a:xfrm>
          <a:off x="7515225" y="553397"/>
          <a:ext cx="1285875" cy="303853"/>
        </a:xfrm>
        <a:prstGeom prst="rect">
          <a:avLst/>
        </a:prstGeom>
        <a:solidFill>
          <a:schemeClr val="tx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lstStyle/>
        <a:p>
          <a:pPr algn="ctr"/>
          <a:r>
            <a:rPr kumimoji="1" lang="en-US" altLang="ja-JP" sz="1600" b="1">
              <a:solidFill>
                <a:schemeClr val="bg1"/>
              </a:solidFill>
            </a:rPr>
            <a:t>Grade</a:t>
          </a:r>
          <a:endParaRPr kumimoji="1" lang="ja-JP" altLang="en-US" sz="1600" b="1">
            <a:solidFill>
              <a:schemeClr val="bg1"/>
            </a:solidFill>
          </a:endParaRPr>
        </a:p>
      </xdr:txBody>
    </xdr:sp>
    <xdr:clientData/>
  </xdr:twoCellAnchor>
  <xdr:twoCellAnchor>
    <xdr:from>
      <xdr:col>39</xdr:col>
      <xdr:colOff>0</xdr:colOff>
      <xdr:row>22</xdr:row>
      <xdr:rowOff>30454</xdr:rowOff>
    </xdr:from>
    <xdr:to>
      <xdr:col>47</xdr:col>
      <xdr:colOff>0</xdr:colOff>
      <xdr:row>39</xdr:row>
      <xdr:rowOff>53340</xdr:rowOff>
    </xdr:to>
    <xdr:grpSp>
      <xdr:nvGrpSpPr>
        <xdr:cNvPr id="28" name="グループ化 27">
          <a:extLst>
            <a:ext uri="{FF2B5EF4-FFF2-40B4-BE49-F238E27FC236}">
              <a16:creationId xmlns:a16="http://schemas.microsoft.com/office/drawing/2014/main" id="{00000000-0008-0000-0200-00001C000000}"/>
            </a:ext>
          </a:extLst>
        </xdr:cNvPr>
        <xdr:cNvGrpSpPr/>
      </xdr:nvGrpSpPr>
      <xdr:grpSpPr>
        <a:xfrm>
          <a:off x="22755225" y="5212054"/>
          <a:ext cx="5238750" cy="2613686"/>
          <a:chOff x="53788" y="7797326"/>
          <a:chExt cx="5629836" cy="2628627"/>
        </a:xfrm>
      </xdr:grpSpPr>
      <xdr:sp macro="" textlink="">
        <xdr:nvSpPr>
          <xdr:cNvPr id="29" name="正方形/長方形 28">
            <a:extLst>
              <a:ext uri="{FF2B5EF4-FFF2-40B4-BE49-F238E27FC236}">
                <a16:creationId xmlns:a16="http://schemas.microsoft.com/office/drawing/2014/main" id="{00000000-0008-0000-0200-00001D000000}"/>
              </a:ext>
            </a:extLst>
          </xdr:cNvPr>
          <xdr:cNvSpPr/>
        </xdr:nvSpPr>
        <xdr:spPr bwMode="auto">
          <a:xfrm>
            <a:off x="53788" y="7797326"/>
            <a:ext cx="5629836" cy="2628627"/>
          </a:xfrm>
          <a:prstGeom prst="rect">
            <a:avLst/>
          </a:prstGeom>
          <a:solidFill>
            <a:srgbClr val="FFFFFF"/>
          </a:solidFill>
          <a:ln w="9525" cap="flat" cmpd="sng" algn="ctr">
            <a:solidFill>
              <a:srgbClr val="000000"/>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wrap="square" lIns="18288" tIns="0" rIns="0" bIns="0" rtlCol="0" anchor="t" upright="1"/>
          <a:lstStyle/>
          <a:p>
            <a:pPr algn="l"/>
            <a:r>
              <a:rPr kumimoji="1" lang="en-US" altLang="ja-JP" sz="1200" b="0" u="sng"/>
              <a:t> Measurement of </a:t>
            </a:r>
          </a:p>
          <a:p>
            <a:pPr algn="l"/>
            <a:r>
              <a:rPr kumimoji="1" lang="en-US" altLang="ja-JP" sz="1200" b="0" u="sng"/>
              <a:t> Rated current for Self Temperature rise I typ. </a:t>
            </a:r>
            <a:r>
              <a:rPr kumimoji="1" lang="en-US" altLang="ja-JP" sz="1600" b="1" u="sng"/>
              <a:t>for Non-Automotive Parts</a:t>
            </a:r>
            <a:endParaRPr kumimoji="1" lang="ja-JP" altLang="en-US" sz="1200" b="1" u="sng"/>
          </a:p>
        </xdr:txBody>
      </xdr:sp>
      <xdr:pic>
        <xdr:nvPicPr>
          <xdr:cNvPr id="30" name="図 29">
            <a:extLst>
              <a:ext uri="{FF2B5EF4-FFF2-40B4-BE49-F238E27FC236}">
                <a16:creationId xmlns:a16="http://schemas.microsoft.com/office/drawing/2014/main" id="{00000000-0008-0000-0200-00001E000000}"/>
              </a:ext>
            </a:extLst>
          </xdr:cNvPr>
          <xdr:cNvPicPr>
            <a:picLocks noChangeAspect="1"/>
          </xdr:cNvPicPr>
        </xdr:nvPicPr>
        <xdr:blipFill>
          <a:blip xmlns:r="http://schemas.openxmlformats.org/officeDocument/2006/relationships" r:embed="rId1"/>
          <a:stretch>
            <a:fillRect/>
          </a:stretch>
        </xdr:blipFill>
        <xdr:spPr>
          <a:xfrm>
            <a:off x="2770094" y="8310282"/>
            <a:ext cx="2798307" cy="1944793"/>
          </a:xfrm>
          <a:prstGeom prst="rect">
            <a:avLst/>
          </a:prstGeom>
        </xdr:spPr>
      </xdr:pic>
      <xdr:pic>
        <xdr:nvPicPr>
          <xdr:cNvPr id="31" name="図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2"/>
          <a:stretch>
            <a:fillRect/>
          </a:stretch>
        </xdr:blipFill>
        <xdr:spPr>
          <a:xfrm>
            <a:off x="107575" y="8319248"/>
            <a:ext cx="2645893" cy="1950889"/>
          </a:xfrm>
          <a:prstGeom prst="rect">
            <a:avLst/>
          </a:prstGeom>
        </xdr:spPr>
      </xdr:pic>
      <xdr:cxnSp macro="">
        <xdr:nvCxnSpPr>
          <xdr:cNvPr id="32" name="直線コネクタ 31">
            <a:extLst>
              <a:ext uri="{FF2B5EF4-FFF2-40B4-BE49-F238E27FC236}">
                <a16:creationId xmlns:a16="http://schemas.microsoft.com/office/drawing/2014/main" id="{00000000-0008-0000-0200-000020000000}"/>
              </a:ext>
            </a:extLst>
          </xdr:cNvPr>
          <xdr:cNvCxnSpPr/>
        </xdr:nvCxnSpPr>
        <xdr:spPr bwMode="auto">
          <a:xfrm>
            <a:off x="2707341" y="8420809"/>
            <a:ext cx="0" cy="1810449"/>
          </a:xfrm>
          <a:prstGeom prst="line">
            <a:avLst/>
          </a:prstGeom>
          <a:solidFill>
            <a:srgbClr val="FFFFFF"/>
          </a:solidFill>
          <a:ln w="9525" cap="flat" cmpd="sng" algn="ctr">
            <a:solidFill>
              <a:srgbClr val="000000"/>
            </a:solidFill>
            <a:prstDash val="solid"/>
            <a:round/>
            <a:headEnd type="none" w="med" len="med"/>
            <a:tailEnd type="none" w="med" len="med"/>
          </a:ln>
          <a:effectLst/>
        </xdr:spPr>
      </xdr:cxnSp>
    </xdr:grpSp>
    <xdr:clientData/>
  </xdr:twoCellAnchor>
  <xdr:twoCellAnchor editAs="oneCell">
    <xdr:from>
      <xdr:col>43</xdr:col>
      <xdr:colOff>392490</xdr:colOff>
      <xdr:row>0</xdr:row>
      <xdr:rowOff>0</xdr:rowOff>
    </xdr:from>
    <xdr:to>
      <xdr:col>44</xdr:col>
      <xdr:colOff>245745</xdr:colOff>
      <xdr:row>2</xdr:row>
      <xdr:rowOff>41855</xdr:rowOff>
    </xdr:to>
    <xdr:pic>
      <xdr:nvPicPr>
        <xdr:cNvPr id="18" name="図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a:stretch>
          <a:fillRect/>
        </a:stretch>
      </xdr:blipFill>
      <xdr:spPr>
        <a:xfrm>
          <a:off x="3739575" y="0"/>
          <a:ext cx="470475" cy="441905"/>
        </a:xfrm>
        <a:prstGeom prst="rect">
          <a:avLst/>
        </a:prstGeom>
      </xdr:spPr>
    </xdr:pic>
    <xdr:clientData/>
  </xdr:twoCellAnchor>
  <xdr:twoCellAnchor editAs="oneCell">
    <xdr:from>
      <xdr:col>44</xdr:col>
      <xdr:colOff>304800</xdr:colOff>
      <xdr:row>0</xdr:row>
      <xdr:rowOff>93296</xdr:rowOff>
    </xdr:from>
    <xdr:to>
      <xdr:col>45</xdr:col>
      <xdr:colOff>95250</xdr:colOff>
      <xdr:row>2</xdr:row>
      <xdr:rowOff>20906</xdr:rowOff>
    </xdr:to>
    <xdr:pic>
      <xdr:nvPicPr>
        <xdr:cNvPr id="19" name="図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4"/>
        <a:stretch>
          <a:fillRect/>
        </a:stretch>
      </xdr:blipFill>
      <xdr:spPr>
        <a:xfrm>
          <a:off x="4257675" y="97106"/>
          <a:ext cx="392430" cy="323850"/>
        </a:xfrm>
        <a:prstGeom prst="rect">
          <a:avLst/>
        </a:prstGeom>
      </xdr:spPr>
    </xdr:pic>
    <xdr:clientData/>
  </xdr:twoCellAnchor>
  <xdr:twoCellAnchor>
    <xdr:from>
      <xdr:col>49</xdr:col>
      <xdr:colOff>693420</xdr:colOff>
      <xdr:row>1</xdr:row>
      <xdr:rowOff>114300</xdr:rowOff>
    </xdr:from>
    <xdr:to>
      <xdr:col>52</xdr:col>
      <xdr:colOff>974785</xdr:colOff>
      <xdr:row>2</xdr:row>
      <xdr:rowOff>118233</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8206740" y="312420"/>
          <a:ext cx="2033965" cy="202053"/>
        </a:xfrm>
        <a:prstGeom prst="rect">
          <a:avLst/>
        </a:prstGeom>
        <a:noFill/>
        <a:ln w="9525" cmpd="sng">
          <a:noFill/>
        </a:ln>
        <a:effectLst>
          <a:outerShdw blurRad="50800" dist="12700" dir="10800000" algn="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marL="0" marR="0" indent="0" algn="r" defTabSz="914400" eaLnBrk="1" fontAlgn="auto" latinLnBrk="0" hangingPunct="1">
            <a:lnSpc>
              <a:spcPct val="100000"/>
            </a:lnSpc>
            <a:spcBef>
              <a:spcPts val="0"/>
            </a:spcBef>
            <a:spcAft>
              <a:spcPts val="0"/>
            </a:spcAft>
            <a:buClrTx/>
            <a:buSzTx/>
            <a:buFontTx/>
            <a:buNone/>
            <a:tabLst/>
            <a:defRPr/>
          </a:pPr>
          <a:r>
            <a:rPr kumimoji="1" lang="en-US" altLang="ja-JP" sz="1200" b="0" i="1" u="none" baseline="0">
              <a:solidFill>
                <a:sysClr val="windowText" lastClr="000000"/>
              </a:solidFill>
              <a:effectLst/>
              <a:latin typeface="+mn-lt"/>
              <a:ea typeface="+mn-ea"/>
              <a:cs typeface="+mn-cs"/>
            </a:rPr>
            <a:t>Last data update - 21.Oct.2024</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457200</xdr:colOff>
      <xdr:row>5</xdr:row>
      <xdr:rowOff>31750</xdr:rowOff>
    </xdr:from>
    <xdr:to>
      <xdr:col>23</xdr:col>
      <xdr:colOff>243417</xdr:colOff>
      <xdr:row>46</xdr:row>
      <xdr:rowOff>127000</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bwMode="auto">
        <a:xfrm>
          <a:off x="1676400" y="791845"/>
          <a:ext cx="12591627" cy="6349365"/>
        </a:xfrm>
        <a:prstGeom prst="roundRect">
          <a:avLst/>
        </a:prstGeom>
        <a:solidFill>
          <a:srgbClr val="0070C0"/>
        </a:solidFill>
        <a:ln w="9525" cap="flat" cmpd="sng" algn="ctr">
          <a:solidFill>
            <a:srgbClr val="0070C0"/>
          </a:solidFill>
          <a:prstDash val="solid"/>
          <a:round/>
          <a:headEnd type="none" w="med" len="med"/>
          <a:tailEnd type="none" w="med" len="med"/>
        </a:ln>
        <a:effectLst>
          <a:outerShdw blurRad="63500" sx="102000" sy="102000" algn="ctr" rotWithShape="0">
            <a:prstClr val="black">
              <a:alpha val="40000"/>
            </a:prstClr>
          </a:outerShdw>
        </a:effectLst>
      </xdr:spPr>
      <xdr:txBody>
        <a:bodyPr vertOverflow="clip" wrap="square" lIns="18288" tIns="0" rIns="0" bIns="0" rtlCol="0" anchor="ctr" upright="1"/>
        <a:lstStyle/>
        <a:p>
          <a:pPr algn="ctr"/>
          <a:r>
            <a:rPr lang="en-US" sz="2800" b="1">
              <a:solidFill>
                <a:schemeClr val="bg1"/>
              </a:solidFill>
              <a:latin typeface="Meiryo UI" panose="020B0604030504040204" pitchFamily="34" charset="-128"/>
              <a:ea typeface="Meiryo UI" panose="020B0604030504040204" pitchFamily="34" charset="-128"/>
              <a:cs typeface="Microsoft Himalaya" panose="01010100010101010101" pitchFamily="2" charset="0"/>
            </a:rPr>
            <a:t>Disclaimer</a:t>
          </a:r>
        </a:p>
        <a:p>
          <a:pPr algn="l"/>
          <a:endParaRPr lang="en-US" sz="20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20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r>
            <a:rPr lang="en-US" sz="18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-This selection tool is</a:t>
          </a:r>
          <a:r>
            <a:rPr lang="en-US" sz="1800" baseline="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 for engineering reference only. </a:t>
          </a:r>
        </a:p>
        <a:p>
          <a:pPr algn="l"/>
          <a:r>
            <a:rPr lang="en-US" sz="1800" baseline="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-Product availability subject to change without notice.</a:t>
          </a:r>
        </a:p>
        <a:p>
          <a:pPr algn="l"/>
          <a:r>
            <a:rPr lang="en-US" sz="18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-Please contact Panasonic for technical specifications before purchase and / or use. </a:t>
          </a:r>
        </a:p>
        <a:p>
          <a:pPr algn="l"/>
          <a:endParaRPr lang="en-US" sz="12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2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endPar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endParaRPr>
        </a:p>
        <a:p>
          <a:pPr algn="l"/>
          <a:r>
            <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©Panasonic Industry Europe GmbH </a:t>
          </a:r>
        </a:p>
        <a:p>
          <a:pPr algn="l"/>
          <a:r>
            <a:rPr lang="en-US" sz="1400">
              <a:solidFill>
                <a:schemeClr val="bg1"/>
              </a:solidFill>
              <a:latin typeface="Meiryo UI" panose="020B0604030504040204" pitchFamily="34" charset="-128"/>
              <a:ea typeface="Meiryo UI" panose="020B0604030504040204" pitchFamily="34" charset="-128"/>
              <a:cs typeface="Microsoft Himalaya" panose="01010100010101010101" pitchFamily="2" charset="0"/>
            </a:rPr>
            <a:t>www.industry.panasonic.eu</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26</xdr:col>
      <xdr:colOff>17929</xdr:colOff>
      <xdr:row>129</xdr:row>
      <xdr:rowOff>1</xdr:rowOff>
    </xdr:from>
    <xdr:to>
      <xdr:col>27</xdr:col>
      <xdr:colOff>0</xdr:colOff>
      <xdr:row>134</xdr:row>
      <xdr:rowOff>1</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bwMode="auto">
        <a:xfrm>
          <a:off x="22313153" y="23415813"/>
          <a:ext cx="914400" cy="896470"/>
        </a:xfrm>
        <a:prstGeom prst="rect">
          <a:avLst/>
        </a:prstGeom>
        <a:noFill/>
        <a:ln>
          <a:solidFill>
            <a:srgbClr val="FF0000"/>
          </a:solid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l"/>
          <a:r>
            <a:rPr kumimoji="1" lang="ja-JP" altLang="en-US" sz="1100" b="1">
              <a:solidFill>
                <a:srgbClr val="FF0000"/>
              </a:solidFill>
            </a:rPr>
            <a:t>確認済み</a:t>
          </a:r>
          <a:endParaRPr kumimoji="1" lang="en-US" altLang="ja-JP" sz="1100" b="1">
            <a:solidFill>
              <a:srgbClr val="FF0000"/>
            </a:solidFill>
          </a:endParaRPr>
        </a:p>
      </xdr:txBody>
    </xdr:sp>
    <xdr:clientData/>
  </xdr:twoCellAnchor>
  <xdr:twoCellAnchor>
    <xdr:from>
      <xdr:col>62</xdr:col>
      <xdr:colOff>519953</xdr:colOff>
      <xdr:row>0</xdr:row>
      <xdr:rowOff>1</xdr:rowOff>
    </xdr:from>
    <xdr:to>
      <xdr:col>76</xdr:col>
      <xdr:colOff>448235</xdr:colOff>
      <xdr:row>4</xdr:row>
      <xdr:rowOff>89649</xdr:rowOff>
    </xdr:to>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a:off x="54496447" y="1"/>
          <a:ext cx="5988423" cy="806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100" b="1">
              <a:latin typeface="Meiryo UI" panose="020B0604030504040204" pitchFamily="50" charset="-128"/>
              <a:ea typeface="Meiryo UI" panose="020B0604030504040204" pitchFamily="50" charset="-128"/>
            </a:rPr>
            <a:t>要取り組み</a:t>
          </a:r>
          <a:endParaRPr kumimoji="1" lang="en-US" altLang="ja-JP" sz="1100" b="1">
            <a:latin typeface="Meiryo UI" panose="020B0604030504040204" pitchFamily="50" charset="-128"/>
            <a:ea typeface="Meiryo UI" panose="020B0604030504040204" pitchFamily="50" charset="-128"/>
          </a:endParaRPr>
        </a:p>
        <a:p>
          <a:r>
            <a:rPr kumimoji="1" lang="ja-JP" altLang="en-US" sz="1100" b="1">
              <a:latin typeface="Meiryo UI" panose="020B0604030504040204" pitchFamily="50" charset="-128"/>
              <a:ea typeface="Meiryo UI" panose="020B0604030504040204" pitchFamily="50" charset="-128"/>
            </a:rPr>
            <a:t>インダクタ選定条件は値の近いものが多いので、ランクを個別のパラメータで付けるのは</a:t>
          </a:r>
          <a:r>
            <a:rPr kumimoji="1" lang="en-US" altLang="ja-JP" sz="1100" b="1">
              <a:latin typeface="Meiryo UI" panose="020B0604030504040204" pitchFamily="50" charset="-128"/>
              <a:ea typeface="Meiryo UI" panose="020B0604030504040204" pitchFamily="50" charset="-128"/>
            </a:rPr>
            <a:t>NG</a:t>
          </a:r>
          <a:r>
            <a:rPr kumimoji="1" lang="ja-JP" altLang="en-US" sz="1100" b="1">
              <a:latin typeface="Meiryo UI" panose="020B0604030504040204" pitchFamily="50" charset="-128"/>
              <a:ea typeface="Meiryo UI" panose="020B0604030504040204" pitchFamily="50" charset="-128"/>
            </a:rPr>
            <a:t>。</a:t>
          </a:r>
          <a:endParaRPr kumimoji="1" lang="en-US" altLang="ja-JP" sz="1100" b="1">
            <a:latin typeface="Meiryo UI" panose="020B0604030504040204" pitchFamily="50" charset="-128"/>
            <a:ea typeface="Meiryo UI" panose="020B0604030504040204" pitchFamily="50" charset="-128"/>
          </a:endParaRPr>
        </a:p>
        <a:p>
          <a:r>
            <a:rPr kumimoji="1" lang="ja-JP" altLang="en-US" sz="1100" b="1">
              <a:latin typeface="Meiryo UI" panose="020B0604030504040204" pitchFamily="50" charset="-128"/>
              <a:ea typeface="Meiryo UI" panose="020B0604030504040204" pitchFamily="50" charset="-128"/>
            </a:rPr>
            <a:t>総合的に価の大きいものを上位表示する方がよさげ。→のちの課題として改善する。→済み。</a:t>
          </a:r>
          <a:endParaRPr kumimoji="1" lang="en-US" altLang="ja-JP" sz="1100" b="1">
            <a:latin typeface="Meiryo UI" panose="020B0604030504040204" pitchFamily="50" charset="-128"/>
            <a:ea typeface="Meiryo UI" panose="020B0604030504040204" pitchFamily="50" charset="-128"/>
          </a:endParaRPr>
        </a:p>
      </xdr:txBody>
    </xdr:sp>
    <xdr:clientData/>
  </xdr:twoCellAnchor>
  <xdr:twoCellAnchor>
    <xdr:from>
      <xdr:col>26</xdr:col>
      <xdr:colOff>17929</xdr:colOff>
      <xdr:row>129</xdr:row>
      <xdr:rowOff>1</xdr:rowOff>
    </xdr:from>
    <xdr:to>
      <xdr:col>27</xdr:col>
      <xdr:colOff>0</xdr:colOff>
      <xdr:row>134</xdr:row>
      <xdr:rowOff>1</xdr:rowOff>
    </xdr:to>
    <xdr:sp macro="" textlink="">
      <xdr:nvSpPr>
        <xdr:cNvPr id="4" name="正方形/長方形 3">
          <a:extLst>
            <a:ext uri="{FF2B5EF4-FFF2-40B4-BE49-F238E27FC236}">
              <a16:creationId xmlns:a16="http://schemas.microsoft.com/office/drawing/2014/main" id="{00000000-0008-0000-0500-000004000000}"/>
            </a:ext>
          </a:extLst>
        </xdr:cNvPr>
        <xdr:cNvSpPr/>
      </xdr:nvSpPr>
      <xdr:spPr bwMode="auto">
        <a:xfrm>
          <a:off x="20790049" y="22905721"/>
          <a:ext cx="911711" cy="876300"/>
        </a:xfrm>
        <a:prstGeom prst="rect">
          <a:avLst/>
        </a:prstGeom>
        <a:noFill/>
        <a:ln>
          <a:solidFill>
            <a:srgbClr val="FF0000"/>
          </a:solid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l"/>
          <a:r>
            <a:rPr kumimoji="1" lang="ja-JP" altLang="en-US" sz="1100" b="1">
              <a:solidFill>
                <a:srgbClr val="FF0000"/>
              </a:solidFill>
            </a:rPr>
            <a:t>確認済み</a:t>
          </a:r>
          <a:endParaRPr kumimoji="1" lang="en-US" altLang="ja-JP" sz="1100" b="1">
            <a:solidFill>
              <a:srgbClr val="FF0000"/>
            </a:solidFill>
          </a:endParaRPr>
        </a:p>
      </xdr:txBody>
    </xdr:sp>
    <xdr:clientData/>
  </xdr:twoCellAnchor>
  <xdr:twoCellAnchor>
    <xdr:from>
      <xdr:col>26</xdr:col>
      <xdr:colOff>17929</xdr:colOff>
      <xdr:row>124</xdr:row>
      <xdr:rowOff>0</xdr:rowOff>
    </xdr:from>
    <xdr:to>
      <xdr:col>27</xdr:col>
      <xdr:colOff>0</xdr:colOff>
      <xdr:row>160</xdr:row>
      <xdr:rowOff>0</xdr:rowOff>
    </xdr:to>
    <xdr:sp macro="" textlink="">
      <xdr:nvSpPr>
        <xdr:cNvPr id="5" name="正方形/長方形 4">
          <a:extLst>
            <a:ext uri="{FF2B5EF4-FFF2-40B4-BE49-F238E27FC236}">
              <a16:creationId xmlns:a16="http://schemas.microsoft.com/office/drawing/2014/main" id="{7647DE2A-B089-7065-60C3-4CD6160E0514}"/>
            </a:ext>
          </a:extLst>
        </xdr:cNvPr>
        <xdr:cNvSpPr/>
      </xdr:nvSpPr>
      <xdr:spPr bwMode="auto">
        <a:xfrm>
          <a:off x="20822534" y="21486395"/>
          <a:ext cx="914519" cy="6136105"/>
        </a:xfrm>
        <a:prstGeom prst="rect">
          <a:avLst/>
        </a:prstGeom>
        <a:noFill/>
        <a:ln>
          <a:solidFill>
            <a:srgbClr val="FF0000"/>
          </a:solidFill>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wrap="square" lIns="18288" tIns="0" rIns="0" bIns="0" rtlCol="0" anchor="ctr" upright="1"/>
        <a:lstStyle/>
        <a:p>
          <a:pPr algn="l"/>
          <a:r>
            <a:rPr kumimoji="1" lang="ja-JP" altLang="en-US" sz="900" b="1">
              <a:solidFill>
                <a:srgbClr val="FF0000"/>
              </a:solidFill>
            </a:rPr>
            <a:t>指導により</a:t>
          </a:r>
          <a:endParaRPr kumimoji="1" lang="en-US" altLang="ja-JP" sz="900" b="1">
            <a:solidFill>
              <a:srgbClr val="FF0000"/>
            </a:solidFill>
          </a:endParaRPr>
        </a:p>
        <a:p>
          <a:pPr algn="l"/>
          <a:r>
            <a:rPr kumimoji="1" lang="ja-JP" altLang="en-US" sz="900" b="1">
              <a:solidFill>
                <a:srgbClr val="FF0000"/>
              </a:solidFill>
            </a:rPr>
            <a:t>データ</a:t>
          </a:r>
          <a:endParaRPr kumimoji="1" lang="en-US" altLang="ja-JP" sz="900" b="1">
            <a:solidFill>
              <a:srgbClr val="FF0000"/>
            </a:solidFill>
          </a:endParaRPr>
        </a:p>
        <a:p>
          <a:pPr algn="l"/>
          <a:r>
            <a:rPr kumimoji="1" lang="ja-JP" altLang="en-US" sz="900" b="1">
              <a:solidFill>
                <a:srgbClr val="FF0000"/>
              </a:solidFill>
            </a:rPr>
            <a:t>シートから</a:t>
          </a:r>
          <a:endParaRPr kumimoji="1" lang="en-US" altLang="ja-JP" sz="900" b="1">
            <a:solidFill>
              <a:srgbClr val="FF0000"/>
            </a:solidFill>
          </a:endParaRPr>
        </a:p>
        <a:p>
          <a:pPr algn="l"/>
          <a:r>
            <a:rPr kumimoji="1" lang="ja-JP" altLang="en-US" sz="900" b="1">
              <a:solidFill>
                <a:srgbClr val="FF0000"/>
              </a:solidFill>
            </a:rPr>
            <a:t>読み取り</a:t>
          </a:r>
          <a:endParaRPr kumimoji="1" lang="en-US" altLang="ja-JP" sz="900" b="1">
            <a:solidFill>
              <a:srgbClr val="FF0000"/>
            </a:solidFill>
          </a:endParaRPr>
        </a:p>
      </xdr:txBody>
    </xdr:sp>
    <xdr:clientData/>
  </xdr:twoCellAnchor>
  <xdr:twoCellAnchor>
    <xdr:from>
      <xdr:col>26</xdr:col>
      <xdr:colOff>276904</xdr:colOff>
      <xdr:row>162</xdr:row>
      <xdr:rowOff>32198</xdr:rowOff>
    </xdr:from>
    <xdr:to>
      <xdr:col>27</xdr:col>
      <xdr:colOff>32609</xdr:colOff>
      <xdr:row>164</xdr:row>
      <xdr:rowOff>126508</xdr:rowOff>
    </xdr:to>
    <xdr:grpSp>
      <xdr:nvGrpSpPr>
        <xdr:cNvPr id="7" name="グループ化 6">
          <a:extLst>
            <a:ext uri="{FF2B5EF4-FFF2-40B4-BE49-F238E27FC236}">
              <a16:creationId xmlns:a16="http://schemas.microsoft.com/office/drawing/2014/main" id="{640A36FF-FA8F-4E86-7511-E4D4D0802916}"/>
            </a:ext>
          </a:extLst>
        </xdr:cNvPr>
        <xdr:cNvGrpSpPr/>
      </xdr:nvGrpSpPr>
      <xdr:grpSpPr>
        <a:xfrm>
          <a:off x="20479930" y="30411935"/>
          <a:ext cx="658074" cy="445231"/>
          <a:chOff x="335280" y="1598610"/>
          <a:chExt cx="1068694" cy="1068693"/>
        </a:xfrm>
        <a:noFill/>
      </xdr:grpSpPr>
      <xdr:grpSp>
        <xdr:nvGrpSpPr>
          <xdr:cNvPr id="8" name="グループ化 7">
            <a:extLst>
              <a:ext uri="{FF2B5EF4-FFF2-40B4-BE49-F238E27FC236}">
                <a16:creationId xmlns:a16="http://schemas.microsoft.com/office/drawing/2014/main" id="{F9960142-A7FF-5B58-7277-FDFB755D1224}"/>
              </a:ext>
            </a:extLst>
          </xdr:cNvPr>
          <xdr:cNvGrpSpPr/>
        </xdr:nvGrpSpPr>
        <xdr:grpSpPr>
          <a:xfrm>
            <a:off x="335280" y="1598610"/>
            <a:ext cx="216000" cy="1068693"/>
            <a:chOff x="335280" y="1598610"/>
            <a:chExt cx="216000" cy="1068693"/>
          </a:xfrm>
          <a:grpFill/>
        </xdr:grpSpPr>
        <xdr:sp macro="" textlink="">
          <xdr:nvSpPr>
            <xdr:cNvPr id="33" name="正方形/長方形 32">
              <a:extLst>
                <a:ext uri="{FF2B5EF4-FFF2-40B4-BE49-F238E27FC236}">
                  <a16:creationId xmlns:a16="http://schemas.microsoft.com/office/drawing/2014/main" id="{57846F0F-92C5-2B82-16F0-E52EF1F7B34A}"/>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4" name="正方形/長方形 33">
              <a:extLst>
                <a:ext uri="{FF2B5EF4-FFF2-40B4-BE49-F238E27FC236}">
                  <a16:creationId xmlns:a16="http://schemas.microsoft.com/office/drawing/2014/main" id="{A0212BBE-B028-96A3-C3C4-9EF2C76A9E35}"/>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5" name="正方形/長方形 34">
              <a:extLst>
                <a:ext uri="{FF2B5EF4-FFF2-40B4-BE49-F238E27FC236}">
                  <a16:creationId xmlns:a16="http://schemas.microsoft.com/office/drawing/2014/main" id="{C98D0DD1-6FB2-0C15-BF22-67BAC934E31B}"/>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6" name="正方形/長方形 35">
              <a:extLst>
                <a:ext uri="{FF2B5EF4-FFF2-40B4-BE49-F238E27FC236}">
                  <a16:creationId xmlns:a16="http://schemas.microsoft.com/office/drawing/2014/main" id="{EF7E181E-A273-3A6C-9554-D435C61D9CBE}"/>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7" name="正方形/長方形 36">
              <a:extLst>
                <a:ext uri="{FF2B5EF4-FFF2-40B4-BE49-F238E27FC236}">
                  <a16:creationId xmlns:a16="http://schemas.microsoft.com/office/drawing/2014/main" id="{603808B8-7387-04AE-302A-E777785D02AB}"/>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9" name="グループ化 8">
            <a:extLst>
              <a:ext uri="{FF2B5EF4-FFF2-40B4-BE49-F238E27FC236}">
                <a16:creationId xmlns:a16="http://schemas.microsoft.com/office/drawing/2014/main" id="{305C4A37-81AA-A387-D0CD-A654427CBDE7}"/>
              </a:ext>
            </a:extLst>
          </xdr:cNvPr>
          <xdr:cNvGrpSpPr/>
        </xdr:nvGrpSpPr>
        <xdr:grpSpPr>
          <a:xfrm>
            <a:off x="548454" y="1598610"/>
            <a:ext cx="216000" cy="1068693"/>
            <a:chOff x="335280" y="1598610"/>
            <a:chExt cx="216000" cy="1068693"/>
          </a:xfrm>
          <a:grpFill/>
        </xdr:grpSpPr>
        <xdr:sp macro="" textlink="">
          <xdr:nvSpPr>
            <xdr:cNvPr id="28" name="正方形/長方形 27">
              <a:extLst>
                <a:ext uri="{FF2B5EF4-FFF2-40B4-BE49-F238E27FC236}">
                  <a16:creationId xmlns:a16="http://schemas.microsoft.com/office/drawing/2014/main" id="{CA20D972-4641-D426-4452-354FC9841B55}"/>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9" name="正方形/長方形 28">
              <a:extLst>
                <a:ext uri="{FF2B5EF4-FFF2-40B4-BE49-F238E27FC236}">
                  <a16:creationId xmlns:a16="http://schemas.microsoft.com/office/drawing/2014/main" id="{F1570C10-3AA4-A4EB-4FA5-8BBB28EB8BC3}"/>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0" name="正方形/長方形 29">
              <a:extLst>
                <a:ext uri="{FF2B5EF4-FFF2-40B4-BE49-F238E27FC236}">
                  <a16:creationId xmlns:a16="http://schemas.microsoft.com/office/drawing/2014/main" id="{05E83ECD-4AD1-1F48-2459-8E7D5F04A660}"/>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1" name="正方形/長方形 30">
              <a:extLst>
                <a:ext uri="{FF2B5EF4-FFF2-40B4-BE49-F238E27FC236}">
                  <a16:creationId xmlns:a16="http://schemas.microsoft.com/office/drawing/2014/main" id="{E155FC0D-D161-600D-3A93-BC6BBA2C22BC}"/>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32" name="正方形/長方形 31">
              <a:extLst>
                <a:ext uri="{FF2B5EF4-FFF2-40B4-BE49-F238E27FC236}">
                  <a16:creationId xmlns:a16="http://schemas.microsoft.com/office/drawing/2014/main" id="{B04752A4-0EBB-1B31-C3D8-F63524CF35D7}"/>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10" name="グループ化 9">
            <a:extLst>
              <a:ext uri="{FF2B5EF4-FFF2-40B4-BE49-F238E27FC236}">
                <a16:creationId xmlns:a16="http://schemas.microsoft.com/office/drawing/2014/main" id="{435C3382-00BB-6855-474E-DAB4CE37FFDA}"/>
              </a:ext>
            </a:extLst>
          </xdr:cNvPr>
          <xdr:cNvGrpSpPr/>
        </xdr:nvGrpSpPr>
        <xdr:grpSpPr>
          <a:xfrm>
            <a:off x="761626" y="1598610"/>
            <a:ext cx="216000" cy="1068693"/>
            <a:chOff x="335280" y="1598610"/>
            <a:chExt cx="216000" cy="1068693"/>
          </a:xfrm>
          <a:grpFill/>
        </xdr:grpSpPr>
        <xdr:sp macro="" textlink="">
          <xdr:nvSpPr>
            <xdr:cNvPr id="23" name="正方形/長方形 22">
              <a:extLst>
                <a:ext uri="{FF2B5EF4-FFF2-40B4-BE49-F238E27FC236}">
                  <a16:creationId xmlns:a16="http://schemas.microsoft.com/office/drawing/2014/main" id="{B01DA295-857C-ADD0-4586-16C027909548}"/>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4" name="正方形/長方形 23">
              <a:extLst>
                <a:ext uri="{FF2B5EF4-FFF2-40B4-BE49-F238E27FC236}">
                  <a16:creationId xmlns:a16="http://schemas.microsoft.com/office/drawing/2014/main" id="{BEF0149B-985C-D5E9-5270-7E5EC1AE71A1}"/>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5" name="正方形/長方形 24">
              <a:extLst>
                <a:ext uri="{FF2B5EF4-FFF2-40B4-BE49-F238E27FC236}">
                  <a16:creationId xmlns:a16="http://schemas.microsoft.com/office/drawing/2014/main" id="{0E35B7BA-BB76-A9E8-2761-A25DD9DC1236}"/>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6" name="正方形/長方形 25">
              <a:extLst>
                <a:ext uri="{FF2B5EF4-FFF2-40B4-BE49-F238E27FC236}">
                  <a16:creationId xmlns:a16="http://schemas.microsoft.com/office/drawing/2014/main" id="{6B86105B-721B-AF2B-7EA6-E41990278FF8}"/>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7" name="正方形/長方形 26">
              <a:extLst>
                <a:ext uri="{FF2B5EF4-FFF2-40B4-BE49-F238E27FC236}">
                  <a16:creationId xmlns:a16="http://schemas.microsoft.com/office/drawing/2014/main" id="{C9E37070-7EC2-E990-85DF-78622724107E}"/>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11" name="グループ化 10">
            <a:extLst>
              <a:ext uri="{FF2B5EF4-FFF2-40B4-BE49-F238E27FC236}">
                <a16:creationId xmlns:a16="http://schemas.microsoft.com/office/drawing/2014/main" id="{1986448C-F436-1332-289D-4B0BA79B6621}"/>
              </a:ext>
            </a:extLst>
          </xdr:cNvPr>
          <xdr:cNvGrpSpPr/>
        </xdr:nvGrpSpPr>
        <xdr:grpSpPr>
          <a:xfrm>
            <a:off x="974800" y="1598610"/>
            <a:ext cx="216000" cy="1068693"/>
            <a:chOff x="335280" y="1598610"/>
            <a:chExt cx="216000" cy="1068693"/>
          </a:xfrm>
          <a:grpFill/>
        </xdr:grpSpPr>
        <xdr:sp macro="" textlink="">
          <xdr:nvSpPr>
            <xdr:cNvPr id="18" name="正方形/長方形 17">
              <a:extLst>
                <a:ext uri="{FF2B5EF4-FFF2-40B4-BE49-F238E27FC236}">
                  <a16:creationId xmlns:a16="http://schemas.microsoft.com/office/drawing/2014/main" id="{25258E67-B8FB-2541-FB86-92029D0F0464}"/>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9" name="正方形/長方形 18">
              <a:extLst>
                <a:ext uri="{FF2B5EF4-FFF2-40B4-BE49-F238E27FC236}">
                  <a16:creationId xmlns:a16="http://schemas.microsoft.com/office/drawing/2014/main" id="{DFE72F1A-1AFD-9333-8967-024815CE4167}"/>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0" name="正方形/長方形 19">
              <a:extLst>
                <a:ext uri="{FF2B5EF4-FFF2-40B4-BE49-F238E27FC236}">
                  <a16:creationId xmlns:a16="http://schemas.microsoft.com/office/drawing/2014/main" id="{A8A9A2D4-72FC-0700-03D7-946C8D3510E0}"/>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1" name="正方形/長方形 20">
              <a:extLst>
                <a:ext uri="{FF2B5EF4-FFF2-40B4-BE49-F238E27FC236}">
                  <a16:creationId xmlns:a16="http://schemas.microsoft.com/office/drawing/2014/main" id="{A81E7813-9243-5493-964A-C8B9278B3F0F}"/>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22" name="正方形/長方形 21">
              <a:extLst>
                <a:ext uri="{FF2B5EF4-FFF2-40B4-BE49-F238E27FC236}">
                  <a16:creationId xmlns:a16="http://schemas.microsoft.com/office/drawing/2014/main" id="{4FE02E76-33EA-4F8F-EF53-277744D2B0BC}"/>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nvGrpSpPr>
          <xdr:cNvPr id="12" name="グループ化 11">
            <a:extLst>
              <a:ext uri="{FF2B5EF4-FFF2-40B4-BE49-F238E27FC236}">
                <a16:creationId xmlns:a16="http://schemas.microsoft.com/office/drawing/2014/main" id="{33B850F6-68D6-C4D8-30ED-234929A59EE6}"/>
              </a:ext>
            </a:extLst>
          </xdr:cNvPr>
          <xdr:cNvGrpSpPr/>
        </xdr:nvGrpSpPr>
        <xdr:grpSpPr>
          <a:xfrm>
            <a:off x="1187974" y="1598610"/>
            <a:ext cx="216000" cy="1068693"/>
            <a:chOff x="335280" y="1598610"/>
            <a:chExt cx="216000" cy="1068693"/>
          </a:xfrm>
          <a:grpFill/>
        </xdr:grpSpPr>
        <xdr:sp macro="" textlink="">
          <xdr:nvSpPr>
            <xdr:cNvPr id="13" name="正方形/長方形 12">
              <a:extLst>
                <a:ext uri="{FF2B5EF4-FFF2-40B4-BE49-F238E27FC236}">
                  <a16:creationId xmlns:a16="http://schemas.microsoft.com/office/drawing/2014/main" id="{272831C9-64F6-A3D2-C43A-EA3B671A885B}"/>
                </a:ext>
              </a:extLst>
            </xdr:cNvPr>
            <xdr:cNvSpPr/>
          </xdr:nvSpPr>
          <xdr:spPr>
            <a:xfrm>
              <a:off x="335280" y="159861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4" name="正方形/長方形 13">
              <a:extLst>
                <a:ext uri="{FF2B5EF4-FFF2-40B4-BE49-F238E27FC236}">
                  <a16:creationId xmlns:a16="http://schemas.microsoft.com/office/drawing/2014/main" id="{5815BB27-4E4F-442E-509D-81B59720CF38}"/>
                </a:ext>
              </a:extLst>
            </xdr:cNvPr>
            <xdr:cNvSpPr/>
          </xdr:nvSpPr>
          <xdr:spPr>
            <a:xfrm>
              <a:off x="335280" y="1811784"/>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5" name="正方形/長方形 14">
              <a:extLst>
                <a:ext uri="{FF2B5EF4-FFF2-40B4-BE49-F238E27FC236}">
                  <a16:creationId xmlns:a16="http://schemas.microsoft.com/office/drawing/2014/main" id="{8E4152CD-1571-76AE-0513-A3BB38A81B8D}"/>
                </a:ext>
              </a:extLst>
            </xdr:cNvPr>
            <xdr:cNvSpPr/>
          </xdr:nvSpPr>
          <xdr:spPr>
            <a:xfrm>
              <a:off x="335280" y="2024957"/>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6" name="正方形/長方形 15">
              <a:extLst>
                <a:ext uri="{FF2B5EF4-FFF2-40B4-BE49-F238E27FC236}">
                  <a16:creationId xmlns:a16="http://schemas.microsoft.com/office/drawing/2014/main" id="{53FE27F1-42EF-235B-01AC-39841D61C159}"/>
                </a:ext>
              </a:extLst>
            </xdr:cNvPr>
            <xdr:cNvSpPr/>
          </xdr:nvSpPr>
          <xdr:spPr>
            <a:xfrm>
              <a:off x="335280" y="2238130"/>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sp macro="" textlink="">
          <xdr:nvSpPr>
            <xdr:cNvPr id="17" name="正方形/長方形 16">
              <a:extLst>
                <a:ext uri="{FF2B5EF4-FFF2-40B4-BE49-F238E27FC236}">
                  <a16:creationId xmlns:a16="http://schemas.microsoft.com/office/drawing/2014/main" id="{FD2A6688-7CA7-E006-FECB-17811DEE1637}"/>
                </a:ext>
              </a:extLst>
            </xdr:cNvPr>
            <xdr:cNvSpPr/>
          </xdr:nvSpPr>
          <xdr:spPr>
            <a:xfrm>
              <a:off x="335280" y="2451303"/>
              <a:ext cx="216000" cy="216000"/>
            </a:xfrm>
            <a:prstGeom prst="rect">
              <a:avLst/>
            </a:prstGeom>
            <a:grpFill/>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a:endParaRPr kumimoji="1" lang="ja-JP" altLang="en-US"/>
            </a:p>
          </xdr:txBody>
        </xdr:sp>
      </xdr:grpSp>
    </xdr:grp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389724</xdr:colOff>
      <xdr:row>9</xdr:row>
      <xdr:rowOff>58167</xdr:rowOff>
    </xdr:from>
    <xdr:to>
      <xdr:col>15</xdr:col>
      <xdr:colOff>2690124</xdr:colOff>
      <xdr:row>9</xdr:row>
      <xdr:rowOff>1498167</xdr:rowOff>
    </xdr:to>
    <xdr:sp macro="" textlink="">
      <xdr:nvSpPr>
        <xdr:cNvPr id="13" name="正方形/長方形 12">
          <a:extLst>
            <a:ext uri="{FF2B5EF4-FFF2-40B4-BE49-F238E27FC236}">
              <a16:creationId xmlns:a16="http://schemas.microsoft.com/office/drawing/2014/main" id="{00000000-0008-0000-0600-00000D000000}"/>
            </a:ext>
          </a:extLst>
        </xdr:cNvPr>
        <xdr:cNvSpPr/>
      </xdr:nvSpPr>
      <xdr:spPr bwMode="auto">
        <a:xfrm>
          <a:off x="10266640" y="8731007"/>
          <a:ext cx="2300400" cy="1440000"/>
        </a:xfrm>
        <a:prstGeom prst="rect">
          <a:avLst/>
        </a:prstGeom>
        <a:gradFill>
          <a:gsLst>
            <a:gs pos="46000">
              <a:srgbClr val="111111"/>
            </a:gs>
            <a:gs pos="100000">
              <a:schemeClr val="tx1">
                <a:lumMod val="50000"/>
                <a:lumOff val="50000"/>
              </a:schemeClr>
            </a:gs>
            <a:gs pos="0">
              <a:schemeClr val="tx1"/>
            </a:gs>
          </a:gsLst>
          <a:lin ang="5400000" scaled="1"/>
        </a:gra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editAs="oneCell">
    <xdr:from>
      <xdr:col>15</xdr:col>
      <xdr:colOff>391886</xdr:colOff>
      <xdr:row>10</xdr:row>
      <xdr:rowOff>35625</xdr:rowOff>
    </xdr:from>
    <xdr:to>
      <xdr:col>15</xdr:col>
      <xdr:colOff>2688266</xdr:colOff>
      <xdr:row>15</xdr:row>
      <xdr:rowOff>48426</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rotWithShape="1">
        <a:blip xmlns:r="http://schemas.openxmlformats.org/officeDocument/2006/relationships" r:embed="rId1"/>
        <a:srcRect t="5505" b="5505"/>
        <a:stretch/>
      </xdr:blipFill>
      <xdr:spPr>
        <a:xfrm>
          <a:off x="10319657" y="10235539"/>
          <a:ext cx="2304000" cy="1440000"/>
        </a:xfrm>
        <a:prstGeom prst="rect">
          <a:avLst/>
        </a:prstGeom>
      </xdr:spPr>
    </xdr:pic>
    <xdr:clientData/>
  </xdr:twoCellAnchor>
  <xdr:twoCellAnchor editAs="oneCell">
    <xdr:from>
      <xdr:col>15</xdr:col>
      <xdr:colOff>21012</xdr:colOff>
      <xdr:row>8</xdr:row>
      <xdr:rowOff>240248</xdr:rowOff>
    </xdr:from>
    <xdr:to>
      <xdr:col>15</xdr:col>
      <xdr:colOff>2972427</xdr:colOff>
      <xdr:row>9</xdr:row>
      <xdr:rowOff>503793</xdr:rowOff>
    </xdr:to>
    <xdr:pic>
      <xdr:nvPicPr>
        <xdr:cNvPr id="6" name="図 5">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2"/>
        <a:stretch>
          <a:fillRect/>
        </a:stretch>
      </xdr:blipFill>
      <xdr:spPr>
        <a:xfrm>
          <a:off x="9944733" y="8604527"/>
          <a:ext cx="2951415" cy="1110340"/>
        </a:xfrm>
        <a:prstGeom prst="rect">
          <a:avLst/>
        </a:prstGeom>
      </xdr:spPr>
    </xdr:pic>
    <xdr:clientData/>
  </xdr:twoCellAnchor>
  <xdr:twoCellAnchor editAs="oneCell">
    <xdr:from>
      <xdr:col>15</xdr:col>
      <xdr:colOff>379467</xdr:colOff>
      <xdr:row>7</xdr:row>
      <xdr:rowOff>43543</xdr:rowOff>
    </xdr:from>
    <xdr:to>
      <xdr:col>15</xdr:col>
      <xdr:colOff>2684229</xdr:colOff>
      <xdr:row>9</xdr:row>
      <xdr:rowOff>324062</xdr:rowOff>
    </xdr:to>
    <xdr:pic>
      <xdr:nvPicPr>
        <xdr:cNvPr id="7" name="図 6">
          <a:extLst>
            <a:ext uri="{FF2B5EF4-FFF2-40B4-BE49-F238E27FC236}">
              <a16:creationId xmlns:a16="http://schemas.microsoft.com/office/drawing/2014/main" id="{00000000-0008-0000-0600-000007000000}"/>
            </a:ext>
          </a:extLst>
        </xdr:cNvPr>
        <xdr:cNvPicPr>
          <a:picLocks noChangeAspect="1"/>
        </xdr:cNvPicPr>
      </xdr:nvPicPr>
      <xdr:blipFill rotWithShape="1">
        <a:blip xmlns:r="http://schemas.openxmlformats.org/officeDocument/2006/relationships" r:embed="rId3"/>
        <a:srcRect l="10132" r="10132"/>
        <a:stretch/>
      </xdr:blipFill>
      <xdr:spPr>
        <a:xfrm>
          <a:off x="10307238" y="5671457"/>
          <a:ext cx="2300952" cy="1438095"/>
        </a:xfrm>
        <a:prstGeom prst="rect">
          <a:avLst/>
        </a:prstGeom>
      </xdr:spPr>
    </xdr:pic>
    <xdr:clientData/>
  </xdr:twoCellAnchor>
  <xdr:twoCellAnchor editAs="oneCell">
    <xdr:from>
      <xdr:col>15</xdr:col>
      <xdr:colOff>360430</xdr:colOff>
      <xdr:row>6</xdr:row>
      <xdr:rowOff>43542</xdr:rowOff>
    </xdr:from>
    <xdr:to>
      <xdr:col>15</xdr:col>
      <xdr:colOff>2655667</xdr:colOff>
      <xdr:row>8</xdr:row>
      <xdr:rowOff>200015</xdr:rowOff>
    </xdr:to>
    <xdr:pic>
      <xdr:nvPicPr>
        <xdr:cNvPr id="8" name="図 7">
          <a:extLst>
            <a:ext uri="{FF2B5EF4-FFF2-40B4-BE49-F238E27FC236}">
              <a16:creationId xmlns:a16="http://schemas.microsoft.com/office/drawing/2014/main" id="{00000000-0008-0000-0600-000008000000}"/>
            </a:ext>
          </a:extLst>
        </xdr:cNvPr>
        <xdr:cNvPicPr>
          <a:picLocks noChangeAspect="1"/>
        </xdr:cNvPicPr>
      </xdr:nvPicPr>
      <xdr:blipFill rotWithShape="1">
        <a:blip xmlns:r="http://schemas.openxmlformats.org/officeDocument/2006/relationships" r:embed="rId4"/>
        <a:srcRect l="7315" r="7315"/>
        <a:stretch/>
      </xdr:blipFill>
      <xdr:spPr>
        <a:xfrm>
          <a:off x="10288201" y="4147456"/>
          <a:ext cx="2300952" cy="1438095"/>
        </a:xfrm>
        <a:prstGeom prst="rect">
          <a:avLst/>
        </a:prstGeom>
      </xdr:spPr>
    </xdr:pic>
    <xdr:clientData/>
  </xdr:twoCellAnchor>
  <xdr:twoCellAnchor editAs="oneCell">
    <xdr:from>
      <xdr:col>15</xdr:col>
      <xdr:colOff>368610</xdr:colOff>
      <xdr:row>5</xdr:row>
      <xdr:rowOff>54428</xdr:rowOff>
    </xdr:from>
    <xdr:to>
      <xdr:col>15</xdr:col>
      <xdr:colOff>2669562</xdr:colOff>
      <xdr:row>5</xdr:row>
      <xdr:rowOff>1498238</xdr:rowOff>
    </xdr:to>
    <xdr:pic>
      <xdr:nvPicPr>
        <xdr:cNvPr id="9" name="図 8">
          <a:extLst>
            <a:ext uri="{FF2B5EF4-FFF2-40B4-BE49-F238E27FC236}">
              <a16:creationId xmlns:a16="http://schemas.microsoft.com/office/drawing/2014/main" id="{00000000-0008-0000-0600-000009000000}"/>
            </a:ext>
          </a:extLst>
        </xdr:cNvPr>
        <xdr:cNvPicPr>
          <a:picLocks noChangeAspect="1"/>
        </xdr:cNvPicPr>
      </xdr:nvPicPr>
      <xdr:blipFill rotWithShape="1">
        <a:blip xmlns:r="http://schemas.openxmlformats.org/officeDocument/2006/relationships" r:embed="rId5"/>
        <a:srcRect l="2627" r="2627"/>
        <a:stretch/>
      </xdr:blipFill>
      <xdr:spPr>
        <a:xfrm>
          <a:off x="10296381" y="2634342"/>
          <a:ext cx="2300952" cy="1438095"/>
        </a:xfrm>
        <a:prstGeom prst="rect">
          <a:avLst/>
        </a:prstGeom>
      </xdr:spPr>
    </xdr:pic>
    <xdr:clientData/>
  </xdr:twoCellAnchor>
  <xdr:twoCellAnchor editAs="oneCell">
    <xdr:from>
      <xdr:col>15</xdr:col>
      <xdr:colOff>365894</xdr:colOff>
      <xdr:row>4</xdr:row>
      <xdr:rowOff>43542</xdr:rowOff>
    </xdr:from>
    <xdr:to>
      <xdr:col>15</xdr:col>
      <xdr:colOff>2666846</xdr:colOff>
      <xdr:row>4</xdr:row>
      <xdr:rowOff>1475922</xdr:rowOff>
    </xdr:to>
    <xdr:pic>
      <xdr:nvPicPr>
        <xdr:cNvPr id="10" name="図 9">
          <a:extLst>
            <a:ext uri="{FF2B5EF4-FFF2-40B4-BE49-F238E27FC236}">
              <a16:creationId xmlns:a16="http://schemas.microsoft.com/office/drawing/2014/main" id="{00000000-0008-0000-0600-00000A000000}"/>
            </a:ext>
          </a:extLst>
        </xdr:cNvPr>
        <xdr:cNvPicPr>
          <a:picLocks noChangeAspect="1"/>
        </xdr:cNvPicPr>
      </xdr:nvPicPr>
      <xdr:blipFill rotWithShape="1">
        <a:blip xmlns:r="http://schemas.openxmlformats.org/officeDocument/2006/relationships" r:embed="rId6"/>
        <a:srcRect l="288" r="288"/>
        <a:stretch/>
      </xdr:blipFill>
      <xdr:spPr>
        <a:xfrm>
          <a:off x="10293665" y="1099456"/>
          <a:ext cx="2300952" cy="1438095"/>
        </a:xfrm>
        <a:prstGeom prst="rect">
          <a:avLst/>
        </a:prstGeom>
      </xdr:spPr>
    </xdr:pic>
    <xdr:clientData/>
  </xdr:twoCellAnchor>
  <xdr:twoCellAnchor>
    <xdr:from>
      <xdr:col>15</xdr:col>
      <xdr:colOff>1330219</xdr:colOff>
      <xdr:row>9</xdr:row>
      <xdr:rowOff>760258</xdr:rowOff>
    </xdr:from>
    <xdr:to>
      <xdr:col>15</xdr:col>
      <xdr:colOff>1798305</xdr:colOff>
      <xdr:row>9</xdr:row>
      <xdr:rowOff>912658</xdr:rowOff>
    </xdr:to>
    <xdr:sp macro="" textlink="">
      <xdr:nvSpPr>
        <xdr:cNvPr id="12" name="四角形: 角を丸くする 11">
          <a:extLst>
            <a:ext uri="{FF2B5EF4-FFF2-40B4-BE49-F238E27FC236}">
              <a16:creationId xmlns:a16="http://schemas.microsoft.com/office/drawing/2014/main" id="{00000000-0008-0000-0600-00000C000000}"/>
            </a:ext>
          </a:extLst>
        </xdr:cNvPr>
        <xdr:cNvSpPr/>
      </xdr:nvSpPr>
      <xdr:spPr bwMode="auto">
        <a:xfrm>
          <a:off x="11207135" y="9433098"/>
          <a:ext cx="468086" cy="152400"/>
        </a:xfrm>
        <a:prstGeom prst="roundRect">
          <a:avLst>
            <a:gd name="adj" fmla="val 50000"/>
          </a:avLst>
        </a:prstGeom>
        <a:gradFill flip="none" rotWithShape="1">
          <a:gsLst>
            <a:gs pos="100000">
              <a:schemeClr val="bg1"/>
            </a:gs>
            <a:gs pos="0">
              <a:schemeClr val="bg1">
                <a:lumMod val="65000"/>
              </a:schemeClr>
            </a:gs>
          </a:gsLst>
          <a:lin ang="5400000" scaled="1"/>
          <a:tileRect/>
        </a:gradFill>
        <a:ln w="19050"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1372764</xdr:colOff>
      <xdr:row>9</xdr:row>
      <xdr:rowOff>471163</xdr:rowOff>
    </xdr:from>
    <xdr:to>
      <xdr:col>15</xdr:col>
      <xdr:colOff>1732764</xdr:colOff>
      <xdr:row>9</xdr:row>
      <xdr:rowOff>599133</xdr:rowOff>
    </xdr:to>
    <xdr:sp macro="" textlink="">
      <xdr:nvSpPr>
        <xdr:cNvPr id="14" name="正方形/長方形 13">
          <a:extLst>
            <a:ext uri="{FF2B5EF4-FFF2-40B4-BE49-F238E27FC236}">
              <a16:creationId xmlns:a16="http://schemas.microsoft.com/office/drawing/2014/main" id="{00000000-0008-0000-0600-00000E000000}"/>
            </a:ext>
          </a:extLst>
        </xdr:cNvPr>
        <xdr:cNvSpPr/>
      </xdr:nvSpPr>
      <xdr:spPr bwMode="auto">
        <a:xfrm>
          <a:off x="11249680" y="9144003"/>
          <a:ext cx="360000" cy="127970"/>
        </a:xfrm>
        <a:prstGeom prst="rect">
          <a:avLst/>
        </a:prstGeom>
        <a:solidFill>
          <a:schemeClr val="tx1"/>
        </a:solidFill>
        <a:ln w="25400" cap="flat" cmpd="sng" algn="ctr">
          <a:solidFill>
            <a:schemeClr val="bg1"/>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1734567</xdr:colOff>
      <xdr:row>9</xdr:row>
      <xdr:rowOff>489777</xdr:rowOff>
    </xdr:from>
    <xdr:to>
      <xdr:col>15</xdr:col>
      <xdr:colOff>1788567</xdr:colOff>
      <xdr:row>9</xdr:row>
      <xdr:rowOff>561777</xdr:rowOff>
    </xdr:to>
    <xdr:sp macro="" textlink="">
      <xdr:nvSpPr>
        <xdr:cNvPr id="15" name="正方形/長方形 14">
          <a:extLst>
            <a:ext uri="{FF2B5EF4-FFF2-40B4-BE49-F238E27FC236}">
              <a16:creationId xmlns:a16="http://schemas.microsoft.com/office/drawing/2014/main" id="{00000000-0008-0000-0600-00000F000000}"/>
            </a:ext>
          </a:extLst>
        </xdr:cNvPr>
        <xdr:cNvSpPr/>
      </xdr:nvSpPr>
      <xdr:spPr bwMode="auto">
        <a:xfrm>
          <a:off x="11611483" y="9162617"/>
          <a:ext cx="54000" cy="72000"/>
        </a:xfrm>
        <a:prstGeom prst="rect">
          <a:avLst/>
        </a:prstGeom>
        <a:solidFill>
          <a:schemeClr val="bg1"/>
        </a:solidFill>
        <a:ln w="25400"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1447902</xdr:colOff>
      <xdr:row>9</xdr:row>
      <xdr:rowOff>328792</xdr:rowOff>
    </xdr:from>
    <xdr:to>
      <xdr:col>15</xdr:col>
      <xdr:colOff>1676206</xdr:colOff>
      <xdr:row>9</xdr:row>
      <xdr:rowOff>527439</xdr:rowOff>
    </xdr:to>
    <xdr:sp macro="" textlink="">
      <xdr:nvSpPr>
        <xdr:cNvPr id="16" name="稲妻 15">
          <a:extLst>
            <a:ext uri="{FF2B5EF4-FFF2-40B4-BE49-F238E27FC236}">
              <a16:creationId xmlns:a16="http://schemas.microsoft.com/office/drawing/2014/main" id="{00000000-0008-0000-0600-000010000000}"/>
            </a:ext>
          </a:extLst>
        </xdr:cNvPr>
        <xdr:cNvSpPr/>
      </xdr:nvSpPr>
      <xdr:spPr bwMode="auto">
        <a:xfrm rot="19800000" flipH="1">
          <a:off x="11324818" y="9001632"/>
          <a:ext cx="228304" cy="198647"/>
        </a:xfrm>
        <a:custGeom>
          <a:avLst/>
          <a:gdLst>
            <a:gd name="connsiteX0" fmla="*/ 8472 w 21600"/>
            <a:gd name="connsiteY0" fmla="*/ 0 h 21600"/>
            <a:gd name="connsiteX1" fmla="*/ 12860 w 21600"/>
            <a:gd name="connsiteY1" fmla="*/ 6080 h 21600"/>
            <a:gd name="connsiteX2" fmla="*/ 11050 w 21600"/>
            <a:gd name="connsiteY2" fmla="*/ 6797 h 21600"/>
            <a:gd name="connsiteX3" fmla="*/ 16577 w 21600"/>
            <a:gd name="connsiteY3" fmla="*/ 12007 h 21600"/>
            <a:gd name="connsiteX4" fmla="*/ 14767 w 21600"/>
            <a:gd name="connsiteY4" fmla="*/ 12877 h 21600"/>
            <a:gd name="connsiteX5" fmla="*/ 21600 w 21600"/>
            <a:gd name="connsiteY5" fmla="*/ 21600 h 21600"/>
            <a:gd name="connsiteX6" fmla="*/ 10012 w 21600"/>
            <a:gd name="connsiteY6" fmla="*/ 14915 h 21600"/>
            <a:gd name="connsiteX7" fmla="*/ 12222 w 21600"/>
            <a:gd name="connsiteY7" fmla="*/ 13987 h 21600"/>
            <a:gd name="connsiteX8" fmla="*/ 5022 w 21600"/>
            <a:gd name="connsiteY8" fmla="*/ 9705 h 21600"/>
            <a:gd name="connsiteX9" fmla="*/ 7602 w 21600"/>
            <a:gd name="connsiteY9" fmla="*/ 8382 h 21600"/>
            <a:gd name="connsiteX10" fmla="*/ 0 w 21600"/>
            <a:gd name="connsiteY10" fmla="*/ 3890 h 21600"/>
            <a:gd name="connsiteX11" fmla="*/ 8472 w 21600"/>
            <a:gd name="connsiteY11" fmla="*/ 0 h 21600"/>
            <a:gd name="connsiteX0" fmla="*/ 3450 w 16578"/>
            <a:gd name="connsiteY0" fmla="*/ 0 h 21600"/>
            <a:gd name="connsiteX1" fmla="*/ 7838 w 16578"/>
            <a:gd name="connsiteY1" fmla="*/ 6080 h 21600"/>
            <a:gd name="connsiteX2" fmla="*/ 6028 w 16578"/>
            <a:gd name="connsiteY2" fmla="*/ 6797 h 21600"/>
            <a:gd name="connsiteX3" fmla="*/ 11555 w 16578"/>
            <a:gd name="connsiteY3" fmla="*/ 12007 h 21600"/>
            <a:gd name="connsiteX4" fmla="*/ 9745 w 16578"/>
            <a:gd name="connsiteY4" fmla="*/ 12877 h 21600"/>
            <a:gd name="connsiteX5" fmla="*/ 16578 w 16578"/>
            <a:gd name="connsiteY5" fmla="*/ 21600 h 21600"/>
            <a:gd name="connsiteX6" fmla="*/ 4990 w 16578"/>
            <a:gd name="connsiteY6" fmla="*/ 14915 h 21600"/>
            <a:gd name="connsiteX7" fmla="*/ 7200 w 16578"/>
            <a:gd name="connsiteY7" fmla="*/ 13987 h 21600"/>
            <a:gd name="connsiteX8" fmla="*/ 0 w 16578"/>
            <a:gd name="connsiteY8" fmla="*/ 9705 h 21600"/>
            <a:gd name="connsiteX9" fmla="*/ 2580 w 16578"/>
            <a:gd name="connsiteY9" fmla="*/ 8382 h 21600"/>
            <a:gd name="connsiteX10" fmla="*/ 3450 w 16578"/>
            <a:gd name="connsiteY10" fmla="*/ 0 h 21600"/>
            <a:gd name="connsiteX0" fmla="*/ 2580 w 16578"/>
            <a:gd name="connsiteY0" fmla="*/ 2302 h 15520"/>
            <a:gd name="connsiteX1" fmla="*/ 7838 w 16578"/>
            <a:gd name="connsiteY1" fmla="*/ 0 h 15520"/>
            <a:gd name="connsiteX2" fmla="*/ 6028 w 16578"/>
            <a:gd name="connsiteY2" fmla="*/ 717 h 15520"/>
            <a:gd name="connsiteX3" fmla="*/ 11555 w 16578"/>
            <a:gd name="connsiteY3" fmla="*/ 5927 h 15520"/>
            <a:gd name="connsiteX4" fmla="*/ 9745 w 16578"/>
            <a:gd name="connsiteY4" fmla="*/ 6797 h 15520"/>
            <a:gd name="connsiteX5" fmla="*/ 16578 w 16578"/>
            <a:gd name="connsiteY5" fmla="*/ 15520 h 15520"/>
            <a:gd name="connsiteX6" fmla="*/ 4990 w 16578"/>
            <a:gd name="connsiteY6" fmla="*/ 8835 h 15520"/>
            <a:gd name="connsiteX7" fmla="*/ 7200 w 16578"/>
            <a:gd name="connsiteY7" fmla="*/ 7907 h 15520"/>
            <a:gd name="connsiteX8" fmla="*/ 0 w 16578"/>
            <a:gd name="connsiteY8" fmla="*/ 3625 h 15520"/>
            <a:gd name="connsiteX9" fmla="*/ 2580 w 16578"/>
            <a:gd name="connsiteY9" fmla="*/ 2302 h 155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16578" h="15520">
              <a:moveTo>
                <a:pt x="2580" y="2302"/>
              </a:moveTo>
              <a:lnTo>
                <a:pt x="7838" y="0"/>
              </a:lnTo>
              <a:lnTo>
                <a:pt x="6028" y="717"/>
              </a:lnTo>
              <a:lnTo>
                <a:pt x="11555" y="5927"/>
              </a:lnTo>
              <a:lnTo>
                <a:pt x="9745" y="6797"/>
              </a:lnTo>
              <a:lnTo>
                <a:pt x="16578" y="15520"/>
              </a:lnTo>
              <a:lnTo>
                <a:pt x="4990" y="8835"/>
              </a:lnTo>
              <a:lnTo>
                <a:pt x="7200" y="7907"/>
              </a:lnTo>
              <a:lnTo>
                <a:pt x="0" y="3625"/>
              </a:lnTo>
              <a:lnTo>
                <a:pt x="2580" y="2302"/>
              </a:lnTo>
              <a:close/>
            </a:path>
          </a:pathLst>
        </a:custGeom>
        <a:solidFill>
          <a:srgbClr val="FFFFFF"/>
        </a:solidFill>
        <a:ln w="19050"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xdr:from>
      <xdr:col>15</xdr:col>
      <xdr:colOff>1396030</xdr:colOff>
      <xdr:row>9</xdr:row>
      <xdr:rowOff>814351</xdr:rowOff>
    </xdr:from>
    <xdr:to>
      <xdr:col>15</xdr:col>
      <xdr:colOff>1727587</xdr:colOff>
      <xdr:row>9</xdr:row>
      <xdr:rowOff>850351</xdr:rowOff>
    </xdr:to>
    <xdr:sp macro="" textlink="">
      <xdr:nvSpPr>
        <xdr:cNvPr id="25" name="正方形/長方形 24">
          <a:extLst>
            <a:ext uri="{FF2B5EF4-FFF2-40B4-BE49-F238E27FC236}">
              <a16:creationId xmlns:a16="http://schemas.microsoft.com/office/drawing/2014/main" id="{00000000-0008-0000-0600-000019000000}"/>
            </a:ext>
          </a:extLst>
        </xdr:cNvPr>
        <xdr:cNvSpPr/>
      </xdr:nvSpPr>
      <xdr:spPr bwMode="auto">
        <a:xfrm>
          <a:off x="11272946" y="9487191"/>
          <a:ext cx="331557" cy="36000"/>
        </a:xfrm>
        <a:prstGeom prst="rect">
          <a:avLst/>
        </a:prstGeom>
        <a:solidFill>
          <a:schemeClr val="bg1">
            <a:lumMod val="6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l"/>
          <a:endParaRPr kumimoji="1" lang="ja-JP" altLang="en-US" sz="1100"/>
        </a:p>
      </xdr:txBody>
    </xdr:sp>
    <xdr:clientData/>
  </xdr:twoCellAnchor>
  <xdr:twoCellAnchor editAs="oneCell">
    <xdr:from>
      <xdr:col>24</xdr:col>
      <xdr:colOff>363901</xdr:colOff>
      <xdr:row>7</xdr:row>
      <xdr:rowOff>58215</xdr:rowOff>
    </xdr:from>
    <xdr:to>
      <xdr:col>24</xdr:col>
      <xdr:colOff>2535954</xdr:colOff>
      <xdr:row>9</xdr:row>
      <xdr:rowOff>273481</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cstate="email">
          <a:extLst>
            <a:ext uri="{28A0092B-C50C-407E-A947-70E740481C1C}">
              <a14:useLocalDpi xmlns:a14="http://schemas.microsoft.com/office/drawing/2010/main" val="0"/>
            </a:ext>
          </a:extLst>
        </a:blip>
        <a:stretch>
          <a:fillRect/>
        </a:stretch>
      </xdr:blipFill>
      <xdr:spPr>
        <a:xfrm>
          <a:off x="20732161" y="6900975"/>
          <a:ext cx="2179673" cy="1367127"/>
        </a:xfrm>
        <a:prstGeom prst="rect">
          <a:avLst/>
        </a:prstGeom>
      </xdr:spPr>
    </xdr:pic>
    <xdr:clientData/>
  </xdr:twoCellAnchor>
  <xdr:twoCellAnchor editAs="oneCell">
    <xdr:from>
      <xdr:col>24</xdr:col>
      <xdr:colOff>651243</xdr:colOff>
      <xdr:row>8</xdr:row>
      <xdr:rowOff>58212</xdr:rowOff>
    </xdr:from>
    <xdr:to>
      <xdr:col>24</xdr:col>
      <xdr:colOff>2175244</xdr:colOff>
      <xdr:row>9</xdr:row>
      <xdr:rowOff>644255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8"/>
        <a:stretch>
          <a:fillRect/>
        </a:stretch>
      </xdr:blipFill>
      <xdr:spPr>
        <a:xfrm>
          <a:off x="21019503" y="8424972"/>
          <a:ext cx="1524001" cy="1438553"/>
        </a:xfrm>
        <a:prstGeom prst="rect">
          <a:avLst/>
        </a:prstGeom>
      </xdr:spPr>
    </xdr:pic>
    <xdr:clientData/>
  </xdr:twoCellAnchor>
  <xdr:twoCellAnchor editAs="oneCell">
    <xdr:from>
      <xdr:col>24</xdr:col>
      <xdr:colOff>755665</xdr:colOff>
      <xdr:row>9</xdr:row>
      <xdr:rowOff>92416</xdr:rowOff>
    </xdr:from>
    <xdr:to>
      <xdr:col>24</xdr:col>
      <xdr:colOff>2123322</xdr:colOff>
      <xdr:row>12</xdr:row>
      <xdr:rowOff>133764</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9"/>
        <a:stretch>
          <a:fillRect/>
        </a:stretch>
      </xdr:blipFill>
      <xdr:spPr>
        <a:xfrm>
          <a:off x="21123925" y="9983176"/>
          <a:ext cx="1371467" cy="1278003"/>
        </a:xfrm>
        <a:prstGeom prst="rect">
          <a:avLst/>
        </a:prstGeom>
      </xdr:spPr>
    </xdr:pic>
    <xdr:clientData/>
  </xdr:twoCellAnchor>
  <xdr:twoCellAnchor editAs="oneCell">
    <xdr:from>
      <xdr:col>24</xdr:col>
      <xdr:colOff>489850</xdr:colOff>
      <xdr:row>10</xdr:row>
      <xdr:rowOff>173400</xdr:rowOff>
    </xdr:from>
    <xdr:to>
      <xdr:col>24</xdr:col>
      <xdr:colOff>2495564</xdr:colOff>
      <xdr:row>14</xdr:row>
      <xdr:rowOff>549954</xdr:rowOff>
    </xdr:to>
    <xdr:pic>
      <xdr:nvPicPr>
        <xdr:cNvPr id="11" name="図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10"/>
        <a:stretch>
          <a:fillRect/>
        </a:stretch>
      </xdr:blipFill>
      <xdr:spPr>
        <a:xfrm>
          <a:off x="20858110" y="11588160"/>
          <a:ext cx="2011429" cy="1190476"/>
        </a:xfrm>
        <a:prstGeom prst="rect">
          <a:avLst/>
        </a:prstGeom>
      </xdr:spPr>
    </xdr:pic>
    <xdr:clientData/>
  </xdr:twoCellAnchor>
  <xdr:twoCellAnchor editAs="oneCell">
    <xdr:from>
      <xdr:col>24</xdr:col>
      <xdr:colOff>744900</xdr:colOff>
      <xdr:row>5</xdr:row>
      <xdr:rowOff>35443</xdr:rowOff>
    </xdr:from>
    <xdr:to>
      <xdr:col>24</xdr:col>
      <xdr:colOff>2228406</xdr:colOff>
      <xdr:row>5</xdr:row>
      <xdr:rowOff>1505085</xdr:rowOff>
    </xdr:to>
    <xdr:pic>
      <xdr:nvPicPr>
        <xdr:cNvPr id="17" name="図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1" cstate="email">
          <a:extLst>
            <a:ext uri="{28A0092B-C50C-407E-A947-70E740481C1C}">
              <a14:useLocalDpi xmlns:a14="http://schemas.microsoft.com/office/drawing/2010/main" val="0"/>
            </a:ext>
          </a:extLst>
        </a:blip>
        <a:stretch>
          <a:fillRect/>
        </a:stretch>
      </xdr:blipFill>
      <xdr:spPr>
        <a:xfrm>
          <a:off x="21113160" y="3830203"/>
          <a:ext cx="1491126" cy="1465832"/>
        </a:xfrm>
        <a:prstGeom prst="rect">
          <a:avLst/>
        </a:prstGeom>
      </xdr:spPr>
    </xdr:pic>
    <xdr:clientData/>
  </xdr:twoCellAnchor>
  <xdr:twoCellAnchor editAs="oneCell">
    <xdr:from>
      <xdr:col>24</xdr:col>
      <xdr:colOff>327218</xdr:colOff>
      <xdr:row>6</xdr:row>
      <xdr:rowOff>165502</xdr:rowOff>
    </xdr:from>
    <xdr:to>
      <xdr:col>24</xdr:col>
      <xdr:colOff>2644849</xdr:colOff>
      <xdr:row>8</xdr:row>
      <xdr:rowOff>97079</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2" cstate="email">
          <a:extLst>
            <a:ext uri="{28A0092B-C50C-407E-A947-70E740481C1C}">
              <a14:useLocalDpi xmlns:a14="http://schemas.microsoft.com/office/drawing/2010/main" val="0"/>
            </a:ext>
          </a:extLst>
        </a:blip>
        <a:stretch>
          <a:fillRect/>
        </a:stretch>
      </xdr:blipFill>
      <xdr:spPr>
        <a:xfrm>
          <a:off x="20695478" y="5484262"/>
          <a:ext cx="2325251" cy="1203674"/>
        </a:xfrm>
        <a:prstGeom prst="rect">
          <a:avLst/>
        </a:prstGeom>
      </xdr:spPr>
    </xdr:pic>
    <xdr:clientData/>
  </xdr:twoCellAnchor>
  <xdr:twoCellAnchor>
    <xdr:from>
      <xdr:col>23</xdr:col>
      <xdr:colOff>764215</xdr:colOff>
      <xdr:row>5</xdr:row>
      <xdr:rowOff>173399</xdr:rowOff>
    </xdr:from>
    <xdr:to>
      <xdr:col>23</xdr:col>
      <xdr:colOff>2256730</xdr:colOff>
      <xdr:row>5</xdr:row>
      <xdr:rowOff>1331324</xdr:rowOff>
    </xdr:to>
    <xdr:grpSp>
      <xdr:nvGrpSpPr>
        <xdr:cNvPr id="19" name="グループ化 18">
          <a:extLst>
            <a:ext uri="{FF2B5EF4-FFF2-40B4-BE49-F238E27FC236}">
              <a16:creationId xmlns:a16="http://schemas.microsoft.com/office/drawing/2014/main" id="{00000000-0008-0000-0600-000013000000}"/>
            </a:ext>
          </a:extLst>
        </xdr:cNvPr>
        <xdr:cNvGrpSpPr/>
      </xdr:nvGrpSpPr>
      <xdr:grpSpPr>
        <a:xfrm>
          <a:off x="17585365" y="3973874"/>
          <a:ext cx="1492515" cy="1157925"/>
          <a:chOff x="1487488" y="1054750"/>
          <a:chExt cx="3380373" cy="2590274"/>
        </a:xfrm>
      </xdr:grpSpPr>
      <xdr:sp macro="" textlink="">
        <xdr:nvSpPr>
          <xdr:cNvPr id="20" name="正方形/長方形 19">
            <a:extLst>
              <a:ext uri="{FF2B5EF4-FFF2-40B4-BE49-F238E27FC236}">
                <a16:creationId xmlns:a16="http://schemas.microsoft.com/office/drawing/2014/main" id="{00000000-0008-0000-0600-000014000000}"/>
              </a:ext>
            </a:extLst>
          </xdr:cNvPr>
          <xdr:cNvSpPr/>
        </xdr:nvSpPr>
        <xdr:spPr>
          <a:xfrm>
            <a:off x="1487488" y="1054750"/>
            <a:ext cx="3380373" cy="2590274"/>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1" name="正方形/長方形 20">
            <a:extLst>
              <a:ext uri="{FF2B5EF4-FFF2-40B4-BE49-F238E27FC236}">
                <a16:creationId xmlns:a16="http://schemas.microsoft.com/office/drawing/2014/main" id="{00000000-0008-0000-0600-000015000000}"/>
              </a:ext>
            </a:extLst>
          </xdr:cNvPr>
          <xdr:cNvSpPr/>
        </xdr:nvSpPr>
        <xdr:spPr>
          <a:xfrm>
            <a:off x="1941517" y="2127459"/>
            <a:ext cx="432000" cy="432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2" name="グループ化 21">
            <a:extLst>
              <a:ext uri="{FF2B5EF4-FFF2-40B4-BE49-F238E27FC236}">
                <a16:creationId xmlns:a16="http://schemas.microsoft.com/office/drawing/2014/main" id="{00000000-0008-0000-0600-000016000000}"/>
              </a:ext>
            </a:extLst>
          </xdr:cNvPr>
          <xdr:cNvGrpSpPr/>
        </xdr:nvGrpSpPr>
        <xdr:grpSpPr>
          <a:xfrm>
            <a:off x="4583832" y="1225240"/>
            <a:ext cx="216000" cy="720056"/>
            <a:chOff x="5879976" y="1340768"/>
            <a:chExt cx="216000" cy="720056"/>
          </a:xfrm>
        </xdr:grpSpPr>
        <xdr:sp macro="" textlink="">
          <xdr:nvSpPr>
            <xdr:cNvPr id="179" name="楕円 178">
              <a:extLst>
                <a:ext uri="{FF2B5EF4-FFF2-40B4-BE49-F238E27FC236}">
                  <a16:creationId xmlns:a16="http://schemas.microsoft.com/office/drawing/2014/main" id="{00000000-0008-0000-0600-0000B3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180" name="楕円 179">
              <a:extLst>
                <a:ext uri="{FF2B5EF4-FFF2-40B4-BE49-F238E27FC236}">
                  <a16:creationId xmlns:a16="http://schemas.microsoft.com/office/drawing/2014/main" id="{00000000-0008-0000-0600-0000B4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23" name="楕円 22">
            <a:extLst>
              <a:ext uri="{FF2B5EF4-FFF2-40B4-BE49-F238E27FC236}">
                <a16:creationId xmlns:a16="http://schemas.microsoft.com/office/drawing/2014/main" id="{00000000-0008-0000-0600-000017000000}"/>
              </a:ext>
            </a:extLst>
          </xdr:cNvPr>
          <xdr:cNvSpPr/>
        </xdr:nvSpPr>
        <xdr:spPr>
          <a:xfrm>
            <a:off x="1609732" y="1729296"/>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24" name="グループ化 23">
            <a:extLst>
              <a:ext uri="{FF2B5EF4-FFF2-40B4-BE49-F238E27FC236}">
                <a16:creationId xmlns:a16="http://schemas.microsoft.com/office/drawing/2014/main" id="{00000000-0008-0000-0600-000018000000}"/>
              </a:ext>
            </a:extLst>
          </xdr:cNvPr>
          <xdr:cNvGrpSpPr/>
        </xdr:nvGrpSpPr>
        <xdr:grpSpPr>
          <a:xfrm>
            <a:off x="4583832" y="2708920"/>
            <a:ext cx="216000" cy="720056"/>
            <a:chOff x="5879976" y="1340768"/>
            <a:chExt cx="216000" cy="720056"/>
          </a:xfrm>
        </xdr:grpSpPr>
        <xdr:sp macro="" textlink="">
          <xdr:nvSpPr>
            <xdr:cNvPr id="177" name="楕円 176">
              <a:extLst>
                <a:ext uri="{FF2B5EF4-FFF2-40B4-BE49-F238E27FC236}">
                  <a16:creationId xmlns:a16="http://schemas.microsoft.com/office/drawing/2014/main" id="{00000000-0008-0000-0600-0000B1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178" name="楕円 177">
              <a:extLst>
                <a:ext uri="{FF2B5EF4-FFF2-40B4-BE49-F238E27FC236}">
                  <a16:creationId xmlns:a16="http://schemas.microsoft.com/office/drawing/2014/main" id="{00000000-0008-0000-0600-0000B2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26" name="楕円 25">
            <a:extLst>
              <a:ext uri="{FF2B5EF4-FFF2-40B4-BE49-F238E27FC236}">
                <a16:creationId xmlns:a16="http://schemas.microsoft.com/office/drawing/2014/main" id="{00000000-0008-0000-0600-00001A000000}"/>
              </a:ext>
            </a:extLst>
          </xdr:cNvPr>
          <xdr:cNvSpPr/>
        </xdr:nvSpPr>
        <xdr:spPr>
          <a:xfrm>
            <a:off x="1609732" y="2708920"/>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7" name="正方形/長方形 26">
            <a:extLst>
              <a:ext uri="{FF2B5EF4-FFF2-40B4-BE49-F238E27FC236}">
                <a16:creationId xmlns:a16="http://schemas.microsoft.com/office/drawing/2014/main" id="{00000000-0008-0000-0600-00001B000000}"/>
              </a:ext>
            </a:extLst>
          </xdr:cNvPr>
          <xdr:cNvSpPr/>
        </xdr:nvSpPr>
        <xdr:spPr>
          <a:xfrm>
            <a:off x="4151785" y="1316572"/>
            <a:ext cx="282270" cy="479202"/>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8" name="グループ化 27">
            <a:extLst>
              <a:ext uri="{FF2B5EF4-FFF2-40B4-BE49-F238E27FC236}">
                <a16:creationId xmlns:a16="http://schemas.microsoft.com/office/drawing/2014/main" id="{00000000-0008-0000-0600-00001C000000}"/>
              </a:ext>
            </a:extLst>
          </xdr:cNvPr>
          <xdr:cNvGrpSpPr/>
        </xdr:nvGrpSpPr>
        <xdr:grpSpPr>
          <a:xfrm rot="16200000">
            <a:off x="1941664" y="1327259"/>
            <a:ext cx="479564" cy="479858"/>
            <a:chOff x="5793749" y="5157192"/>
            <a:chExt cx="362387" cy="362609"/>
          </a:xfrm>
        </xdr:grpSpPr>
        <xdr:sp macro="" textlink="">
          <xdr:nvSpPr>
            <xdr:cNvPr id="175" name="円/楕円 4">
              <a:extLst>
                <a:ext uri="{FF2B5EF4-FFF2-40B4-BE49-F238E27FC236}">
                  <a16:creationId xmlns:a16="http://schemas.microsoft.com/office/drawing/2014/main" id="{00000000-0008-0000-0600-0000AF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176" name="円/楕円 9">
              <a:extLst>
                <a:ext uri="{FF2B5EF4-FFF2-40B4-BE49-F238E27FC236}">
                  <a16:creationId xmlns:a16="http://schemas.microsoft.com/office/drawing/2014/main" id="{00000000-0008-0000-0600-0000B0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35" name="グループ化 34">
            <a:extLst>
              <a:ext uri="{FF2B5EF4-FFF2-40B4-BE49-F238E27FC236}">
                <a16:creationId xmlns:a16="http://schemas.microsoft.com/office/drawing/2014/main" id="{00000000-0008-0000-0600-000023000000}"/>
              </a:ext>
            </a:extLst>
          </xdr:cNvPr>
          <xdr:cNvGrpSpPr/>
        </xdr:nvGrpSpPr>
        <xdr:grpSpPr>
          <a:xfrm>
            <a:off x="2473879" y="1261073"/>
            <a:ext cx="1549697" cy="585111"/>
            <a:chOff x="2473879" y="4901658"/>
            <a:chExt cx="1549697" cy="585111"/>
          </a:xfrm>
        </xdr:grpSpPr>
        <xdr:sp macro="" textlink="">
          <xdr:nvSpPr>
            <xdr:cNvPr id="131" name="角丸四角形 696">
              <a:extLst>
                <a:ext uri="{FF2B5EF4-FFF2-40B4-BE49-F238E27FC236}">
                  <a16:creationId xmlns:a16="http://schemas.microsoft.com/office/drawing/2014/main" id="{00000000-0008-0000-0600-00008300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132" name="正方形/長方形 131">
              <a:extLst>
                <a:ext uri="{FF2B5EF4-FFF2-40B4-BE49-F238E27FC236}">
                  <a16:creationId xmlns:a16="http://schemas.microsoft.com/office/drawing/2014/main" id="{00000000-0008-0000-0600-00008400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33" name="グループ化 132">
              <a:extLst>
                <a:ext uri="{FF2B5EF4-FFF2-40B4-BE49-F238E27FC236}">
                  <a16:creationId xmlns:a16="http://schemas.microsoft.com/office/drawing/2014/main" id="{00000000-0008-0000-0600-000085000000}"/>
                </a:ext>
              </a:extLst>
            </xdr:cNvPr>
            <xdr:cNvGrpSpPr>
              <a:grpSpLocks/>
            </xdr:cNvGrpSpPr>
          </xdr:nvGrpSpPr>
          <xdr:grpSpPr bwMode="auto">
            <a:xfrm rot="16200000">
              <a:off x="2426693" y="5334063"/>
              <a:ext cx="199892" cy="105519"/>
              <a:chOff x="971600" y="1268760"/>
              <a:chExt cx="2304256" cy="1800200"/>
            </a:xfrm>
          </xdr:grpSpPr>
          <xdr:sp macro="" textlink="">
            <xdr:nvSpPr>
              <xdr:cNvPr id="172" name="正方形/長方形 171">
                <a:extLst>
                  <a:ext uri="{FF2B5EF4-FFF2-40B4-BE49-F238E27FC236}">
                    <a16:creationId xmlns:a16="http://schemas.microsoft.com/office/drawing/2014/main" id="{00000000-0008-0000-0600-0000AC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3" name="正方形/長方形 172">
                <a:extLst>
                  <a:ext uri="{FF2B5EF4-FFF2-40B4-BE49-F238E27FC236}">
                    <a16:creationId xmlns:a16="http://schemas.microsoft.com/office/drawing/2014/main" id="{00000000-0008-0000-0600-0000AD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4" name="正方形/長方形 173">
                <a:extLst>
                  <a:ext uri="{FF2B5EF4-FFF2-40B4-BE49-F238E27FC236}">
                    <a16:creationId xmlns:a16="http://schemas.microsoft.com/office/drawing/2014/main" id="{00000000-0008-0000-0600-0000AE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34" name="グループ化 133">
              <a:extLst>
                <a:ext uri="{FF2B5EF4-FFF2-40B4-BE49-F238E27FC236}">
                  <a16:creationId xmlns:a16="http://schemas.microsoft.com/office/drawing/2014/main" id="{00000000-0008-0000-0600-000086000000}"/>
                </a:ext>
              </a:extLst>
            </xdr:cNvPr>
            <xdr:cNvGrpSpPr>
              <a:grpSpLocks/>
            </xdr:cNvGrpSpPr>
          </xdr:nvGrpSpPr>
          <xdr:grpSpPr bwMode="auto">
            <a:xfrm rot="16200000">
              <a:off x="2426694" y="4948844"/>
              <a:ext cx="199892" cy="105519"/>
              <a:chOff x="971600" y="1268760"/>
              <a:chExt cx="2304256" cy="1800200"/>
            </a:xfrm>
          </xdr:grpSpPr>
          <xdr:sp macro="" textlink="">
            <xdr:nvSpPr>
              <xdr:cNvPr id="169" name="正方形/長方形 168">
                <a:extLst>
                  <a:ext uri="{FF2B5EF4-FFF2-40B4-BE49-F238E27FC236}">
                    <a16:creationId xmlns:a16="http://schemas.microsoft.com/office/drawing/2014/main" id="{00000000-0008-0000-0600-0000A9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0" name="正方形/長方形 169">
                <a:extLst>
                  <a:ext uri="{FF2B5EF4-FFF2-40B4-BE49-F238E27FC236}">
                    <a16:creationId xmlns:a16="http://schemas.microsoft.com/office/drawing/2014/main" id="{00000000-0008-0000-0600-0000AA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71" name="正方形/長方形 170">
                <a:extLst>
                  <a:ext uri="{FF2B5EF4-FFF2-40B4-BE49-F238E27FC236}">
                    <a16:creationId xmlns:a16="http://schemas.microsoft.com/office/drawing/2014/main" id="{00000000-0008-0000-0600-0000AB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135" name="正方形/長方形 134">
              <a:extLst>
                <a:ext uri="{FF2B5EF4-FFF2-40B4-BE49-F238E27FC236}">
                  <a16:creationId xmlns:a16="http://schemas.microsoft.com/office/drawing/2014/main" id="{00000000-0008-0000-0600-00008700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36" name="グループ化 135">
              <a:extLst>
                <a:ext uri="{FF2B5EF4-FFF2-40B4-BE49-F238E27FC236}">
                  <a16:creationId xmlns:a16="http://schemas.microsoft.com/office/drawing/2014/main" id="{00000000-0008-0000-0600-000088000000}"/>
                </a:ext>
              </a:extLst>
            </xdr:cNvPr>
            <xdr:cNvGrpSpPr/>
          </xdr:nvGrpSpPr>
          <xdr:grpSpPr>
            <a:xfrm>
              <a:off x="3389293" y="4901658"/>
              <a:ext cx="634283" cy="585111"/>
              <a:chOff x="3728641" y="4901658"/>
              <a:chExt cx="634283" cy="585111"/>
            </a:xfrm>
          </xdr:grpSpPr>
          <xdr:grpSp>
            <xdr:nvGrpSpPr>
              <xdr:cNvPr id="137" name="グループ化 136">
                <a:extLst>
                  <a:ext uri="{FF2B5EF4-FFF2-40B4-BE49-F238E27FC236}">
                    <a16:creationId xmlns:a16="http://schemas.microsoft.com/office/drawing/2014/main" id="{00000000-0008-0000-0600-000089000000}"/>
                  </a:ext>
                </a:extLst>
              </xdr:cNvPr>
              <xdr:cNvGrpSpPr>
                <a:grpSpLocks/>
              </xdr:cNvGrpSpPr>
            </xdr:nvGrpSpPr>
            <xdr:grpSpPr bwMode="auto">
              <a:xfrm rot="16200000">
                <a:off x="3681455" y="5334063"/>
                <a:ext cx="199892" cy="105519"/>
                <a:chOff x="971600" y="1268760"/>
                <a:chExt cx="2304256" cy="1800200"/>
              </a:xfrm>
            </xdr:grpSpPr>
            <xdr:sp macro="" textlink="">
              <xdr:nvSpPr>
                <xdr:cNvPr id="166" name="正方形/長方形 165">
                  <a:extLst>
                    <a:ext uri="{FF2B5EF4-FFF2-40B4-BE49-F238E27FC236}">
                      <a16:creationId xmlns:a16="http://schemas.microsoft.com/office/drawing/2014/main" id="{00000000-0008-0000-0600-0000A6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7" name="正方形/長方形 166">
                  <a:extLst>
                    <a:ext uri="{FF2B5EF4-FFF2-40B4-BE49-F238E27FC236}">
                      <a16:creationId xmlns:a16="http://schemas.microsoft.com/office/drawing/2014/main" id="{00000000-0008-0000-0600-0000A7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8" name="正方形/長方形 167">
                  <a:extLst>
                    <a:ext uri="{FF2B5EF4-FFF2-40B4-BE49-F238E27FC236}">
                      <a16:creationId xmlns:a16="http://schemas.microsoft.com/office/drawing/2014/main" id="{00000000-0008-0000-0600-0000A8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38" name="グループ化 137">
                <a:extLst>
                  <a:ext uri="{FF2B5EF4-FFF2-40B4-BE49-F238E27FC236}">
                    <a16:creationId xmlns:a16="http://schemas.microsoft.com/office/drawing/2014/main" id="{00000000-0008-0000-0600-00008A000000}"/>
                  </a:ext>
                </a:extLst>
              </xdr:cNvPr>
              <xdr:cNvGrpSpPr>
                <a:grpSpLocks/>
              </xdr:cNvGrpSpPr>
            </xdr:nvGrpSpPr>
            <xdr:grpSpPr bwMode="auto">
              <a:xfrm rot="16200000">
                <a:off x="3681456" y="4948844"/>
                <a:ext cx="199892" cy="105519"/>
                <a:chOff x="971600" y="1268760"/>
                <a:chExt cx="2304256" cy="1800200"/>
              </a:xfrm>
            </xdr:grpSpPr>
            <xdr:sp macro="" textlink="">
              <xdr:nvSpPr>
                <xdr:cNvPr id="163" name="正方形/長方形 162">
                  <a:extLst>
                    <a:ext uri="{FF2B5EF4-FFF2-40B4-BE49-F238E27FC236}">
                      <a16:creationId xmlns:a16="http://schemas.microsoft.com/office/drawing/2014/main" id="{00000000-0008-0000-0600-0000A3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4" name="正方形/長方形 163">
                  <a:extLst>
                    <a:ext uri="{FF2B5EF4-FFF2-40B4-BE49-F238E27FC236}">
                      <a16:creationId xmlns:a16="http://schemas.microsoft.com/office/drawing/2014/main" id="{00000000-0008-0000-0600-0000A4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5" name="正方形/長方形 164">
                  <a:extLst>
                    <a:ext uri="{FF2B5EF4-FFF2-40B4-BE49-F238E27FC236}">
                      <a16:creationId xmlns:a16="http://schemas.microsoft.com/office/drawing/2014/main" id="{00000000-0008-0000-0600-0000A5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39" name="グループ化 138">
                <a:extLst>
                  <a:ext uri="{FF2B5EF4-FFF2-40B4-BE49-F238E27FC236}">
                    <a16:creationId xmlns:a16="http://schemas.microsoft.com/office/drawing/2014/main" id="{00000000-0008-0000-0600-00008B000000}"/>
                  </a:ext>
                </a:extLst>
              </xdr:cNvPr>
              <xdr:cNvGrpSpPr>
                <a:grpSpLocks/>
              </xdr:cNvGrpSpPr>
            </xdr:nvGrpSpPr>
            <xdr:grpSpPr bwMode="auto">
              <a:xfrm rot="16200000">
                <a:off x="3849884" y="5334063"/>
                <a:ext cx="199892" cy="105519"/>
                <a:chOff x="971600" y="1268760"/>
                <a:chExt cx="2304256" cy="1800200"/>
              </a:xfrm>
            </xdr:grpSpPr>
            <xdr:sp macro="" textlink="">
              <xdr:nvSpPr>
                <xdr:cNvPr id="160" name="正方形/長方形 159">
                  <a:extLst>
                    <a:ext uri="{FF2B5EF4-FFF2-40B4-BE49-F238E27FC236}">
                      <a16:creationId xmlns:a16="http://schemas.microsoft.com/office/drawing/2014/main" id="{00000000-0008-0000-0600-0000A0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1" name="正方形/長方形 160">
                  <a:extLst>
                    <a:ext uri="{FF2B5EF4-FFF2-40B4-BE49-F238E27FC236}">
                      <a16:creationId xmlns:a16="http://schemas.microsoft.com/office/drawing/2014/main" id="{00000000-0008-0000-0600-0000A1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62" name="正方形/長方形 161">
                  <a:extLst>
                    <a:ext uri="{FF2B5EF4-FFF2-40B4-BE49-F238E27FC236}">
                      <a16:creationId xmlns:a16="http://schemas.microsoft.com/office/drawing/2014/main" id="{00000000-0008-0000-0600-0000A2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0" name="グループ化 139">
                <a:extLst>
                  <a:ext uri="{FF2B5EF4-FFF2-40B4-BE49-F238E27FC236}">
                    <a16:creationId xmlns:a16="http://schemas.microsoft.com/office/drawing/2014/main" id="{00000000-0008-0000-0600-00008C000000}"/>
                  </a:ext>
                </a:extLst>
              </xdr:cNvPr>
              <xdr:cNvGrpSpPr>
                <a:grpSpLocks/>
              </xdr:cNvGrpSpPr>
            </xdr:nvGrpSpPr>
            <xdr:grpSpPr bwMode="auto">
              <a:xfrm rot="16200000">
                <a:off x="3849885" y="4948844"/>
                <a:ext cx="199892" cy="105519"/>
                <a:chOff x="971600" y="1268760"/>
                <a:chExt cx="2304256" cy="1800200"/>
              </a:xfrm>
            </xdr:grpSpPr>
            <xdr:sp macro="" textlink="">
              <xdr:nvSpPr>
                <xdr:cNvPr id="157" name="正方形/長方形 156">
                  <a:extLst>
                    <a:ext uri="{FF2B5EF4-FFF2-40B4-BE49-F238E27FC236}">
                      <a16:creationId xmlns:a16="http://schemas.microsoft.com/office/drawing/2014/main" id="{00000000-0008-0000-0600-00009D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8" name="正方形/長方形 157">
                  <a:extLst>
                    <a:ext uri="{FF2B5EF4-FFF2-40B4-BE49-F238E27FC236}">
                      <a16:creationId xmlns:a16="http://schemas.microsoft.com/office/drawing/2014/main" id="{00000000-0008-0000-0600-00009E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9" name="正方形/長方形 158">
                  <a:extLst>
                    <a:ext uri="{FF2B5EF4-FFF2-40B4-BE49-F238E27FC236}">
                      <a16:creationId xmlns:a16="http://schemas.microsoft.com/office/drawing/2014/main" id="{00000000-0008-0000-0600-00009F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1" name="グループ化 140">
                <a:extLst>
                  <a:ext uri="{FF2B5EF4-FFF2-40B4-BE49-F238E27FC236}">
                    <a16:creationId xmlns:a16="http://schemas.microsoft.com/office/drawing/2014/main" id="{00000000-0008-0000-0600-00008D000000}"/>
                  </a:ext>
                </a:extLst>
              </xdr:cNvPr>
              <xdr:cNvGrpSpPr>
                <a:grpSpLocks/>
              </xdr:cNvGrpSpPr>
            </xdr:nvGrpSpPr>
            <xdr:grpSpPr bwMode="auto">
              <a:xfrm rot="16200000">
                <a:off x="4041789" y="5334063"/>
                <a:ext cx="199892" cy="105519"/>
                <a:chOff x="971600" y="1268760"/>
                <a:chExt cx="2304256" cy="1800200"/>
              </a:xfrm>
            </xdr:grpSpPr>
            <xdr:sp macro="" textlink="">
              <xdr:nvSpPr>
                <xdr:cNvPr id="154" name="正方形/長方形 153">
                  <a:extLst>
                    <a:ext uri="{FF2B5EF4-FFF2-40B4-BE49-F238E27FC236}">
                      <a16:creationId xmlns:a16="http://schemas.microsoft.com/office/drawing/2014/main" id="{00000000-0008-0000-0600-00009A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5" name="正方形/長方形 154">
                  <a:extLst>
                    <a:ext uri="{FF2B5EF4-FFF2-40B4-BE49-F238E27FC236}">
                      <a16:creationId xmlns:a16="http://schemas.microsoft.com/office/drawing/2014/main" id="{00000000-0008-0000-0600-00009B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6" name="正方形/長方形 155">
                  <a:extLst>
                    <a:ext uri="{FF2B5EF4-FFF2-40B4-BE49-F238E27FC236}">
                      <a16:creationId xmlns:a16="http://schemas.microsoft.com/office/drawing/2014/main" id="{00000000-0008-0000-0600-00009C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2" name="グループ化 141">
                <a:extLst>
                  <a:ext uri="{FF2B5EF4-FFF2-40B4-BE49-F238E27FC236}">
                    <a16:creationId xmlns:a16="http://schemas.microsoft.com/office/drawing/2014/main" id="{00000000-0008-0000-0600-00008E000000}"/>
                  </a:ext>
                </a:extLst>
              </xdr:cNvPr>
              <xdr:cNvGrpSpPr>
                <a:grpSpLocks/>
              </xdr:cNvGrpSpPr>
            </xdr:nvGrpSpPr>
            <xdr:grpSpPr bwMode="auto">
              <a:xfrm rot="16200000">
                <a:off x="4041790" y="4948844"/>
                <a:ext cx="199892" cy="105519"/>
                <a:chOff x="971600" y="1268760"/>
                <a:chExt cx="2304256" cy="1800200"/>
              </a:xfrm>
            </xdr:grpSpPr>
            <xdr:sp macro="" textlink="">
              <xdr:nvSpPr>
                <xdr:cNvPr id="151" name="正方形/長方形 150">
                  <a:extLst>
                    <a:ext uri="{FF2B5EF4-FFF2-40B4-BE49-F238E27FC236}">
                      <a16:creationId xmlns:a16="http://schemas.microsoft.com/office/drawing/2014/main" id="{00000000-0008-0000-0600-000097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2" name="正方形/長方形 151">
                  <a:extLst>
                    <a:ext uri="{FF2B5EF4-FFF2-40B4-BE49-F238E27FC236}">
                      <a16:creationId xmlns:a16="http://schemas.microsoft.com/office/drawing/2014/main" id="{00000000-0008-0000-0600-000098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3" name="正方形/長方形 152">
                  <a:extLst>
                    <a:ext uri="{FF2B5EF4-FFF2-40B4-BE49-F238E27FC236}">
                      <a16:creationId xmlns:a16="http://schemas.microsoft.com/office/drawing/2014/main" id="{00000000-0008-0000-0600-000099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3" name="グループ化 142">
                <a:extLst>
                  <a:ext uri="{FF2B5EF4-FFF2-40B4-BE49-F238E27FC236}">
                    <a16:creationId xmlns:a16="http://schemas.microsoft.com/office/drawing/2014/main" id="{00000000-0008-0000-0600-00008F000000}"/>
                  </a:ext>
                </a:extLst>
              </xdr:cNvPr>
              <xdr:cNvGrpSpPr>
                <a:grpSpLocks/>
              </xdr:cNvGrpSpPr>
            </xdr:nvGrpSpPr>
            <xdr:grpSpPr bwMode="auto">
              <a:xfrm rot="16200000">
                <a:off x="4210218" y="5334063"/>
                <a:ext cx="199892" cy="105519"/>
                <a:chOff x="971600" y="1268760"/>
                <a:chExt cx="2304256" cy="1800200"/>
              </a:xfrm>
            </xdr:grpSpPr>
            <xdr:sp macro="" textlink="">
              <xdr:nvSpPr>
                <xdr:cNvPr id="148" name="正方形/長方形 147">
                  <a:extLst>
                    <a:ext uri="{FF2B5EF4-FFF2-40B4-BE49-F238E27FC236}">
                      <a16:creationId xmlns:a16="http://schemas.microsoft.com/office/drawing/2014/main" id="{00000000-0008-0000-0600-00009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49" name="正方形/長方形 148">
                  <a:extLst>
                    <a:ext uri="{FF2B5EF4-FFF2-40B4-BE49-F238E27FC236}">
                      <a16:creationId xmlns:a16="http://schemas.microsoft.com/office/drawing/2014/main" id="{00000000-0008-0000-0600-00009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50" name="正方形/長方形 149">
                  <a:extLst>
                    <a:ext uri="{FF2B5EF4-FFF2-40B4-BE49-F238E27FC236}">
                      <a16:creationId xmlns:a16="http://schemas.microsoft.com/office/drawing/2014/main" id="{00000000-0008-0000-0600-00009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44" name="グループ化 143">
                <a:extLst>
                  <a:ext uri="{FF2B5EF4-FFF2-40B4-BE49-F238E27FC236}">
                    <a16:creationId xmlns:a16="http://schemas.microsoft.com/office/drawing/2014/main" id="{00000000-0008-0000-0600-000090000000}"/>
                  </a:ext>
                </a:extLst>
              </xdr:cNvPr>
              <xdr:cNvGrpSpPr>
                <a:grpSpLocks/>
              </xdr:cNvGrpSpPr>
            </xdr:nvGrpSpPr>
            <xdr:grpSpPr bwMode="auto">
              <a:xfrm rot="16200000">
                <a:off x="4210219" y="4948844"/>
                <a:ext cx="199892" cy="105519"/>
                <a:chOff x="971600" y="1268760"/>
                <a:chExt cx="2304256" cy="1800200"/>
              </a:xfrm>
            </xdr:grpSpPr>
            <xdr:sp macro="" textlink="">
              <xdr:nvSpPr>
                <xdr:cNvPr id="145" name="正方形/長方形 144">
                  <a:extLst>
                    <a:ext uri="{FF2B5EF4-FFF2-40B4-BE49-F238E27FC236}">
                      <a16:creationId xmlns:a16="http://schemas.microsoft.com/office/drawing/2014/main" id="{00000000-0008-0000-0600-00009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46" name="正方形/長方形 145">
                  <a:extLst>
                    <a:ext uri="{FF2B5EF4-FFF2-40B4-BE49-F238E27FC236}">
                      <a16:creationId xmlns:a16="http://schemas.microsoft.com/office/drawing/2014/main" id="{00000000-0008-0000-0600-00009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47" name="正方形/長方形 146">
                  <a:extLst>
                    <a:ext uri="{FF2B5EF4-FFF2-40B4-BE49-F238E27FC236}">
                      <a16:creationId xmlns:a16="http://schemas.microsoft.com/office/drawing/2014/main" id="{00000000-0008-0000-0600-00009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sp macro="" textlink="">
        <xdr:nvSpPr>
          <xdr:cNvPr id="36" name="正方形/長方形 35">
            <a:extLst>
              <a:ext uri="{FF2B5EF4-FFF2-40B4-BE49-F238E27FC236}">
                <a16:creationId xmlns:a16="http://schemas.microsoft.com/office/drawing/2014/main" id="{00000000-0008-0000-0600-000024000000}"/>
              </a:ext>
            </a:extLst>
          </xdr:cNvPr>
          <xdr:cNvSpPr/>
        </xdr:nvSpPr>
        <xdr:spPr>
          <a:xfrm>
            <a:off x="4151785" y="2096639"/>
            <a:ext cx="282270" cy="479202"/>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7" name="グループ化 36">
            <a:extLst>
              <a:ext uri="{FF2B5EF4-FFF2-40B4-BE49-F238E27FC236}">
                <a16:creationId xmlns:a16="http://schemas.microsoft.com/office/drawing/2014/main" id="{00000000-0008-0000-0600-000025000000}"/>
              </a:ext>
            </a:extLst>
          </xdr:cNvPr>
          <xdr:cNvGrpSpPr/>
        </xdr:nvGrpSpPr>
        <xdr:grpSpPr>
          <a:xfrm>
            <a:off x="2473879" y="2050018"/>
            <a:ext cx="1549697" cy="585111"/>
            <a:chOff x="2473879" y="4901658"/>
            <a:chExt cx="1549697" cy="585111"/>
          </a:xfrm>
        </xdr:grpSpPr>
        <xdr:sp macro="" textlink="">
          <xdr:nvSpPr>
            <xdr:cNvPr id="87" name="角丸四角形 696">
              <a:extLst>
                <a:ext uri="{FF2B5EF4-FFF2-40B4-BE49-F238E27FC236}">
                  <a16:creationId xmlns:a16="http://schemas.microsoft.com/office/drawing/2014/main" id="{00000000-0008-0000-0600-00005700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88" name="正方形/長方形 87">
              <a:extLst>
                <a:ext uri="{FF2B5EF4-FFF2-40B4-BE49-F238E27FC236}">
                  <a16:creationId xmlns:a16="http://schemas.microsoft.com/office/drawing/2014/main" id="{00000000-0008-0000-0600-00005800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89" name="グループ化 88">
              <a:extLst>
                <a:ext uri="{FF2B5EF4-FFF2-40B4-BE49-F238E27FC236}">
                  <a16:creationId xmlns:a16="http://schemas.microsoft.com/office/drawing/2014/main" id="{00000000-0008-0000-0600-000059000000}"/>
                </a:ext>
              </a:extLst>
            </xdr:cNvPr>
            <xdr:cNvGrpSpPr>
              <a:grpSpLocks/>
            </xdr:cNvGrpSpPr>
          </xdr:nvGrpSpPr>
          <xdr:grpSpPr bwMode="auto">
            <a:xfrm rot="16200000">
              <a:off x="2426693" y="5334063"/>
              <a:ext cx="199892" cy="105519"/>
              <a:chOff x="971600" y="1268760"/>
              <a:chExt cx="2304256" cy="1800200"/>
            </a:xfrm>
          </xdr:grpSpPr>
          <xdr:sp macro="" textlink="">
            <xdr:nvSpPr>
              <xdr:cNvPr id="128" name="正方形/長方形 127">
                <a:extLst>
                  <a:ext uri="{FF2B5EF4-FFF2-40B4-BE49-F238E27FC236}">
                    <a16:creationId xmlns:a16="http://schemas.microsoft.com/office/drawing/2014/main" id="{00000000-0008-0000-0600-000080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9" name="正方形/長方形 128">
                <a:extLst>
                  <a:ext uri="{FF2B5EF4-FFF2-40B4-BE49-F238E27FC236}">
                    <a16:creationId xmlns:a16="http://schemas.microsoft.com/office/drawing/2014/main" id="{00000000-0008-0000-0600-000081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30" name="正方形/長方形 129">
                <a:extLst>
                  <a:ext uri="{FF2B5EF4-FFF2-40B4-BE49-F238E27FC236}">
                    <a16:creationId xmlns:a16="http://schemas.microsoft.com/office/drawing/2014/main" id="{00000000-0008-0000-0600-000082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0" name="グループ化 89">
              <a:extLst>
                <a:ext uri="{FF2B5EF4-FFF2-40B4-BE49-F238E27FC236}">
                  <a16:creationId xmlns:a16="http://schemas.microsoft.com/office/drawing/2014/main" id="{00000000-0008-0000-0600-00005A000000}"/>
                </a:ext>
              </a:extLst>
            </xdr:cNvPr>
            <xdr:cNvGrpSpPr>
              <a:grpSpLocks/>
            </xdr:cNvGrpSpPr>
          </xdr:nvGrpSpPr>
          <xdr:grpSpPr bwMode="auto">
            <a:xfrm rot="16200000">
              <a:off x="2426694" y="4948844"/>
              <a:ext cx="199892" cy="105519"/>
              <a:chOff x="971600" y="1268760"/>
              <a:chExt cx="2304256" cy="1800200"/>
            </a:xfrm>
          </xdr:grpSpPr>
          <xdr:sp macro="" textlink="">
            <xdr:nvSpPr>
              <xdr:cNvPr id="125" name="正方形/長方形 124">
                <a:extLst>
                  <a:ext uri="{FF2B5EF4-FFF2-40B4-BE49-F238E27FC236}">
                    <a16:creationId xmlns:a16="http://schemas.microsoft.com/office/drawing/2014/main" id="{00000000-0008-0000-0600-00007D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6" name="正方形/長方形 125">
                <a:extLst>
                  <a:ext uri="{FF2B5EF4-FFF2-40B4-BE49-F238E27FC236}">
                    <a16:creationId xmlns:a16="http://schemas.microsoft.com/office/drawing/2014/main" id="{00000000-0008-0000-0600-00007E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7" name="正方形/長方形 126">
                <a:extLst>
                  <a:ext uri="{FF2B5EF4-FFF2-40B4-BE49-F238E27FC236}">
                    <a16:creationId xmlns:a16="http://schemas.microsoft.com/office/drawing/2014/main" id="{00000000-0008-0000-0600-00007F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91" name="正方形/長方形 90">
              <a:extLst>
                <a:ext uri="{FF2B5EF4-FFF2-40B4-BE49-F238E27FC236}">
                  <a16:creationId xmlns:a16="http://schemas.microsoft.com/office/drawing/2014/main" id="{00000000-0008-0000-0600-00005B00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92" name="グループ化 91">
              <a:extLst>
                <a:ext uri="{FF2B5EF4-FFF2-40B4-BE49-F238E27FC236}">
                  <a16:creationId xmlns:a16="http://schemas.microsoft.com/office/drawing/2014/main" id="{00000000-0008-0000-0600-00005C000000}"/>
                </a:ext>
              </a:extLst>
            </xdr:cNvPr>
            <xdr:cNvGrpSpPr/>
          </xdr:nvGrpSpPr>
          <xdr:grpSpPr>
            <a:xfrm>
              <a:off x="3389293" y="4901658"/>
              <a:ext cx="634283" cy="585111"/>
              <a:chOff x="3728641" y="4901658"/>
              <a:chExt cx="634283" cy="585111"/>
            </a:xfrm>
          </xdr:grpSpPr>
          <xdr:grpSp>
            <xdr:nvGrpSpPr>
              <xdr:cNvPr id="93" name="グループ化 92">
                <a:extLst>
                  <a:ext uri="{FF2B5EF4-FFF2-40B4-BE49-F238E27FC236}">
                    <a16:creationId xmlns:a16="http://schemas.microsoft.com/office/drawing/2014/main" id="{00000000-0008-0000-0600-00005D000000}"/>
                  </a:ext>
                </a:extLst>
              </xdr:cNvPr>
              <xdr:cNvGrpSpPr>
                <a:grpSpLocks/>
              </xdr:cNvGrpSpPr>
            </xdr:nvGrpSpPr>
            <xdr:grpSpPr bwMode="auto">
              <a:xfrm rot="16200000">
                <a:off x="3681455" y="5334063"/>
                <a:ext cx="199892" cy="105519"/>
                <a:chOff x="971600" y="1268760"/>
                <a:chExt cx="2304256" cy="1800200"/>
              </a:xfrm>
            </xdr:grpSpPr>
            <xdr:sp macro="" textlink="">
              <xdr:nvSpPr>
                <xdr:cNvPr id="122" name="正方形/長方形 121">
                  <a:extLst>
                    <a:ext uri="{FF2B5EF4-FFF2-40B4-BE49-F238E27FC236}">
                      <a16:creationId xmlns:a16="http://schemas.microsoft.com/office/drawing/2014/main" id="{00000000-0008-0000-0600-00007A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3" name="正方形/長方形 122">
                  <a:extLst>
                    <a:ext uri="{FF2B5EF4-FFF2-40B4-BE49-F238E27FC236}">
                      <a16:creationId xmlns:a16="http://schemas.microsoft.com/office/drawing/2014/main" id="{00000000-0008-0000-0600-00007B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4" name="正方形/長方形 123">
                  <a:extLst>
                    <a:ext uri="{FF2B5EF4-FFF2-40B4-BE49-F238E27FC236}">
                      <a16:creationId xmlns:a16="http://schemas.microsoft.com/office/drawing/2014/main" id="{00000000-0008-0000-0600-00007C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4" name="グループ化 93">
                <a:extLst>
                  <a:ext uri="{FF2B5EF4-FFF2-40B4-BE49-F238E27FC236}">
                    <a16:creationId xmlns:a16="http://schemas.microsoft.com/office/drawing/2014/main" id="{00000000-0008-0000-0600-00005E000000}"/>
                  </a:ext>
                </a:extLst>
              </xdr:cNvPr>
              <xdr:cNvGrpSpPr>
                <a:grpSpLocks/>
              </xdr:cNvGrpSpPr>
            </xdr:nvGrpSpPr>
            <xdr:grpSpPr bwMode="auto">
              <a:xfrm rot="16200000">
                <a:off x="3681456" y="4948844"/>
                <a:ext cx="199892" cy="105519"/>
                <a:chOff x="971600" y="1268760"/>
                <a:chExt cx="2304256" cy="1800200"/>
              </a:xfrm>
            </xdr:grpSpPr>
            <xdr:sp macro="" textlink="">
              <xdr:nvSpPr>
                <xdr:cNvPr id="119" name="正方形/長方形 118">
                  <a:extLst>
                    <a:ext uri="{FF2B5EF4-FFF2-40B4-BE49-F238E27FC236}">
                      <a16:creationId xmlns:a16="http://schemas.microsoft.com/office/drawing/2014/main" id="{00000000-0008-0000-0600-000077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0" name="正方形/長方形 119">
                  <a:extLst>
                    <a:ext uri="{FF2B5EF4-FFF2-40B4-BE49-F238E27FC236}">
                      <a16:creationId xmlns:a16="http://schemas.microsoft.com/office/drawing/2014/main" id="{00000000-0008-0000-0600-000078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21" name="正方形/長方形 120">
                  <a:extLst>
                    <a:ext uri="{FF2B5EF4-FFF2-40B4-BE49-F238E27FC236}">
                      <a16:creationId xmlns:a16="http://schemas.microsoft.com/office/drawing/2014/main" id="{00000000-0008-0000-0600-000079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5" name="グループ化 94">
                <a:extLst>
                  <a:ext uri="{FF2B5EF4-FFF2-40B4-BE49-F238E27FC236}">
                    <a16:creationId xmlns:a16="http://schemas.microsoft.com/office/drawing/2014/main" id="{00000000-0008-0000-0600-00005F000000}"/>
                  </a:ext>
                </a:extLst>
              </xdr:cNvPr>
              <xdr:cNvGrpSpPr>
                <a:grpSpLocks/>
              </xdr:cNvGrpSpPr>
            </xdr:nvGrpSpPr>
            <xdr:grpSpPr bwMode="auto">
              <a:xfrm rot="16200000">
                <a:off x="3849884" y="5334063"/>
                <a:ext cx="199892" cy="105519"/>
                <a:chOff x="971600" y="1268760"/>
                <a:chExt cx="2304256" cy="1800200"/>
              </a:xfrm>
            </xdr:grpSpPr>
            <xdr:sp macro="" textlink="">
              <xdr:nvSpPr>
                <xdr:cNvPr id="116" name="正方形/長方形 115">
                  <a:extLst>
                    <a:ext uri="{FF2B5EF4-FFF2-40B4-BE49-F238E27FC236}">
                      <a16:creationId xmlns:a16="http://schemas.microsoft.com/office/drawing/2014/main" id="{00000000-0008-0000-0600-00007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7" name="正方形/長方形 116">
                  <a:extLst>
                    <a:ext uri="{FF2B5EF4-FFF2-40B4-BE49-F238E27FC236}">
                      <a16:creationId xmlns:a16="http://schemas.microsoft.com/office/drawing/2014/main" id="{00000000-0008-0000-0600-00007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8" name="正方形/長方形 117">
                  <a:extLst>
                    <a:ext uri="{FF2B5EF4-FFF2-40B4-BE49-F238E27FC236}">
                      <a16:creationId xmlns:a16="http://schemas.microsoft.com/office/drawing/2014/main" id="{00000000-0008-0000-0600-00007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6" name="グループ化 95">
                <a:extLst>
                  <a:ext uri="{FF2B5EF4-FFF2-40B4-BE49-F238E27FC236}">
                    <a16:creationId xmlns:a16="http://schemas.microsoft.com/office/drawing/2014/main" id="{00000000-0008-0000-0600-000060000000}"/>
                  </a:ext>
                </a:extLst>
              </xdr:cNvPr>
              <xdr:cNvGrpSpPr>
                <a:grpSpLocks/>
              </xdr:cNvGrpSpPr>
            </xdr:nvGrpSpPr>
            <xdr:grpSpPr bwMode="auto">
              <a:xfrm rot="16200000">
                <a:off x="3849885" y="4948844"/>
                <a:ext cx="199892" cy="105519"/>
                <a:chOff x="971600" y="1268760"/>
                <a:chExt cx="2304256" cy="1800200"/>
              </a:xfrm>
            </xdr:grpSpPr>
            <xdr:sp macro="" textlink="">
              <xdr:nvSpPr>
                <xdr:cNvPr id="113" name="正方形/長方形 112">
                  <a:extLst>
                    <a:ext uri="{FF2B5EF4-FFF2-40B4-BE49-F238E27FC236}">
                      <a16:creationId xmlns:a16="http://schemas.microsoft.com/office/drawing/2014/main" id="{00000000-0008-0000-0600-00007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4" name="正方形/長方形 113">
                  <a:extLst>
                    <a:ext uri="{FF2B5EF4-FFF2-40B4-BE49-F238E27FC236}">
                      <a16:creationId xmlns:a16="http://schemas.microsoft.com/office/drawing/2014/main" id="{00000000-0008-0000-0600-00007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5" name="正方形/長方形 114">
                  <a:extLst>
                    <a:ext uri="{FF2B5EF4-FFF2-40B4-BE49-F238E27FC236}">
                      <a16:creationId xmlns:a16="http://schemas.microsoft.com/office/drawing/2014/main" id="{00000000-0008-0000-0600-00007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7" name="グループ化 96">
                <a:extLst>
                  <a:ext uri="{FF2B5EF4-FFF2-40B4-BE49-F238E27FC236}">
                    <a16:creationId xmlns:a16="http://schemas.microsoft.com/office/drawing/2014/main" id="{00000000-0008-0000-0600-000061000000}"/>
                  </a:ext>
                </a:extLst>
              </xdr:cNvPr>
              <xdr:cNvGrpSpPr>
                <a:grpSpLocks/>
              </xdr:cNvGrpSpPr>
            </xdr:nvGrpSpPr>
            <xdr:grpSpPr bwMode="auto">
              <a:xfrm rot="16200000">
                <a:off x="4041789" y="5334063"/>
                <a:ext cx="199892" cy="105519"/>
                <a:chOff x="971600" y="1268760"/>
                <a:chExt cx="2304256" cy="1800200"/>
              </a:xfrm>
            </xdr:grpSpPr>
            <xdr:sp macro="" textlink="">
              <xdr:nvSpPr>
                <xdr:cNvPr id="110" name="正方形/長方形 109">
                  <a:extLst>
                    <a:ext uri="{FF2B5EF4-FFF2-40B4-BE49-F238E27FC236}">
                      <a16:creationId xmlns:a16="http://schemas.microsoft.com/office/drawing/2014/main" id="{00000000-0008-0000-0600-00006E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1" name="正方形/長方形 110">
                  <a:extLst>
                    <a:ext uri="{FF2B5EF4-FFF2-40B4-BE49-F238E27FC236}">
                      <a16:creationId xmlns:a16="http://schemas.microsoft.com/office/drawing/2014/main" id="{00000000-0008-0000-0600-00006F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12" name="正方形/長方形 111">
                  <a:extLst>
                    <a:ext uri="{FF2B5EF4-FFF2-40B4-BE49-F238E27FC236}">
                      <a16:creationId xmlns:a16="http://schemas.microsoft.com/office/drawing/2014/main" id="{00000000-0008-0000-0600-000070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8" name="グループ化 97">
                <a:extLst>
                  <a:ext uri="{FF2B5EF4-FFF2-40B4-BE49-F238E27FC236}">
                    <a16:creationId xmlns:a16="http://schemas.microsoft.com/office/drawing/2014/main" id="{00000000-0008-0000-0600-000062000000}"/>
                  </a:ext>
                </a:extLst>
              </xdr:cNvPr>
              <xdr:cNvGrpSpPr>
                <a:grpSpLocks/>
              </xdr:cNvGrpSpPr>
            </xdr:nvGrpSpPr>
            <xdr:grpSpPr bwMode="auto">
              <a:xfrm rot="16200000">
                <a:off x="4041790" y="4948844"/>
                <a:ext cx="199892" cy="105519"/>
                <a:chOff x="971600" y="1268760"/>
                <a:chExt cx="2304256" cy="1800200"/>
              </a:xfrm>
            </xdr:grpSpPr>
            <xdr:sp macro="" textlink="">
              <xdr:nvSpPr>
                <xdr:cNvPr id="107" name="正方形/長方形 106">
                  <a:extLst>
                    <a:ext uri="{FF2B5EF4-FFF2-40B4-BE49-F238E27FC236}">
                      <a16:creationId xmlns:a16="http://schemas.microsoft.com/office/drawing/2014/main" id="{00000000-0008-0000-0600-00006B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8" name="正方形/長方形 107">
                  <a:extLst>
                    <a:ext uri="{FF2B5EF4-FFF2-40B4-BE49-F238E27FC236}">
                      <a16:creationId xmlns:a16="http://schemas.microsoft.com/office/drawing/2014/main" id="{00000000-0008-0000-0600-00006C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9" name="正方形/長方形 108">
                  <a:extLst>
                    <a:ext uri="{FF2B5EF4-FFF2-40B4-BE49-F238E27FC236}">
                      <a16:creationId xmlns:a16="http://schemas.microsoft.com/office/drawing/2014/main" id="{00000000-0008-0000-0600-00006D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99" name="グループ化 98">
                <a:extLst>
                  <a:ext uri="{FF2B5EF4-FFF2-40B4-BE49-F238E27FC236}">
                    <a16:creationId xmlns:a16="http://schemas.microsoft.com/office/drawing/2014/main" id="{00000000-0008-0000-0600-000063000000}"/>
                  </a:ext>
                </a:extLst>
              </xdr:cNvPr>
              <xdr:cNvGrpSpPr>
                <a:grpSpLocks/>
              </xdr:cNvGrpSpPr>
            </xdr:nvGrpSpPr>
            <xdr:grpSpPr bwMode="auto">
              <a:xfrm rot="16200000">
                <a:off x="4210218" y="5334063"/>
                <a:ext cx="199892" cy="105519"/>
                <a:chOff x="971600" y="1268760"/>
                <a:chExt cx="2304256" cy="1800200"/>
              </a:xfrm>
            </xdr:grpSpPr>
            <xdr:sp macro="" textlink="">
              <xdr:nvSpPr>
                <xdr:cNvPr id="104" name="正方形/長方形 103">
                  <a:extLst>
                    <a:ext uri="{FF2B5EF4-FFF2-40B4-BE49-F238E27FC236}">
                      <a16:creationId xmlns:a16="http://schemas.microsoft.com/office/drawing/2014/main" id="{00000000-0008-0000-0600-000068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5" name="正方形/長方形 104">
                  <a:extLst>
                    <a:ext uri="{FF2B5EF4-FFF2-40B4-BE49-F238E27FC236}">
                      <a16:creationId xmlns:a16="http://schemas.microsoft.com/office/drawing/2014/main" id="{00000000-0008-0000-0600-000069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6" name="正方形/長方形 105">
                  <a:extLst>
                    <a:ext uri="{FF2B5EF4-FFF2-40B4-BE49-F238E27FC236}">
                      <a16:creationId xmlns:a16="http://schemas.microsoft.com/office/drawing/2014/main" id="{00000000-0008-0000-0600-00006A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00" name="グループ化 99">
                <a:extLst>
                  <a:ext uri="{FF2B5EF4-FFF2-40B4-BE49-F238E27FC236}">
                    <a16:creationId xmlns:a16="http://schemas.microsoft.com/office/drawing/2014/main" id="{00000000-0008-0000-0600-000064000000}"/>
                  </a:ext>
                </a:extLst>
              </xdr:cNvPr>
              <xdr:cNvGrpSpPr>
                <a:grpSpLocks/>
              </xdr:cNvGrpSpPr>
            </xdr:nvGrpSpPr>
            <xdr:grpSpPr bwMode="auto">
              <a:xfrm rot="16200000">
                <a:off x="4210219" y="4948844"/>
                <a:ext cx="199892" cy="105519"/>
                <a:chOff x="971600" y="1268760"/>
                <a:chExt cx="2304256" cy="1800200"/>
              </a:xfrm>
            </xdr:grpSpPr>
            <xdr:sp macro="" textlink="">
              <xdr:nvSpPr>
                <xdr:cNvPr id="101" name="正方形/長方形 100">
                  <a:extLst>
                    <a:ext uri="{FF2B5EF4-FFF2-40B4-BE49-F238E27FC236}">
                      <a16:creationId xmlns:a16="http://schemas.microsoft.com/office/drawing/2014/main" id="{00000000-0008-0000-0600-000065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2" name="正方形/長方形 101">
                  <a:extLst>
                    <a:ext uri="{FF2B5EF4-FFF2-40B4-BE49-F238E27FC236}">
                      <a16:creationId xmlns:a16="http://schemas.microsoft.com/office/drawing/2014/main" id="{00000000-0008-0000-0600-000066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103" name="正方形/長方形 102">
                  <a:extLst>
                    <a:ext uri="{FF2B5EF4-FFF2-40B4-BE49-F238E27FC236}">
                      <a16:creationId xmlns:a16="http://schemas.microsoft.com/office/drawing/2014/main" id="{00000000-0008-0000-0600-000067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sp macro="" textlink="">
        <xdr:nvSpPr>
          <xdr:cNvPr id="38" name="正方形/長方形 37">
            <a:extLst>
              <a:ext uri="{FF2B5EF4-FFF2-40B4-BE49-F238E27FC236}">
                <a16:creationId xmlns:a16="http://schemas.microsoft.com/office/drawing/2014/main" id="{00000000-0008-0000-0600-000026000000}"/>
              </a:ext>
            </a:extLst>
          </xdr:cNvPr>
          <xdr:cNvSpPr/>
        </xdr:nvSpPr>
        <xdr:spPr>
          <a:xfrm>
            <a:off x="4151785" y="2914565"/>
            <a:ext cx="282270" cy="479202"/>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9" name="グループ化 38">
            <a:extLst>
              <a:ext uri="{FF2B5EF4-FFF2-40B4-BE49-F238E27FC236}">
                <a16:creationId xmlns:a16="http://schemas.microsoft.com/office/drawing/2014/main" id="{00000000-0008-0000-0600-000027000000}"/>
              </a:ext>
            </a:extLst>
          </xdr:cNvPr>
          <xdr:cNvGrpSpPr/>
        </xdr:nvGrpSpPr>
        <xdr:grpSpPr>
          <a:xfrm>
            <a:off x="2473879" y="2841310"/>
            <a:ext cx="1549697" cy="585111"/>
            <a:chOff x="2473879" y="4901658"/>
            <a:chExt cx="1549697" cy="585111"/>
          </a:xfrm>
        </xdr:grpSpPr>
        <xdr:sp macro="" textlink="">
          <xdr:nvSpPr>
            <xdr:cNvPr id="43" name="角丸四角形 696">
              <a:extLst>
                <a:ext uri="{FF2B5EF4-FFF2-40B4-BE49-F238E27FC236}">
                  <a16:creationId xmlns:a16="http://schemas.microsoft.com/office/drawing/2014/main" id="{00000000-0008-0000-0600-00002B00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44" name="正方形/長方形 43">
              <a:extLst>
                <a:ext uri="{FF2B5EF4-FFF2-40B4-BE49-F238E27FC236}">
                  <a16:creationId xmlns:a16="http://schemas.microsoft.com/office/drawing/2014/main" id="{00000000-0008-0000-0600-00002C00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45" name="グループ化 44">
              <a:extLst>
                <a:ext uri="{FF2B5EF4-FFF2-40B4-BE49-F238E27FC236}">
                  <a16:creationId xmlns:a16="http://schemas.microsoft.com/office/drawing/2014/main" id="{00000000-0008-0000-0600-00002D000000}"/>
                </a:ext>
              </a:extLst>
            </xdr:cNvPr>
            <xdr:cNvGrpSpPr>
              <a:grpSpLocks/>
            </xdr:cNvGrpSpPr>
          </xdr:nvGrpSpPr>
          <xdr:grpSpPr bwMode="auto">
            <a:xfrm rot="16200000">
              <a:off x="2426693" y="5334063"/>
              <a:ext cx="199892" cy="105519"/>
              <a:chOff x="971600" y="1268760"/>
              <a:chExt cx="2304256" cy="1800200"/>
            </a:xfrm>
          </xdr:grpSpPr>
          <xdr:sp macro="" textlink="">
            <xdr:nvSpPr>
              <xdr:cNvPr id="84" name="正方形/長方形 83">
                <a:extLst>
                  <a:ext uri="{FF2B5EF4-FFF2-40B4-BE49-F238E27FC236}">
                    <a16:creationId xmlns:a16="http://schemas.microsoft.com/office/drawing/2014/main" id="{00000000-0008-0000-0600-00005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5" name="正方形/長方形 84">
                <a:extLst>
                  <a:ext uri="{FF2B5EF4-FFF2-40B4-BE49-F238E27FC236}">
                    <a16:creationId xmlns:a16="http://schemas.microsoft.com/office/drawing/2014/main" id="{00000000-0008-0000-0600-00005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6" name="正方形/長方形 85">
                <a:extLst>
                  <a:ext uri="{FF2B5EF4-FFF2-40B4-BE49-F238E27FC236}">
                    <a16:creationId xmlns:a16="http://schemas.microsoft.com/office/drawing/2014/main" id="{00000000-0008-0000-0600-00005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46" name="グループ化 45">
              <a:extLst>
                <a:ext uri="{FF2B5EF4-FFF2-40B4-BE49-F238E27FC236}">
                  <a16:creationId xmlns:a16="http://schemas.microsoft.com/office/drawing/2014/main" id="{00000000-0008-0000-0600-00002E000000}"/>
                </a:ext>
              </a:extLst>
            </xdr:cNvPr>
            <xdr:cNvGrpSpPr>
              <a:grpSpLocks/>
            </xdr:cNvGrpSpPr>
          </xdr:nvGrpSpPr>
          <xdr:grpSpPr bwMode="auto">
            <a:xfrm rot="16200000">
              <a:off x="2426694" y="4948844"/>
              <a:ext cx="199892" cy="105519"/>
              <a:chOff x="971600" y="1268760"/>
              <a:chExt cx="2304256" cy="1800200"/>
            </a:xfrm>
          </xdr:grpSpPr>
          <xdr:sp macro="" textlink="">
            <xdr:nvSpPr>
              <xdr:cNvPr id="81" name="正方形/長方形 80">
                <a:extLst>
                  <a:ext uri="{FF2B5EF4-FFF2-40B4-BE49-F238E27FC236}">
                    <a16:creationId xmlns:a16="http://schemas.microsoft.com/office/drawing/2014/main" id="{00000000-0008-0000-0600-00005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2" name="正方形/長方形 81">
                <a:extLst>
                  <a:ext uri="{FF2B5EF4-FFF2-40B4-BE49-F238E27FC236}">
                    <a16:creationId xmlns:a16="http://schemas.microsoft.com/office/drawing/2014/main" id="{00000000-0008-0000-0600-00005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3" name="正方形/長方形 82">
                <a:extLst>
                  <a:ext uri="{FF2B5EF4-FFF2-40B4-BE49-F238E27FC236}">
                    <a16:creationId xmlns:a16="http://schemas.microsoft.com/office/drawing/2014/main" id="{00000000-0008-0000-0600-00005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47" name="正方形/長方形 46">
              <a:extLst>
                <a:ext uri="{FF2B5EF4-FFF2-40B4-BE49-F238E27FC236}">
                  <a16:creationId xmlns:a16="http://schemas.microsoft.com/office/drawing/2014/main" id="{00000000-0008-0000-0600-00002F00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48" name="グループ化 47">
              <a:extLst>
                <a:ext uri="{FF2B5EF4-FFF2-40B4-BE49-F238E27FC236}">
                  <a16:creationId xmlns:a16="http://schemas.microsoft.com/office/drawing/2014/main" id="{00000000-0008-0000-0600-000030000000}"/>
                </a:ext>
              </a:extLst>
            </xdr:cNvPr>
            <xdr:cNvGrpSpPr/>
          </xdr:nvGrpSpPr>
          <xdr:grpSpPr>
            <a:xfrm>
              <a:off x="3389293" y="4901658"/>
              <a:ext cx="634283" cy="585111"/>
              <a:chOff x="3728641" y="4901658"/>
              <a:chExt cx="634283" cy="585111"/>
            </a:xfrm>
          </xdr:grpSpPr>
          <xdr:grpSp>
            <xdr:nvGrpSpPr>
              <xdr:cNvPr id="49" name="グループ化 48">
                <a:extLst>
                  <a:ext uri="{FF2B5EF4-FFF2-40B4-BE49-F238E27FC236}">
                    <a16:creationId xmlns:a16="http://schemas.microsoft.com/office/drawing/2014/main" id="{00000000-0008-0000-0600-000031000000}"/>
                  </a:ext>
                </a:extLst>
              </xdr:cNvPr>
              <xdr:cNvGrpSpPr>
                <a:grpSpLocks/>
              </xdr:cNvGrpSpPr>
            </xdr:nvGrpSpPr>
            <xdr:grpSpPr bwMode="auto">
              <a:xfrm rot="16200000">
                <a:off x="3681455" y="5334063"/>
                <a:ext cx="199892" cy="105519"/>
                <a:chOff x="971600" y="1268760"/>
                <a:chExt cx="2304256" cy="1800200"/>
              </a:xfrm>
            </xdr:grpSpPr>
            <xdr:sp macro="" textlink="">
              <xdr:nvSpPr>
                <xdr:cNvPr id="78" name="正方形/長方形 77">
                  <a:extLst>
                    <a:ext uri="{FF2B5EF4-FFF2-40B4-BE49-F238E27FC236}">
                      <a16:creationId xmlns:a16="http://schemas.microsoft.com/office/drawing/2014/main" id="{00000000-0008-0000-0600-00004E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9" name="正方形/長方形 78">
                  <a:extLst>
                    <a:ext uri="{FF2B5EF4-FFF2-40B4-BE49-F238E27FC236}">
                      <a16:creationId xmlns:a16="http://schemas.microsoft.com/office/drawing/2014/main" id="{00000000-0008-0000-0600-00004F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80" name="正方形/長方形 79">
                  <a:extLst>
                    <a:ext uri="{FF2B5EF4-FFF2-40B4-BE49-F238E27FC236}">
                      <a16:creationId xmlns:a16="http://schemas.microsoft.com/office/drawing/2014/main" id="{00000000-0008-0000-0600-000050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0" name="グループ化 49">
                <a:extLst>
                  <a:ext uri="{FF2B5EF4-FFF2-40B4-BE49-F238E27FC236}">
                    <a16:creationId xmlns:a16="http://schemas.microsoft.com/office/drawing/2014/main" id="{00000000-0008-0000-0600-000032000000}"/>
                  </a:ext>
                </a:extLst>
              </xdr:cNvPr>
              <xdr:cNvGrpSpPr>
                <a:grpSpLocks/>
              </xdr:cNvGrpSpPr>
            </xdr:nvGrpSpPr>
            <xdr:grpSpPr bwMode="auto">
              <a:xfrm rot="16200000">
                <a:off x="3681456" y="4948844"/>
                <a:ext cx="199892" cy="105519"/>
                <a:chOff x="971600" y="1268760"/>
                <a:chExt cx="2304256" cy="1800200"/>
              </a:xfrm>
            </xdr:grpSpPr>
            <xdr:sp macro="" textlink="">
              <xdr:nvSpPr>
                <xdr:cNvPr id="75" name="正方形/長方形 74">
                  <a:extLst>
                    <a:ext uri="{FF2B5EF4-FFF2-40B4-BE49-F238E27FC236}">
                      <a16:creationId xmlns:a16="http://schemas.microsoft.com/office/drawing/2014/main" id="{00000000-0008-0000-0600-00004B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6" name="正方形/長方形 75">
                  <a:extLst>
                    <a:ext uri="{FF2B5EF4-FFF2-40B4-BE49-F238E27FC236}">
                      <a16:creationId xmlns:a16="http://schemas.microsoft.com/office/drawing/2014/main" id="{00000000-0008-0000-0600-00004C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7" name="正方形/長方形 76">
                  <a:extLst>
                    <a:ext uri="{FF2B5EF4-FFF2-40B4-BE49-F238E27FC236}">
                      <a16:creationId xmlns:a16="http://schemas.microsoft.com/office/drawing/2014/main" id="{00000000-0008-0000-0600-00004D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1" name="グループ化 50">
                <a:extLst>
                  <a:ext uri="{FF2B5EF4-FFF2-40B4-BE49-F238E27FC236}">
                    <a16:creationId xmlns:a16="http://schemas.microsoft.com/office/drawing/2014/main" id="{00000000-0008-0000-0600-000033000000}"/>
                  </a:ext>
                </a:extLst>
              </xdr:cNvPr>
              <xdr:cNvGrpSpPr>
                <a:grpSpLocks/>
              </xdr:cNvGrpSpPr>
            </xdr:nvGrpSpPr>
            <xdr:grpSpPr bwMode="auto">
              <a:xfrm rot="16200000">
                <a:off x="3849884" y="5334063"/>
                <a:ext cx="199892" cy="105519"/>
                <a:chOff x="971600" y="1268760"/>
                <a:chExt cx="2304256" cy="1800200"/>
              </a:xfrm>
            </xdr:grpSpPr>
            <xdr:sp macro="" textlink="">
              <xdr:nvSpPr>
                <xdr:cNvPr id="72" name="正方形/長方形 71">
                  <a:extLst>
                    <a:ext uri="{FF2B5EF4-FFF2-40B4-BE49-F238E27FC236}">
                      <a16:creationId xmlns:a16="http://schemas.microsoft.com/office/drawing/2014/main" id="{00000000-0008-0000-0600-000048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3" name="正方形/長方形 72">
                  <a:extLst>
                    <a:ext uri="{FF2B5EF4-FFF2-40B4-BE49-F238E27FC236}">
                      <a16:creationId xmlns:a16="http://schemas.microsoft.com/office/drawing/2014/main" id="{00000000-0008-0000-0600-000049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4" name="正方形/長方形 73">
                  <a:extLst>
                    <a:ext uri="{FF2B5EF4-FFF2-40B4-BE49-F238E27FC236}">
                      <a16:creationId xmlns:a16="http://schemas.microsoft.com/office/drawing/2014/main" id="{00000000-0008-0000-0600-00004A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2" name="グループ化 51">
                <a:extLst>
                  <a:ext uri="{FF2B5EF4-FFF2-40B4-BE49-F238E27FC236}">
                    <a16:creationId xmlns:a16="http://schemas.microsoft.com/office/drawing/2014/main" id="{00000000-0008-0000-0600-000034000000}"/>
                  </a:ext>
                </a:extLst>
              </xdr:cNvPr>
              <xdr:cNvGrpSpPr>
                <a:grpSpLocks/>
              </xdr:cNvGrpSpPr>
            </xdr:nvGrpSpPr>
            <xdr:grpSpPr bwMode="auto">
              <a:xfrm rot="16200000">
                <a:off x="3849885" y="4948844"/>
                <a:ext cx="199892" cy="105519"/>
                <a:chOff x="971600" y="1268760"/>
                <a:chExt cx="2304256" cy="1800200"/>
              </a:xfrm>
            </xdr:grpSpPr>
            <xdr:sp macro="" textlink="">
              <xdr:nvSpPr>
                <xdr:cNvPr id="69" name="正方形/長方形 68">
                  <a:extLst>
                    <a:ext uri="{FF2B5EF4-FFF2-40B4-BE49-F238E27FC236}">
                      <a16:creationId xmlns:a16="http://schemas.microsoft.com/office/drawing/2014/main" id="{00000000-0008-0000-0600-000045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0" name="正方形/長方形 69">
                  <a:extLst>
                    <a:ext uri="{FF2B5EF4-FFF2-40B4-BE49-F238E27FC236}">
                      <a16:creationId xmlns:a16="http://schemas.microsoft.com/office/drawing/2014/main" id="{00000000-0008-0000-0600-000046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71" name="正方形/長方形 70">
                  <a:extLst>
                    <a:ext uri="{FF2B5EF4-FFF2-40B4-BE49-F238E27FC236}">
                      <a16:creationId xmlns:a16="http://schemas.microsoft.com/office/drawing/2014/main" id="{00000000-0008-0000-0600-000047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3" name="グループ化 52">
                <a:extLst>
                  <a:ext uri="{FF2B5EF4-FFF2-40B4-BE49-F238E27FC236}">
                    <a16:creationId xmlns:a16="http://schemas.microsoft.com/office/drawing/2014/main" id="{00000000-0008-0000-0600-000035000000}"/>
                  </a:ext>
                </a:extLst>
              </xdr:cNvPr>
              <xdr:cNvGrpSpPr>
                <a:grpSpLocks/>
              </xdr:cNvGrpSpPr>
            </xdr:nvGrpSpPr>
            <xdr:grpSpPr bwMode="auto">
              <a:xfrm rot="16200000">
                <a:off x="4041789" y="5334063"/>
                <a:ext cx="199892" cy="105519"/>
                <a:chOff x="971600" y="1268760"/>
                <a:chExt cx="2304256" cy="1800200"/>
              </a:xfrm>
            </xdr:grpSpPr>
            <xdr:sp macro="" textlink="">
              <xdr:nvSpPr>
                <xdr:cNvPr id="66" name="正方形/長方形 65">
                  <a:extLst>
                    <a:ext uri="{FF2B5EF4-FFF2-40B4-BE49-F238E27FC236}">
                      <a16:creationId xmlns:a16="http://schemas.microsoft.com/office/drawing/2014/main" id="{00000000-0008-0000-0600-000042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7" name="正方形/長方形 66">
                  <a:extLst>
                    <a:ext uri="{FF2B5EF4-FFF2-40B4-BE49-F238E27FC236}">
                      <a16:creationId xmlns:a16="http://schemas.microsoft.com/office/drawing/2014/main" id="{00000000-0008-0000-0600-000043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8" name="正方形/長方形 67">
                  <a:extLst>
                    <a:ext uri="{FF2B5EF4-FFF2-40B4-BE49-F238E27FC236}">
                      <a16:creationId xmlns:a16="http://schemas.microsoft.com/office/drawing/2014/main" id="{00000000-0008-0000-0600-000044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4" name="グループ化 53">
                <a:extLst>
                  <a:ext uri="{FF2B5EF4-FFF2-40B4-BE49-F238E27FC236}">
                    <a16:creationId xmlns:a16="http://schemas.microsoft.com/office/drawing/2014/main" id="{00000000-0008-0000-0600-000036000000}"/>
                  </a:ext>
                </a:extLst>
              </xdr:cNvPr>
              <xdr:cNvGrpSpPr>
                <a:grpSpLocks/>
              </xdr:cNvGrpSpPr>
            </xdr:nvGrpSpPr>
            <xdr:grpSpPr bwMode="auto">
              <a:xfrm rot="16200000">
                <a:off x="4041790" y="4948844"/>
                <a:ext cx="199892" cy="105519"/>
                <a:chOff x="971600" y="1268760"/>
                <a:chExt cx="2304256" cy="1800200"/>
              </a:xfrm>
            </xdr:grpSpPr>
            <xdr:sp macro="" textlink="">
              <xdr:nvSpPr>
                <xdr:cNvPr id="63" name="正方形/長方形 62">
                  <a:extLst>
                    <a:ext uri="{FF2B5EF4-FFF2-40B4-BE49-F238E27FC236}">
                      <a16:creationId xmlns:a16="http://schemas.microsoft.com/office/drawing/2014/main" id="{00000000-0008-0000-0600-00003F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4" name="正方形/長方形 63">
                  <a:extLst>
                    <a:ext uri="{FF2B5EF4-FFF2-40B4-BE49-F238E27FC236}">
                      <a16:creationId xmlns:a16="http://schemas.microsoft.com/office/drawing/2014/main" id="{00000000-0008-0000-0600-000040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5" name="正方形/長方形 64">
                  <a:extLst>
                    <a:ext uri="{FF2B5EF4-FFF2-40B4-BE49-F238E27FC236}">
                      <a16:creationId xmlns:a16="http://schemas.microsoft.com/office/drawing/2014/main" id="{00000000-0008-0000-0600-000041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5" name="グループ化 54">
                <a:extLst>
                  <a:ext uri="{FF2B5EF4-FFF2-40B4-BE49-F238E27FC236}">
                    <a16:creationId xmlns:a16="http://schemas.microsoft.com/office/drawing/2014/main" id="{00000000-0008-0000-0600-000037000000}"/>
                  </a:ext>
                </a:extLst>
              </xdr:cNvPr>
              <xdr:cNvGrpSpPr>
                <a:grpSpLocks/>
              </xdr:cNvGrpSpPr>
            </xdr:nvGrpSpPr>
            <xdr:grpSpPr bwMode="auto">
              <a:xfrm rot="16200000">
                <a:off x="4210218" y="5334063"/>
                <a:ext cx="199892" cy="105519"/>
                <a:chOff x="971600" y="1268760"/>
                <a:chExt cx="2304256" cy="1800200"/>
              </a:xfrm>
            </xdr:grpSpPr>
            <xdr:sp macro="" textlink="">
              <xdr:nvSpPr>
                <xdr:cNvPr id="60" name="正方形/長方形 59">
                  <a:extLst>
                    <a:ext uri="{FF2B5EF4-FFF2-40B4-BE49-F238E27FC236}">
                      <a16:creationId xmlns:a16="http://schemas.microsoft.com/office/drawing/2014/main" id="{00000000-0008-0000-0600-00003C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1" name="正方形/長方形 60">
                  <a:extLst>
                    <a:ext uri="{FF2B5EF4-FFF2-40B4-BE49-F238E27FC236}">
                      <a16:creationId xmlns:a16="http://schemas.microsoft.com/office/drawing/2014/main" id="{00000000-0008-0000-0600-00003D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62" name="正方形/長方形 61">
                  <a:extLst>
                    <a:ext uri="{FF2B5EF4-FFF2-40B4-BE49-F238E27FC236}">
                      <a16:creationId xmlns:a16="http://schemas.microsoft.com/office/drawing/2014/main" id="{00000000-0008-0000-0600-00003E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56" name="グループ化 55">
                <a:extLst>
                  <a:ext uri="{FF2B5EF4-FFF2-40B4-BE49-F238E27FC236}">
                    <a16:creationId xmlns:a16="http://schemas.microsoft.com/office/drawing/2014/main" id="{00000000-0008-0000-0600-000038000000}"/>
                  </a:ext>
                </a:extLst>
              </xdr:cNvPr>
              <xdr:cNvGrpSpPr>
                <a:grpSpLocks/>
              </xdr:cNvGrpSpPr>
            </xdr:nvGrpSpPr>
            <xdr:grpSpPr bwMode="auto">
              <a:xfrm rot="16200000">
                <a:off x="4210219" y="4948844"/>
                <a:ext cx="199892" cy="105519"/>
                <a:chOff x="971600" y="1268760"/>
                <a:chExt cx="2304256" cy="1800200"/>
              </a:xfrm>
            </xdr:grpSpPr>
            <xdr:sp macro="" textlink="">
              <xdr:nvSpPr>
                <xdr:cNvPr id="57" name="正方形/長方形 56">
                  <a:extLst>
                    <a:ext uri="{FF2B5EF4-FFF2-40B4-BE49-F238E27FC236}">
                      <a16:creationId xmlns:a16="http://schemas.microsoft.com/office/drawing/2014/main" id="{00000000-0008-0000-0600-000039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58" name="正方形/長方形 57">
                  <a:extLst>
                    <a:ext uri="{FF2B5EF4-FFF2-40B4-BE49-F238E27FC236}">
                      <a16:creationId xmlns:a16="http://schemas.microsoft.com/office/drawing/2014/main" id="{00000000-0008-0000-0600-00003A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59" name="正方形/長方形 58">
                  <a:extLst>
                    <a:ext uri="{FF2B5EF4-FFF2-40B4-BE49-F238E27FC236}">
                      <a16:creationId xmlns:a16="http://schemas.microsoft.com/office/drawing/2014/main" id="{00000000-0008-0000-0600-00003B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grpSp>
        <xdr:nvGrpSpPr>
          <xdr:cNvPr id="40" name="グループ化 39">
            <a:extLst>
              <a:ext uri="{FF2B5EF4-FFF2-40B4-BE49-F238E27FC236}">
                <a16:creationId xmlns:a16="http://schemas.microsoft.com/office/drawing/2014/main" id="{00000000-0008-0000-0600-000028000000}"/>
              </a:ext>
            </a:extLst>
          </xdr:cNvPr>
          <xdr:cNvGrpSpPr/>
        </xdr:nvGrpSpPr>
        <xdr:grpSpPr>
          <a:xfrm rot="16200000">
            <a:off x="1941664" y="2904724"/>
            <a:ext cx="479564" cy="479858"/>
            <a:chOff x="5793749" y="5157192"/>
            <a:chExt cx="362387" cy="362609"/>
          </a:xfrm>
        </xdr:grpSpPr>
        <xdr:sp macro="" textlink="">
          <xdr:nvSpPr>
            <xdr:cNvPr id="41" name="円/楕円 4">
              <a:extLst>
                <a:ext uri="{FF2B5EF4-FFF2-40B4-BE49-F238E27FC236}">
                  <a16:creationId xmlns:a16="http://schemas.microsoft.com/office/drawing/2014/main" id="{00000000-0008-0000-0600-000029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42" name="円/楕円 9">
              <a:extLst>
                <a:ext uri="{FF2B5EF4-FFF2-40B4-BE49-F238E27FC236}">
                  <a16:creationId xmlns:a16="http://schemas.microsoft.com/office/drawing/2014/main" id="{00000000-0008-0000-0600-00002A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clientData/>
  </xdr:twoCellAnchor>
  <xdr:twoCellAnchor>
    <xdr:from>
      <xdr:col>23</xdr:col>
      <xdr:colOff>763507</xdr:colOff>
      <xdr:row>10</xdr:row>
      <xdr:rowOff>558785</xdr:rowOff>
    </xdr:from>
    <xdr:to>
      <xdr:col>23</xdr:col>
      <xdr:colOff>2283967</xdr:colOff>
      <xdr:row>10</xdr:row>
      <xdr:rowOff>942710</xdr:rowOff>
    </xdr:to>
    <xdr:grpSp>
      <xdr:nvGrpSpPr>
        <xdr:cNvPr id="181" name="グループ化 180">
          <a:extLst>
            <a:ext uri="{FF2B5EF4-FFF2-40B4-BE49-F238E27FC236}">
              <a16:creationId xmlns:a16="http://schemas.microsoft.com/office/drawing/2014/main" id="{00000000-0008-0000-0600-0000B5000000}"/>
            </a:ext>
          </a:extLst>
        </xdr:cNvPr>
        <xdr:cNvGrpSpPr/>
      </xdr:nvGrpSpPr>
      <xdr:grpSpPr>
        <a:xfrm>
          <a:off x="17584657" y="9016985"/>
          <a:ext cx="1520460" cy="2925"/>
          <a:chOff x="1487488" y="4797152"/>
          <a:chExt cx="3384376" cy="823113"/>
        </a:xfrm>
      </xdr:grpSpPr>
      <xdr:sp macro="" textlink="">
        <xdr:nvSpPr>
          <xdr:cNvPr id="182" name="正方形/長方形 181">
            <a:extLst>
              <a:ext uri="{FF2B5EF4-FFF2-40B4-BE49-F238E27FC236}">
                <a16:creationId xmlns:a16="http://schemas.microsoft.com/office/drawing/2014/main" id="{00000000-0008-0000-0600-0000B6000000}"/>
              </a:ext>
            </a:extLst>
          </xdr:cNvPr>
          <xdr:cNvSpPr/>
        </xdr:nvSpPr>
        <xdr:spPr>
          <a:xfrm>
            <a:off x="1487488" y="4797152"/>
            <a:ext cx="3384376" cy="823113"/>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83" name="グループ化 182">
            <a:extLst>
              <a:ext uri="{FF2B5EF4-FFF2-40B4-BE49-F238E27FC236}">
                <a16:creationId xmlns:a16="http://schemas.microsoft.com/office/drawing/2014/main" id="{00000000-0008-0000-0600-0000B7000000}"/>
              </a:ext>
            </a:extLst>
          </xdr:cNvPr>
          <xdr:cNvGrpSpPr/>
        </xdr:nvGrpSpPr>
        <xdr:grpSpPr>
          <a:xfrm>
            <a:off x="1631504" y="4842846"/>
            <a:ext cx="216000" cy="720056"/>
            <a:chOff x="5879976" y="1340768"/>
            <a:chExt cx="216000" cy="720056"/>
          </a:xfrm>
        </xdr:grpSpPr>
        <xdr:sp macro="" textlink="">
          <xdr:nvSpPr>
            <xdr:cNvPr id="235" name="楕円 234">
              <a:extLst>
                <a:ext uri="{FF2B5EF4-FFF2-40B4-BE49-F238E27FC236}">
                  <a16:creationId xmlns:a16="http://schemas.microsoft.com/office/drawing/2014/main" id="{00000000-0008-0000-0600-0000EB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36" name="楕円 235">
              <a:extLst>
                <a:ext uri="{FF2B5EF4-FFF2-40B4-BE49-F238E27FC236}">
                  <a16:creationId xmlns:a16="http://schemas.microsoft.com/office/drawing/2014/main" id="{00000000-0008-0000-0600-0000EC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nvGrpSpPr>
          <xdr:cNvPr id="184" name="グループ化 183">
            <a:extLst>
              <a:ext uri="{FF2B5EF4-FFF2-40B4-BE49-F238E27FC236}">
                <a16:creationId xmlns:a16="http://schemas.microsoft.com/office/drawing/2014/main" id="{00000000-0008-0000-0600-0000B8000000}"/>
              </a:ext>
            </a:extLst>
          </xdr:cNvPr>
          <xdr:cNvGrpSpPr/>
        </xdr:nvGrpSpPr>
        <xdr:grpSpPr>
          <a:xfrm rot="16200000">
            <a:off x="1941664" y="4967844"/>
            <a:ext cx="479564" cy="479858"/>
            <a:chOff x="5793749" y="5157192"/>
            <a:chExt cx="362387" cy="362609"/>
          </a:xfrm>
        </xdr:grpSpPr>
        <xdr:sp macro="" textlink="">
          <xdr:nvSpPr>
            <xdr:cNvPr id="233" name="円/楕円 4">
              <a:extLst>
                <a:ext uri="{FF2B5EF4-FFF2-40B4-BE49-F238E27FC236}">
                  <a16:creationId xmlns:a16="http://schemas.microsoft.com/office/drawing/2014/main" id="{00000000-0008-0000-0600-0000E9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234" name="円/楕円 9">
              <a:extLst>
                <a:ext uri="{FF2B5EF4-FFF2-40B4-BE49-F238E27FC236}">
                  <a16:creationId xmlns:a16="http://schemas.microsoft.com/office/drawing/2014/main" id="{00000000-0008-0000-0600-0000EA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185" name="グループ化 184">
            <a:extLst>
              <a:ext uri="{FF2B5EF4-FFF2-40B4-BE49-F238E27FC236}">
                <a16:creationId xmlns:a16="http://schemas.microsoft.com/office/drawing/2014/main" id="{00000000-0008-0000-0600-0000B9000000}"/>
              </a:ext>
            </a:extLst>
          </xdr:cNvPr>
          <xdr:cNvGrpSpPr>
            <a:grpSpLocks/>
          </xdr:cNvGrpSpPr>
        </xdr:nvGrpSpPr>
        <xdr:grpSpPr bwMode="auto">
          <a:xfrm rot="16200000">
            <a:off x="2426693" y="5334063"/>
            <a:ext cx="199892" cy="105519"/>
            <a:chOff x="971600" y="1268760"/>
            <a:chExt cx="2304256" cy="1800200"/>
          </a:xfrm>
        </xdr:grpSpPr>
        <xdr:sp macro="" textlink="">
          <xdr:nvSpPr>
            <xdr:cNvPr id="230" name="正方形/長方形 229">
              <a:extLst>
                <a:ext uri="{FF2B5EF4-FFF2-40B4-BE49-F238E27FC236}">
                  <a16:creationId xmlns:a16="http://schemas.microsoft.com/office/drawing/2014/main" id="{00000000-0008-0000-0600-0000E6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31" name="正方形/長方形 230">
              <a:extLst>
                <a:ext uri="{FF2B5EF4-FFF2-40B4-BE49-F238E27FC236}">
                  <a16:creationId xmlns:a16="http://schemas.microsoft.com/office/drawing/2014/main" id="{00000000-0008-0000-0600-0000E7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32" name="正方形/長方形 231">
              <a:extLst>
                <a:ext uri="{FF2B5EF4-FFF2-40B4-BE49-F238E27FC236}">
                  <a16:creationId xmlns:a16="http://schemas.microsoft.com/office/drawing/2014/main" id="{00000000-0008-0000-0600-0000E8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6" name="グループ化 185">
            <a:extLst>
              <a:ext uri="{FF2B5EF4-FFF2-40B4-BE49-F238E27FC236}">
                <a16:creationId xmlns:a16="http://schemas.microsoft.com/office/drawing/2014/main" id="{00000000-0008-0000-0600-0000BA000000}"/>
              </a:ext>
            </a:extLst>
          </xdr:cNvPr>
          <xdr:cNvGrpSpPr>
            <a:grpSpLocks/>
          </xdr:cNvGrpSpPr>
        </xdr:nvGrpSpPr>
        <xdr:grpSpPr bwMode="auto">
          <a:xfrm rot="16200000">
            <a:off x="2426694" y="4948844"/>
            <a:ext cx="199892" cy="105519"/>
            <a:chOff x="971600" y="1268760"/>
            <a:chExt cx="2304256" cy="1800200"/>
          </a:xfrm>
        </xdr:grpSpPr>
        <xdr:sp macro="" textlink="">
          <xdr:nvSpPr>
            <xdr:cNvPr id="227" name="正方形/長方形 226">
              <a:extLst>
                <a:ext uri="{FF2B5EF4-FFF2-40B4-BE49-F238E27FC236}">
                  <a16:creationId xmlns:a16="http://schemas.microsoft.com/office/drawing/2014/main" id="{00000000-0008-0000-0600-0000E3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8" name="正方形/長方形 227">
              <a:extLst>
                <a:ext uri="{FF2B5EF4-FFF2-40B4-BE49-F238E27FC236}">
                  <a16:creationId xmlns:a16="http://schemas.microsoft.com/office/drawing/2014/main" id="{00000000-0008-0000-0600-0000E4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9" name="正方形/長方形 228">
              <a:extLst>
                <a:ext uri="{FF2B5EF4-FFF2-40B4-BE49-F238E27FC236}">
                  <a16:creationId xmlns:a16="http://schemas.microsoft.com/office/drawing/2014/main" id="{00000000-0008-0000-0600-0000E5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7" name="グループ化 186">
            <a:extLst>
              <a:ext uri="{FF2B5EF4-FFF2-40B4-BE49-F238E27FC236}">
                <a16:creationId xmlns:a16="http://schemas.microsoft.com/office/drawing/2014/main" id="{00000000-0008-0000-0600-0000BB000000}"/>
              </a:ext>
            </a:extLst>
          </xdr:cNvPr>
          <xdr:cNvGrpSpPr>
            <a:grpSpLocks/>
          </xdr:cNvGrpSpPr>
        </xdr:nvGrpSpPr>
        <xdr:grpSpPr bwMode="auto">
          <a:xfrm rot="16200000">
            <a:off x="3528534" y="5334063"/>
            <a:ext cx="199892" cy="105519"/>
            <a:chOff x="971600" y="1268760"/>
            <a:chExt cx="2304256" cy="1800200"/>
          </a:xfrm>
        </xdr:grpSpPr>
        <xdr:sp macro="" textlink="">
          <xdr:nvSpPr>
            <xdr:cNvPr id="224" name="正方形/長方形 223">
              <a:extLst>
                <a:ext uri="{FF2B5EF4-FFF2-40B4-BE49-F238E27FC236}">
                  <a16:creationId xmlns:a16="http://schemas.microsoft.com/office/drawing/2014/main" id="{00000000-0008-0000-0600-0000E0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5" name="正方形/長方形 224">
              <a:extLst>
                <a:ext uri="{FF2B5EF4-FFF2-40B4-BE49-F238E27FC236}">
                  <a16:creationId xmlns:a16="http://schemas.microsoft.com/office/drawing/2014/main" id="{00000000-0008-0000-0600-0000E1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6" name="正方形/長方形 225">
              <a:extLst>
                <a:ext uri="{FF2B5EF4-FFF2-40B4-BE49-F238E27FC236}">
                  <a16:creationId xmlns:a16="http://schemas.microsoft.com/office/drawing/2014/main" id="{00000000-0008-0000-0600-0000E2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8" name="グループ化 187">
            <a:extLst>
              <a:ext uri="{FF2B5EF4-FFF2-40B4-BE49-F238E27FC236}">
                <a16:creationId xmlns:a16="http://schemas.microsoft.com/office/drawing/2014/main" id="{00000000-0008-0000-0600-0000BC000000}"/>
              </a:ext>
            </a:extLst>
          </xdr:cNvPr>
          <xdr:cNvGrpSpPr>
            <a:grpSpLocks/>
          </xdr:cNvGrpSpPr>
        </xdr:nvGrpSpPr>
        <xdr:grpSpPr bwMode="auto">
          <a:xfrm rot="16200000">
            <a:off x="3528535" y="4948844"/>
            <a:ext cx="199892" cy="105519"/>
            <a:chOff x="971600" y="1268760"/>
            <a:chExt cx="2304256" cy="1800200"/>
          </a:xfrm>
        </xdr:grpSpPr>
        <xdr:sp macro="" textlink="">
          <xdr:nvSpPr>
            <xdr:cNvPr id="221" name="正方形/長方形 220">
              <a:extLst>
                <a:ext uri="{FF2B5EF4-FFF2-40B4-BE49-F238E27FC236}">
                  <a16:creationId xmlns:a16="http://schemas.microsoft.com/office/drawing/2014/main" id="{00000000-0008-0000-0600-0000DD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2" name="正方形/長方形 221">
              <a:extLst>
                <a:ext uri="{FF2B5EF4-FFF2-40B4-BE49-F238E27FC236}">
                  <a16:creationId xmlns:a16="http://schemas.microsoft.com/office/drawing/2014/main" id="{00000000-0008-0000-0600-0000DE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3" name="正方形/長方形 222">
              <a:extLst>
                <a:ext uri="{FF2B5EF4-FFF2-40B4-BE49-F238E27FC236}">
                  <a16:creationId xmlns:a16="http://schemas.microsoft.com/office/drawing/2014/main" id="{00000000-0008-0000-0600-0000DF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89" name="グループ化 188">
            <a:extLst>
              <a:ext uri="{FF2B5EF4-FFF2-40B4-BE49-F238E27FC236}">
                <a16:creationId xmlns:a16="http://schemas.microsoft.com/office/drawing/2014/main" id="{00000000-0008-0000-0600-0000BD000000}"/>
              </a:ext>
            </a:extLst>
          </xdr:cNvPr>
          <xdr:cNvGrpSpPr>
            <a:grpSpLocks/>
          </xdr:cNvGrpSpPr>
        </xdr:nvGrpSpPr>
        <xdr:grpSpPr bwMode="auto">
          <a:xfrm rot="16200000">
            <a:off x="3696963" y="5334063"/>
            <a:ext cx="199892" cy="105519"/>
            <a:chOff x="971600" y="1268760"/>
            <a:chExt cx="2304256" cy="1800200"/>
          </a:xfrm>
        </xdr:grpSpPr>
        <xdr:sp macro="" textlink="">
          <xdr:nvSpPr>
            <xdr:cNvPr id="218" name="正方形/長方形 217">
              <a:extLst>
                <a:ext uri="{FF2B5EF4-FFF2-40B4-BE49-F238E27FC236}">
                  <a16:creationId xmlns:a16="http://schemas.microsoft.com/office/drawing/2014/main" id="{00000000-0008-0000-0600-0000DA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9" name="正方形/長方形 218">
              <a:extLst>
                <a:ext uri="{FF2B5EF4-FFF2-40B4-BE49-F238E27FC236}">
                  <a16:creationId xmlns:a16="http://schemas.microsoft.com/office/drawing/2014/main" id="{00000000-0008-0000-0600-0000DB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20" name="正方形/長方形 219">
              <a:extLst>
                <a:ext uri="{FF2B5EF4-FFF2-40B4-BE49-F238E27FC236}">
                  <a16:creationId xmlns:a16="http://schemas.microsoft.com/office/drawing/2014/main" id="{00000000-0008-0000-0600-0000DC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0" name="グループ化 189">
            <a:extLst>
              <a:ext uri="{FF2B5EF4-FFF2-40B4-BE49-F238E27FC236}">
                <a16:creationId xmlns:a16="http://schemas.microsoft.com/office/drawing/2014/main" id="{00000000-0008-0000-0600-0000BE000000}"/>
              </a:ext>
            </a:extLst>
          </xdr:cNvPr>
          <xdr:cNvGrpSpPr>
            <a:grpSpLocks/>
          </xdr:cNvGrpSpPr>
        </xdr:nvGrpSpPr>
        <xdr:grpSpPr bwMode="auto">
          <a:xfrm rot="16200000">
            <a:off x="3696964" y="4948844"/>
            <a:ext cx="199892" cy="105519"/>
            <a:chOff x="971600" y="1268760"/>
            <a:chExt cx="2304256" cy="1800200"/>
          </a:xfrm>
        </xdr:grpSpPr>
        <xdr:sp macro="" textlink="">
          <xdr:nvSpPr>
            <xdr:cNvPr id="215" name="正方形/長方形 214">
              <a:extLst>
                <a:ext uri="{FF2B5EF4-FFF2-40B4-BE49-F238E27FC236}">
                  <a16:creationId xmlns:a16="http://schemas.microsoft.com/office/drawing/2014/main" id="{00000000-0008-0000-0600-0000D7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6" name="正方形/長方形 215">
              <a:extLst>
                <a:ext uri="{FF2B5EF4-FFF2-40B4-BE49-F238E27FC236}">
                  <a16:creationId xmlns:a16="http://schemas.microsoft.com/office/drawing/2014/main" id="{00000000-0008-0000-0600-0000D8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7" name="正方形/長方形 216">
              <a:extLst>
                <a:ext uri="{FF2B5EF4-FFF2-40B4-BE49-F238E27FC236}">
                  <a16:creationId xmlns:a16="http://schemas.microsoft.com/office/drawing/2014/main" id="{00000000-0008-0000-0600-0000D9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1" name="グループ化 190">
            <a:extLst>
              <a:ext uri="{FF2B5EF4-FFF2-40B4-BE49-F238E27FC236}">
                <a16:creationId xmlns:a16="http://schemas.microsoft.com/office/drawing/2014/main" id="{00000000-0008-0000-0600-0000BF000000}"/>
              </a:ext>
            </a:extLst>
          </xdr:cNvPr>
          <xdr:cNvGrpSpPr>
            <a:grpSpLocks/>
          </xdr:cNvGrpSpPr>
        </xdr:nvGrpSpPr>
        <xdr:grpSpPr bwMode="auto">
          <a:xfrm rot="16200000">
            <a:off x="3888868" y="5334063"/>
            <a:ext cx="199892" cy="105519"/>
            <a:chOff x="971600" y="1268760"/>
            <a:chExt cx="2304256" cy="1800200"/>
          </a:xfrm>
        </xdr:grpSpPr>
        <xdr:sp macro="" textlink="">
          <xdr:nvSpPr>
            <xdr:cNvPr id="212" name="正方形/長方形 211">
              <a:extLst>
                <a:ext uri="{FF2B5EF4-FFF2-40B4-BE49-F238E27FC236}">
                  <a16:creationId xmlns:a16="http://schemas.microsoft.com/office/drawing/2014/main" id="{00000000-0008-0000-0600-0000D4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3" name="正方形/長方形 212">
              <a:extLst>
                <a:ext uri="{FF2B5EF4-FFF2-40B4-BE49-F238E27FC236}">
                  <a16:creationId xmlns:a16="http://schemas.microsoft.com/office/drawing/2014/main" id="{00000000-0008-0000-0600-0000D5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4" name="正方形/長方形 213">
              <a:extLst>
                <a:ext uri="{FF2B5EF4-FFF2-40B4-BE49-F238E27FC236}">
                  <a16:creationId xmlns:a16="http://schemas.microsoft.com/office/drawing/2014/main" id="{00000000-0008-0000-0600-0000D6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2" name="グループ化 191">
            <a:extLst>
              <a:ext uri="{FF2B5EF4-FFF2-40B4-BE49-F238E27FC236}">
                <a16:creationId xmlns:a16="http://schemas.microsoft.com/office/drawing/2014/main" id="{00000000-0008-0000-0600-0000C0000000}"/>
              </a:ext>
            </a:extLst>
          </xdr:cNvPr>
          <xdr:cNvGrpSpPr>
            <a:grpSpLocks/>
          </xdr:cNvGrpSpPr>
        </xdr:nvGrpSpPr>
        <xdr:grpSpPr bwMode="auto">
          <a:xfrm rot="16200000">
            <a:off x="3888869" y="4948844"/>
            <a:ext cx="199892" cy="105519"/>
            <a:chOff x="971600" y="1268760"/>
            <a:chExt cx="2304256" cy="1800200"/>
          </a:xfrm>
        </xdr:grpSpPr>
        <xdr:sp macro="" textlink="">
          <xdr:nvSpPr>
            <xdr:cNvPr id="209" name="正方形/長方形 208">
              <a:extLst>
                <a:ext uri="{FF2B5EF4-FFF2-40B4-BE49-F238E27FC236}">
                  <a16:creationId xmlns:a16="http://schemas.microsoft.com/office/drawing/2014/main" id="{00000000-0008-0000-0600-0000D100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0" name="正方形/長方形 209">
              <a:extLst>
                <a:ext uri="{FF2B5EF4-FFF2-40B4-BE49-F238E27FC236}">
                  <a16:creationId xmlns:a16="http://schemas.microsoft.com/office/drawing/2014/main" id="{00000000-0008-0000-0600-0000D200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11" name="正方形/長方形 210">
              <a:extLst>
                <a:ext uri="{FF2B5EF4-FFF2-40B4-BE49-F238E27FC236}">
                  <a16:creationId xmlns:a16="http://schemas.microsoft.com/office/drawing/2014/main" id="{00000000-0008-0000-0600-0000D300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193" name="グループ化 192">
            <a:extLst>
              <a:ext uri="{FF2B5EF4-FFF2-40B4-BE49-F238E27FC236}">
                <a16:creationId xmlns:a16="http://schemas.microsoft.com/office/drawing/2014/main" id="{00000000-0008-0000-0600-0000C1000000}"/>
              </a:ext>
            </a:extLst>
          </xdr:cNvPr>
          <xdr:cNvGrpSpPr/>
        </xdr:nvGrpSpPr>
        <xdr:grpSpPr>
          <a:xfrm>
            <a:off x="4228858" y="4868970"/>
            <a:ext cx="249098" cy="267109"/>
            <a:chOff x="3321611" y="2348880"/>
            <a:chExt cx="517113" cy="554502"/>
          </a:xfrm>
        </xdr:grpSpPr>
        <xdr:sp macro="" textlink="">
          <xdr:nvSpPr>
            <xdr:cNvPr id="207" name="角丸四角形 915">
              <a:extLst>
                <a:ext uri="{FF2B5EF4-FFF2-40B4-BE49-F238E27FC236}">
                  <a16:creationId xmlns:a16="http://schemas.microsoft.com/office/drawing/2014/main" id="{00000000-0008-0000-0600-0000CF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8" name="角丸四角形 916">
              <a:extLst>
                <a:ext uri="{FF2B5EF4-FFF2-40B4-BE49-F238E27FC236}">
                  <a16:creationId xmlns:a16="http://schemas.microsoft.com/office/drawing/2014/main" id="{00000000-0008-0000-0600-0000D0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nvGrpSpPr>
          <xdr:cNvPr id="194" name="グループ化 193">
            <a:extLst>
              <a:ext uri="{FF2B5EF4-FFF2-40B4-BE49-F238E27FC236}">
                <a16:creationId xmlns:a16="http://schemas.microsoft.com/office/drawing/2014/main" id="{00000000-0008-0000-0600-0000C2000000}"/>
              </a:ext>
            </a:extLst>
          </xdr:cNvPr>
          <xdr:cNvGrpSpPr/>
        </xdr:nvGrpSpPr>
        <xdr:grpSpPr>
          <a:xfrm>
            <a:off x="4228858" y="5264131"/>
            <a:ext cx="249098" cy="267109"/>
            <a:chOff x="3321611" y="2348880"/>
            <a:chExt cx="517113" cy="554502"/>
          </a:xfrm>
        </xdr:grpSpPr>
        <xdr:sp macro="" textlink="">
          <xdr:nvSpPr>
            <xdr:cNvPr id="205" name="角丸四角形 915">
              <a:extLst>
                <a:ext uri="{FF2B5EF4-FFF2-40B4-BE49-F238E27FC236}">
                  <a16:creationId xmlns:a16="http://schemas.microsoft.com/office/drawing/2014/main" id="{00000000-0008-0000-0600-0000CD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6" name="角丸四角形 916">
              <a:extLst>
                <a:ext uri="{FF2B5EF4-FFF2-40B4-BE49-F238E27FC236}">
                  <a16:creationId xmlns:a16="http://schemas.microsoft.com/office/drawing/2014/main" id="{00000000-0008-0000-0600-0000CE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nvGrpSpPr>
          <xdr:cNvPr id="195" name="グループ化 194">
            <a:extLst>
              <a:ext uri="{FF2B5EF4-FFF2-40B4-BE49-F238E27FC236}">
                <a16:creationId xmlns:a16="http://schemas.microsoft.com/office/drawing/2014/main" id="{00000000-0008-0000-0600-0000C3000000}"/>
              </a:ext>
            </a:extLst>
          </xdr:cNvPr>
          <xdr:cNvGrpSpPr/>
        </xdr:nvGrpSpPr>
        <xdr:grpSpPr>
          <a:xfrm>
            <a:off x="4531824" y="4868970"/>
            <a:ext cx="249098" cy="267109"/>
            <a:chOff x="3321611" y="2348880"/>
            <a:chExt cx="517113" cy="554502"/>
          </a:xfrm>
        </xdr:grpSpPr>
        <xdr:sp macro="" textlink="">
          <xdr:nvSpPr>
            <xdr:cNvPr id="203" name="角丸四角形 915">
              <a:extLst>
                <a:ext uri="{FF2B5EF4-FFF2-40B4-BE49-F238E27FC236}">
                  <a16:creationId xmlns:a16="http://schemas.microsoft.com/office/drawing/2014/main" id="{00000000-0008-0000-0600-0000CB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4" name="角丸四角形 916">
              <a:extLst>
                <a:ext uri="{FF2B5EF4-FFF2-40B4-BE49-F238E27FC236}">
                  <a16:creationId xmlns:a16="http://schemas.microsoft.com/office/drawing/2014/main" id="{00000000-0008-0000-0600-0000CC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nvGrpSpPr>
          <xdr:cNvPr id="196" name="グループ化 195">
            <a:extLst>
              <a:ext uri="{FF2B5EF4-FFF2-40B4-BE49-F238E27FC236}">
                <a16:creationId xmlns:a16="http://schemas.microsoft.com/office/drawing/2014/main" id="{00000000-0008-0000-0600-0000C4000000}"/>
              </a:ext>
            </a:extLst>
          </xdr:cNvPr>
          <xdr:cNvGrpSpPr/>
        </xdr:nvGrpSpPr>
        <xdr:grpSpPr>
          <a:xfrm>
            <a:off x="4531824" y="5264131"/>
            <a:ext cx="249098" cy="267109"/>
            <a:chOff x="3321611" y="2348880"/>
            <a:chExt cx="517113" cy="554502"/>
          </a:xfrm>
        </xdr:grpSpPr>
        <xdr:sp macro="" textlink="">
          <xdr:nvSpPr>
            <xdr:cNvPr id="201" name="角丸四角形 915">
              <a:extLst>
                <a:ext uri="{FF2B5EF4-FFF2-40B4-BE49-F238E27FC236}">
                  <a16:creationId xmlns:a16="http://schemas.microsoft.com/office/drawing/2014/main" id="{00000000-0008-0000-0600-0000C9000000}"/>
                </a:ext>
              </a:extLst>
            </xdr:cNvPr>
            <xdr:cNvSpPr/>
          </xdr:nvSpPr>
          <xdr:spPr>
            <a:xfrm>
              <a:off x="3321611" y="2348880"/>
              <a:ext cx="517113" cy="554502"/>
            </a:xfrm>
            <a:prstGeom prst="roundRect">
              <a:avLst>
                <a:gd name="adj" fmla="val 0"/>
              </a:avLst>
            </a:prstGeom>
            <a:solidFill>
              <a:schemeClr val="bg1"/>
            </a:solidFill>
            <a:ln w="19050">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2" name="角丸四角形 916">
              <a:extLst>
                <a:ext uri="{FF2B5EF4-FFF2-40B4-BE49-F238E27FC236}">
                  <a16:creationId xmlns:a16="http://schemas.microsoft.com/office/drawing/2014/main" id="{00000000-0008-0000-0600-0000CA000000}"/>
                </a:ext>
              </a:extLst>
            </xdr:cNvPr>
            <xdr:cNvSpPr/>
          </xdr:nvSpPr>
          <xdr:spPr>
            <a:xfrm>
              <a:off x="3377469" y="2428386"/>
              <a:ext cx="396423" cy="383810"/>
            </a:xfrm>
            <a:prstGeom prst="roundRect">
              <a:avLst>
                <a:gd name="adj" fmla="val 50000"/>
              </a:avLst>
            </a:prstGeom>
            <a:solidFill>
              <a:srgbClr val="FFFF00"/>
            </a:solidFill>
            <a:ln w="19050">
              <a:solidFill>
                <a:schemeClr val="tx1"/>
              </a:solidFill>
            </a:ln>
            <a:effectLst/>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sp macro="" textlink="">
        <xdr:nvSpPr>
          <xdr:cNvPr id="197" name="角丸四角形 696">
            <a:extLst>
              <a:ext uri="{FF2B5EF4-FFF2-40B4-BE49-F238E27FC236}">
                <a16:creationId xmlns:a16="http://schemas.microsoft.com/office/drawing/2014/main" id="{00000000-0008-0000-0600-0000C5000000}"/>
              </a:ext>
            </a:extLst>
          </xdr:cNvPr>
          <xdr:cNvSpPr/>
        </xdr:nvSpPr>
        <xdr:spPr>
          <a:xfrm>
            <a:off x="2896839" y="4919414"/>
            <a:ext cx="517113" cy="554502"/>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198" name="グループ化 197">
            <a:extLst>
              <a:ext uri="{FF2B5EF4-FFF2-40B4-BE49-F238E27FC236}">
                <a16:creationId xmlns:a16="http://schemas.microsoft.com/office/drawing/2014/main" id="{00000000-0008-0000-0600-0000C6000000}"/>
              </a:ext>
            </a:extLst>
          </xdr:cNvPr>
          <xdr:cNvGrpSpPr/>
        </xdr:nvGrpSpPr>
        <xdr:grpSpPr>
          <a:xfrm>
            <a:off x="2639576" y="4957644"/>
            <a:ext cx="180000" cy="486734"/>
            <a:chOff x="2630698" y="4993163"/>
            <a:chExt cx="180000" cy="357940"/>
          </a:xfrm>
        </xdr:grpSpPr>
        <xdr:sp macro="" textlink="">
          <xdr:nvSpPr>
            <xdr:cNvPr id="199" name="正方形/長方形 198">
              <a:extLst>
                <a:ext uri="{FF2B5EF4-FFF2-40B4-BE49-F238E27FC236}">
                  <a16:creationId xmlns:a16="http://schemas.microsoft.com/office/drawing/2014/main" id="{00000000-0008-0000-0600-0000C7000000}"/>
                </a:ext>
              </a:extLst>
            </xdr:cNvPr>
            <xdr:cNvSpPr/>
          </xdr:nvSpPr>
          <xdr:spPr>
            <a:xfrm>
              <a:off x="2630698"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00" name="正方形/長方形 199">
              <a:extLst>
                <a:ext uri="{FF2B5EF4-FFF2-40B4-BE49-F238E27FC236}">
                  <a16:creationId xmlns:a16="http://schemas.microsoft.com/office/drawing/2014/main" id="{00000000-0008-0000-0600-0000C8000000}"/>
                </a:ext>
              </a:extLst>
            </xdr:cNvPr>
            <xdr:cNvSpPr/>
          </xdr:nvSpPr>
          <xdr:spPr>
            <a:xfrm>
              <a:off x="2630698" y="520710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grpSp>
    <xdr:clientData/>
  </xdr:twoCellAnchor>
  <xdr:twoCellAnchor>
    <xdr:from>
      <xdr:col>23</xdr:col>
      <xdr:colOff>760405</xdr:colOff>
      <xdr:row>9</xdr:row>
      <xdr:rowOff>581287</xdr:rowOff>
    </xdr:from>
    <xdr:to>
      <xdr:col>23</xdr:col>
      <xdr:colOff>2269908</xdr:colOff>
      <xdr:row>9</xdr:row>
      <xdr:rowOff>950824</xdr:rowOff>
    </xdr:to>
    <xdr:grpSp>
      <xdr:nvGrpSpPr>
        <xdr:cNvPr id="237" name="グループ化 236">
          <a:extLst>
            <a:ext uri="{FF2B5EF4-FFF2-40B4-BE49-F238E27FC236}">
              <a16:creationId xmlns:a16="http://schemas.microsoft.com/office/drawing/2014/main" id="{00000000-0008-0000-0600-0000ED000000}"/>
            </a:ext>
          </a:extLst>
        </xdr:cNvPr>
        <xdr:cNvGrpSpPr/>
      </xdr:nvGrpSpPr>
      <xdr:grpSpPr>
        <a:xfrm>
          <a:off x="17581555" y="8439412"/>
          <a:ext cx="1509503" cy="179037"/>
          <a:chOff x="1487488" y="4797152"/>
          <a:chExt cx="3476465" cy="823113"/>
        </a:xfrm>
      </xdr:grpSpPr>
      <xdr:sp macro="" textlink="">
        <xdr:nvSpPr>
          <xdr:cNvPr id="238" name="正方形/長方形 237">
            <a:extLst>
              <a:ext uri="{FF2B5EF4-FFF2-40B4-BE49-F238E27FC236}">
                <a16:creationId xmlns:a16="http://schemas.microsoft.com/office/drawing/2014/main" id="{00000000-0008-0000-0600-0000EE000000}"/>
              </a:ext>
            </a:extLst>
          </xdr:cNvPr>
          <xdr:cNvSpPr/>
        </xdr:nvSpPr>
        <xdr:spPr>
          <a:xfrm>
            <a:off x="1487488" y="4797152"/>
            <a:ext cx="3384376" cy="823113"/>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39" name="角丸四角形 696">
            <a:extLst>
              <a:ext uri="{FF2B5EF4-FFF2-40B4-BE49-F238E27FC236}">
                <a16:creationId xmlns:a16="http://schemas.microsoft.com/office/drawing/2014/main" id="{00000000-0008-0000-0600-0000EF000000}"/>
              </a:ext>
            </a:extLst>
          </xdr:cNvPr>
          <xdr:cNvSpPr/>
        </xdr:nvSpPr>
        <xdr:spPr>
          <a:xfrm>
            <a:off x="2896839" y="4901658"/>
            <a:ext cx="517113" cy="554502"/>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0" name="正方形/長方形 239">
            <a:extLst>
              <a:ext uri="{FF2B5EF4-FFF2-40B4-BE49-F238E27FC236}">
                <a16:creationId xmlns:a16="http://schemas.microsoft.com/office/drawing/2014/main" id="{00000000-0008-0000-0600-0000F0000000}"/>
              </a:ext>
            </a:extLst>
          </xdr:cNvPr>
          <xdr:cNvSpPr/>
        </xdr:nvSpPr>
        <xdr:spPr>
          <a:xfrm>
            <a:off x="3495920"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1" name="正方形/長方形 240">
            <a:extLst>
              <a:ext uri="{FF2B5EF4-FFF2-40B4-BE49-F238E27FC236}">
                <a16:creationId xmlns:a16="http://schemas.microsoft.com/office/drawing/2014/main" id="{00000000-0008-0000-0600-0000F1000000}"/>
              </a:ext>
            </a:extLst>
          </xdr:cNvPr>
          <xdr:cNvSpPr/>
        </xdr:nvSpPr>
        <xdr:spPr>
          <a:xfrm>
            <a:off x="3495920" y="523739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2" name="正方形/長方形 241">
            <a:extLst>
              <a:ext uri="{FF2B5EF4-FFF2-40B4-BE49-F238E27FC236}">
                <a16:creationId xmlns:a16="http://schemas.microsoft.com/office/drawing/2014/main" id="{00000000-0008-0000-0600-0000F2000000}"/>
              </a:ext>
            </a:extLst>
          </xdr:cNvPr>
          <xdr:cNvSpPr/>
        </xdr:nvSpPr>
        <xdr:spPr>
          <a:xfrm>
            <a:off x="2630698"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43" name="正方形/長方形 242">
            <a:extLst>
              <a:ext uri="{FF2B5EF4-FFF2-40B4-BE49-F238E27FC236}">
                <a16:creationId xmlns:a16="http://schemas.microsoft.com/office/drawing/2014/main" id="{00000000-0008-0000-0600-0000F3000000}"/>
              </a:ext>
            </a:extLst>
          </xdr:cNvPr>
          <xdr:cNvSpPr/>
        </xdr:nvSpPr>
        <xdr:spPr>
          <a:xfrm>
            <a:off x="2630698" y="523739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44" name="グループ化 243">
            <a:extLst>
              <a:ext uri="{FF2B5EF4-FFF2-40B4-BE49-F238E27FC236}">
                <a16:creationId xmlns:a16="http://schemas.microsoft.com/office/drawing/2014/main" id="{00000000-0008-0000-0600-0000F4000000}"/>
              </a:ext>
            </a:extLst>
          </xdr:cNvPr>
          <xdr:cNvGrpSpPr>
            <a:grpSpLocks/>
          </xdr:cNvGrpSpPr>
        </xdr:nvGrpSpPr>
        <xdr:grpSpPr bwMode="auto">
          <a:xfrm rot="16200000">
            <a:off x="3681455" y="5334063"/>
            <a:ext cx="199892" cy="105519"/>
            <a:chOff x="971600" y="1268760"/>
            <a:chExt cx="2304256" cy="1800200"/>
          </a:xfrm>
        </xdr:grpSpPr>
        <xdr:sp macro="" textlink="">
          <xdr:nvSpPr>
            <xdr:cNvPr id="267" name="正方形/長方形 266">
              <a:extLst>
                <a:ext uri="{FF2B5EF4-FFF2-40B4-BE49-F238E27FC236}">
                  <a16:creationId xmlns:a16="http://schemas.microsoft.com/office/drawing/2014/main" id="{00000000-0008-0000-0600-00000B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8" name="正方形/長方形 267">
              <a:extLst>
                <a:ext uri="{FF2B5EF4-FFF2-40B4-BE49-F238E27FC236}">
                  <a16:creationId xmlns:a16="http://schemas.microsoft.com/office/drawing/2014/main" id="{00000000-0008-0000-0600-00000C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9" name="正方形/長方形 268">
              <a:extLst>
                <a:ext uri="{FF2B5EF4-FFF2-40B4-BE49-F238E27FC236}">
                  <a16:creationId xmlns:a16="http://schemas.microsoft.com/office/drawing/2014/main" id="{00000000-0008-0000-0600-00000D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5" name="グループ化 244">
            <a:extLst>
              <a:ext uri="{FF2B5EF4-FFF2-40B4-BE49-F238E27FC236}">
                <a16:creationId xmlns:a16="http://schemas.microsoft.com/office/drawing/2014/main" id="{00000000-0008-0000-0600-0000F5000000}"/>
              </a:ext>
            </a:extLst>
          </xdr:cNvPr>
          <xdr:cNvGrpSpPr>
            <a:grpSpLocks/>
          </xdr:cNvGrpSpPr>
        </xdr:nvGrpSpPr>
        <xdr:grpSpPr bwMode="auto">
          <a:xfrm rot="16200000">
            <a:off x="3681456" y="4948844"/>
            <a:ext cx="199892" cy="105519"/>
            <a:chOff x="971600" y="1268760"/>
            <a:chExt cx="2304256" cy="1800200"/>
          </a:xfrm>
        </xdr:grpSpPr>
        <xdr:sp macro="" textlink="">
          <xdr:nvSpPr>
            <xdr:cNvPr id="264" name="正方形/長方形 263">
              <a:extLst>
                <a:ext uri="{FF2B5EF4-FFF2-40B4-BE49-F238E27FC236}">
                  <a16:creationId xmlns:a16="http://schemas.microsoft.com/office/drawing/2014/main" id="{00000000-0008-0000-0600-000008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5" name="正方形/長方形 264">
              <a:extLst>
                <a:ext uri="{FF2B5EF4-FFF2-40B4-BE49-F238E27FC236}">
                  <a16:creationId xmlns:a16="http://schemas.microsoft.com/office/drawing/2014/main" id="{00000000-0008-0000-0600-000009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6" name="正方形/長方形 265">
              <a:extLst>
                <a:ext uri="{FF2B5EF4-FFF2-40B4-BE49-F238E27FC236}">
                  <a16:creationId xmlns:a16="http://schemas.microsoft.com/office/drawing/2014/main" id="{00000000-0008-0000-0600-00000A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6" name="グループ化 245">
            <a:extLst>
              <a:ext uri="{FF2B5EF4-FFF2-40B4-BE49-F238E27FC236}">
                <a16:creationId xmlns:a16="http://schemas.microsoft.com/office/drawing/2014/main" id="{00000000-0008-0000-0600-0000F6000000}"/>
              </a:ext>
            </a:extLst>
          </xdr:cNvPr>
          <xdr:cNvGrpSpPr>
            <a:grpSpLocks/>
          </xdr:cNvGrpSpPr>
        </xdr:nvGrpSpPr>
        <xdr:grpSpPr bwMode="auto">
          <a:xfrm rot="16200000">
            <a:off x="2426693" y="5334063"/>
            <a:ext cx="199892" cy="105519"/>
            <a:chOff x="971600" y="1268760"/>
            <a:chExt cx="2304256" cy="1800200"/>
          </a:xfrm>
        </xdr:grpSpPr>
        <xdr:sp macro="" textlink="">
          <xdr:nvSpPr>
            <xdr:cNvPr id="261" name="正方形/長方形 260">
              <a:extLst>
                <a:ext uri="{FF2B5EF4-FFF2-40B4-BE49-F238E27FC236}">
                  <a16:creationId xmlns:a16="http://schemas.microsoft.com/office/drawing/2014/main" id="{00000000-0008-0000-0600-000005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2" name="正方形/長方形 261">
              <a:extLst>
                <a:ext uri="{FF2B5EF4-FFF2-40B4-BE49-F238E27FC236}">
                  <a16:creationId xmlns:a16="http://schemas.microsoft.com/office/drawing/2014/main" id="{00000000-0008-0000-0600-000006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3" name="正方形/長方形 262">
              <a:extLst>
                <a:ext uri="{FF2B5EF4-FFF2-40B4-BE49-F238E27FC236}">
                  <a16:creationId xmlns:a16="http://schemas.microsoft.com/office/drawing/2014/main" id="{00000000-0008-0000-0600-000007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7" name="グループ化 246">
            <a:extLst>
              <a:ext uri="{FF2B5EF4-FFF2-40B4-BE49-F238E27FC236}">
                <a16:creationId xmlns:a16="http://schemas.microsoft.com/office/drawing/2014/main" id="{00000000-0008-0000-0600-0000F7000000}"/>
              </a:ext>
            </a:extLst>
          </xdr:cNvPr>
          <xdr:cNvGrpSpPr>
            <a:grpSpLocks/>
          </xdr:cNvGrpSpPr>
        </xdr:nvGrpSpPr>
        <xdr:grpSpPr bwMode="auto">
          <a:xfrm rot="16200000">
            <a:off x="2426694" y="4948844"/>
            <a:ext cx="199892" cy="105519"/>
            <a:chOff x="971600" y="1268760"/>
            <a:chExt cx="2304256" cy="1800200"/>
          </a:xfrm>
        </xdr:grpSpPr>
        <xdr:sp macro="" textlink="">
          <xdr:nvSpPr>
            <xdr:cNvPr id="258" name="正方形/長方形 257">
              <a:extLst>
                <a:ext uri="{FF2B5EF4-FFF2-40B4-BE49-F238E27FC236}">
                  <a16:creationId xmlns:a16="http://schemas.microsoft.com/office/drawing/2014/main" id="{00000000-0008-0000-0600-000002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59" name="正方形/長方形 258">
              <a:extLst>
                <a:ext uri="{FF2B5EF4-FFF2-40B4-BE49-F238E27FC236}">
                  <a16:creationId xmlns:a16="http://schemas.microsoft.com/office/drawing/2014/main" id="{00000000-0008-0000-0600-000003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60" name="正方形/長方形 259">
              <a:extLst>
                <a:ext uri="{FF2B5EF4-FFF2-40B4-BE49-F238E27FC236}">
                  <a16:creationId xmlns:a16="http://schemas.microsoft.com/office/drawing/2014/main" id="{00000000-0008-0000-0600-000004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48" name="グループ化 247">
            <a:extLst>
              <a:ext uri="{FF2B5EF4-FFF2-40B4-BE49-F238E27FC236}">
                <a16:creationId xmlns:a16="http://schemas.microsoft.com/office/drawing/2014/main" id="{00000000-0008-0000-0600-0000F8000000}"/>
              </a:ext>
            </a:extLst>
          </xdr:cNvPr>
          <xdr:cNvGrpSpPr/>
        </xdr:nvGrpSpPr>
        <xdr:grpSpPr>
          <a:xfrm rot="16200000">
            <a:off x="1941664" y="4967844"/>
            <a:ext cx="479564" cy="479858"/>
            <a:chOff x="5793749" y="5157192"/>
            <a:chExt cx="362387" cy="362609"/>
          </a:xfrm>
        </xdr:grpSpPr>
        <xdr:sp macro="" textlink="">
          <xdr:nvSpPr>
            <xdr:cNvPr id="256" name="円/楕円 4">
              <a:extLst>
                <a:ext uri="{FF2B5EF4-FFF2-40B4-BE49-F238E27FC236}">
                  <a16:creationId xmlns:a16="http://schemas.microsoft.com/office/drawing/2014/main" id="{00000000-0008-0000-0600-000000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257" name="円/楕円 9">
              <a:extLst>
                <a:ext uri="{FF2B5EF4-FFF2-40B4-BE49-F238E27FC236}">
                  <a16:creationId xmlns:a16="http://schemas.microsoft.com/office/drawing/2014/main" id="{00000000-0008-0000-0600-000001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sp macro="" textlink="">
        <xdr:nvSpPr>
          <xdr:cNvPr id="249" name="四角形: 角を丸くする 248">
            <a:extLst>
              <a:ext uri="{FF2B5EF4-FFF2-40B4-BE49-F238E27FC236}">
                <a16:creationId xmlns:a16="http://schemas.microsoft.com/office/drawing/2014/main" id="{00000000-0008-0000-0600-0000F9000000}"/>
              </a:ext>
            </a:extLst>
          </xdr:cNvPr>
          <xdr:cNvSpPr/>
        </xdr:nvSpPr>
        <xdr:spPr>
          <a:xfrm>
            <a:off x="4531905" y="5034949"/>
            <a:ext cx="432048" cy="360040"/>
          </a:xfrm>
          <a:prstGeom prst="roundRect">
            <a:avLst/>
          </a:prstGeom>
          <a:gradFill flip="none" rotWithShape="1">
            <a:gsLst>
              <a:gs pos="0">
                <a:schemeClr val="tx1">
                  <a:lumMod val="50000"/>
                  <a:lumOff val="50000"/>
                </a:schemeClr>
              </a:gs>
              <a:gs pos="75000">
                <a:srgbClr val="E0E0E0"/>
              </a:gs>
              <a:gs pos="25000">
                <a:schemeClr val="bg1">
                  <a:lumMod val="95000"/>
                </a:schemeClr>
              </a:gs>
              <a:gs pos="100000">
                <a:schemeClr val="bg1">
                  <a:lumMod val="50000"/>
                </a:schemeClr>
              </a:gs>
            </a:gsLst>
            <a:lin ang="5400000" scaled="1"/>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250" name="グループ化 249">
            <a:extLst>
              <a:ext uri="{FF2B5EF4-FFF2-40B4-BE49-F238E27FC236}">
                <a16:creationId xmlns:a16="http://schemas.microsoft.com/office/drawing/2014/main" id="{00000000-0008-0000-0600-0000FA000000}"/>
              </a:ext>
            </a:extLst>
          </xdr:cNvPr>
          <xdr:cNvGrpSpPr/>
        </xdr:nvGrpSpPr>
        <xdr:grpSpPr>
          <a:xfrm>
            <a:off x="1631504" y="4842846"/>
            <a:ext cx="216000" cy="720056"/>
            <a:chOff x="5879976" y="1340768"/>
            <a:chExt cx="216000" cy="720056"/>
          </a:xfrm>
        </xdr:grpSpPr>
        <xdr:sp macro="" textlink="">
          <xdr:nvSpPr>
            <xdr:cNvPr id="254" name="楕円 253">
              <a:extLst>
                <a:ext uri="{FF2B5EF4-FFF2-40B4-BE49-F238E27FC236}">
                  <a16:creationId xmlns:a16="http://schemas.microsoft.com/office/drawing/2014/main" id="{00000000-0008-0000-0600-0000FE00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55" name="楕円 254">
              <a:extLst>
                <a:ext uri="{FF2B5EF4-FFF2-40B4-BE49-F238E27FC236}">
                  <a16:creationId xmlns:a16="http://schemas.microsoft.com/office/drawing/2014/main" id="{00000000-0008-0000-0600-0000FF00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nvGrpSpPr>
          <xdr:cNvPr id="251" name="グループ化 250">
            <a:extLst>
              <a:ext uri="{FF2B5EF4-FFF2-40B4-BE49-F238E27FC236}">
                <a16:creationId xmlns:a16="http://schemas.microsoft.com/office/drawing/2014/main" id="{00000000-0008-0000-0600-0000FB000000}"/>
              </a:ext>
            </a:extLst>
          </xdr:cNvPr>
          <xdr:cNvGrpSpPr/>
        </xdr:nvGrpSpPr>
        <xdr:grpSpPr>
          <a:xfrm rot="16200000">
            <a:off x="3920862" y="4967844"/>
            <a:ext cx="479564" cy="479858"/>
            <a:chOff x="5793749" y="5157192"/>
            <a:chExt cx="362387" cy="362609"/>
          </a:xfrm>
        </xdr:grpSpPr>
        <xdr:sp macro="" textlink="">
          <xdr:nvSpPr>
            <xdr:cNvPr id="252" name="円/楕円 4">
              <a:extLst>
                <a:ext uri="{FF2B5EF4-FFF2-40B4-BE49-F238E27FC236}">
                  <a16:creationId xmlns:a16="http://schemas.microsoft.com/office/drawing/2014/main" id="{00000000-0008-0000-0600-0000FC00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253" name="円/楕円 9">
              <a:extLst>
                <a:ext uri="{FF2B5EF4-FFF2-40B4-BE49-F238E27FC236}">
                  <a16:creationId xmlns:a16="http://schemas.microsoft.com/office/drawing/2014/main" id="{00000000-0008-0000-0600-0000FD00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clientData/>
  </xdr:twoCellAnchor>
  <xdr:twoCellAnchor>
    <xdr:from>
      <xdr:col>23</xdr:col>
      <xdr:colOff>760405</xdr:colOff>
      <xdr:row>7</xdr:row>
      <xdr:rowOff>629403</xdr:rowOff>
    </xdr:from>
    <xdr:to>
      <xdr:col>23</xdr:col>
      <xdr:colOff>2267597</xdr:colOff>
      <xdr:row>7</xdr:row>
      <xdr:rowOff>989647</xdr:rowOff>
    </xdr:to>
    <xdr:grpSp>
      <xdr:nvGrpSpPr>
        <xdr:cNvPr id="270" name="グループ化 269">
          <a:extLst>
            <a:ext uri="{FF2B5EF4-FFF2-40B4-BE49-F238E27FC236}">
              <a16:creationId xmlns:a16="http://schemas.microsoft.com/office/drawing/2014/main" id="{00000000-0008-0000-0600-00000E010000}"/>
            </a:ext>
          </a:extLst>
        </xdr:cNvPr>
        <xdr:cNvGrpSpPr/>
      </xdr:nvGrpSpPr>
      <xdr:grpSpPr>
        <a:xfrm>
          <a:off x="17581555" y="6792078"/>
          <a:ext cx="1507192" cy="0"/>
          <a:chOff x="1487488" y="4797152"/>
          <a:chExt cx="3384376" cy="823113"/>
        </a:xfrm>
      </xdr:grpSpPr>
      <xdr:sp macro="" textlink="">
        <xdr:nvSpPr>
          <xdr:cNvPr id="271" name="正方形/長方形 270">
            <a:extLst>
              <a:ext uri="{FF2B5EF4-FFF2-40B4-BE49-F238E27FC236}">
                <a16:creationId xmlns:a16="http://schemas.microsoft.com/office/drawing/2014/main" id="{00000000-0008-0000-0600-00000F010000}"/>
              </a:ext>
            </a:extLst>
          </xdr:cNvPr>
          <xdr:cNvSpPr/>
        </xdr:nvSpPr>
        <xdr:spPr>
          <a:xfrm>
            <a:off x="1487488" y="4797152"/>
            <a:ext cx="3384376" cy="823113"/>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72" name="グループ化 271">
            <a:extLst>
              <a:ext uri="{FF2B5EF4-FFF2-40B4-BE49-F238E27FC236}">
                <a16:creationId xmlns:a16="http://schemas.microsoft.com/office/drawing/2014/main" id="{00000000-0008-0000-0600-000010010000}"/>
              </a:ext>
            </a:extLst>
          </xdr:cNvPr>
          <xdr:cNvGrpSpPr/>
        </xdr:nvGrpSpPr>
        <xdr:grpSpPr>
          <a:xfrm>
            <a:off x="1631504" y="4842846"/>
            <a:ext cx="216000" cy="720056"/>
            <a:chOff x="5879976" y="1340768"/>
            <a:chExt cx="216000" cy="720056"/>
          </a:xfrm>
        </xdr:grpSpPr>
        <xdr:sp macro="" textlink="">
          <xdr:nvSpPr>
            <xdr:cNvPr id="324" name="楕円 323">
              <a:extLst>
                <a:ext uri="{FF2B5EF4-FFF2-40B4-BE49-F238E27FC236}">
                  <a16:creationId xmlns:a16="http://schemas.microsoft.com/office/drawing/2014/main" id="{00000000-0008-0000-0600-000044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325" name="楕円 324">
              <a:extLst>
                <a:ext uri="{FF2B5EF4-FFF2-40B4-BE49-F238E27FC236}">
                  <a16:creationId xmlns:a16="http://schemas.microsoft.com/office/drawing/2014/main" id="{00000000-0008-0000-0600-000045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nvGrpSpPr>
          <xdr:cNvPr id="273" name="グループ化 272">
            <a:extLst>
              <a:ext uri="{FF2B5EF4-FFF2-40B4-BE49-F238E27FC236}">
                <a16:creationId xmlns:a16="http://schemas.microsoft.com/office/drawing/2014/main" id="{00000000-0008-0000-0600-000011010000}"/>
              </a:ext>
            </a:extLst>
          </xdr:cNvPr>
          <xdr:cNvGrpSpPr/>
        </xdr:nvGrpSpPr>
        <xdr:grpSpPr>
          <a:xfrm rot="16200000">
            <a:off x="1941664" y="4967844"/>
            <a:ext cx="479564" cy="479858"/>
            <a:chOff x="5793749" y="5157192"/>
            <a:chExt cx="362387" cy="362609"/>
          </a:xfrm>
        </xdr:grpSpPr>
        <xdr:sp macro="" textlink="">
          <xdr:nvSpPr>
            <xdr:cNvPr id="322" name="円/楕円 4">
              <a:extLst>
                <a:ext uri="{FF2B5EF4-FFF2-40B4-BE49-F238E27FC236}">
                  <a16:creationId xmlns:a16="http://schemas.microsoft.com/office/drawing/2014/main" id="{00000000-0008-0000-0600-000042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23" name="円/楕円 9">
              <a:extLst>
                <a:ext uri="{FF2B5EF4-FFF2-40B4-BE49-F238E27FC236}">
                  <a16:creationId xmlns:a16="http://schemas.microsoft.com/office/drawing/2014/main" id="{00000000-0008-0000-0600-000043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274" name="グループ化 273">
            <a:extLst>
              <a:ext uri="{FF2B5EF4-FFF2-40B4-BE49-F238E27FC236}">
                <a16:creationId xmlns:a16="http://schemas.microsoft.com/office/drawing/2014/main" id="{00000000-0008-0000-0600-000012010000}"/>
              </a:ext>
            </a:extLst>
          </xdr:cNvPr>
          <xdr:cNvGrpSpPr/>
        </xdr:nvGrpSpPr>
        <xdr:grpSpPr>
          <a:xfrm>
            <a:off x="2473879" y="4901658"/>
            <a:ext cx="1549697" cy="585111"/>
            <a:chOff x="2473879" y="4901658"/>
            <a:chExt cx="1549697" cy="585111"/>
          </a:xfrm>
        </xdr:grpSpPr>
        <xdr:sp macro="" textlink="">
          <xdr:nvSpPr>
            <xdr:cNvPr id="278" name="角丸四角形 696">
              <a:extLst>
                <a:ext uri="{FF2B5EF4-FFF2-40B4-BE49-F238E27FC236}">
                  <a16:creationId xmlns:a16="http://schemas.microsoft.com/office/drawing/2014/main" id="{00000000-0008-0000-0600-000016010000}"/>
                </a:ext>
              </a:extLst>
            </xdr:cNvPr>
            <xdr:cNvSpPr/>
          </xdr:nvSpPr>
          <xdr:spPr>
            <a:xfrm>
              <a:off x="2954473" y="5023090"/>
              <a:ext cx="360000" cy="360000"/>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279" name="正方形/長方形 278">
              <a:extLst>
                <a:ext uri="{FF2B5EF4-FFF2-40B4-BE49-F238E27FC236}">
                  <a16:creationId xmlns:a16="http://schemas.microsoft.com/office/drawing/2014/main" id="{00000000-0008-0000-0600-000017010000}"/>
                </a:ext>
              </a:extLst>
            </xdr:cNvPr>
            <xdr:cNvSpPr/>
          </xdr:nvSpPr>
          <xdr:spPr>
            <a:xfrm>
              <a:off x="2657202" y="4993163"/>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80" name="グループ化 279">
              <a:extLst>
                <a:ext uri="{FF2B5EF4-FFF2-40B4-BE49-F238E27FC236}">
                  <a16:creationId xmlns:a16="http://schemas.microsoft.com/office/drawing/2014/main" id="{00000000-0008-0000-0600-000018010000}"/>
                </a:ext>
              </a:extLst>
            </xdr:cNvPr>
            <xdr:cNvGrpSpPr>
              <a:grpSpLocks/>
            </xdr:cNvGrpSpPr>
          </xdr:nvGrpSpPr>
          <xdr:grpSpPr bwMode="auto">
            <a:xfrm rot="16200000">
              <a:off x="2426693" y="5334063"/>
              <a:ext cx="199892" cy="105519"/>
              <a:chOff x="971600" y="1268760"/>
              <a:chExt cx="2304256" cy="1800200"/>
            </a:xfrm>
          </xdr:grpSpPr>
          <xdr:sp macro="" textlink="">
            <xdr:nvSpPr>
              <xdr:cNvPr id="319" name="正方形/長方形 318">
                <a:extLst>
                  <a:ext uri="{FF2B5EF4-FFF2-40B4-BE49-F238E27FC236}">
                    <a16:creationId xmlns:a16="http://schemas.microsoft.com/office/drawing/2014/main" id="{00000000-0008-0000-0600-00003F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20" name="正方形/長方形 319">
                <a:extLst>
                  <a:ext uri="{FF2B5EF4-FFF2-40B4-BE49-F238E27FC236}">
                    <a16:creationId xmlns:a16="http://schemas.microsoft.com/office/drawing/2014/main" id="{00000000-0008-0000-0600-000040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21" name="正方形/長方形 320">
                <a:extLst>
                  <a:ext uri="{FF2B5EF4-FFF2-40B4-BE49-F238E27FC236}">
                    <a16:creationId xmlns:a16="http://schemas.microsoft.com/office/drawing/2014/main" id="{00000000-0008-0000-0600-000041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1" name="グループ化 280">
              <a:extLst>
                <a:ext uri="{FF2B5EF4-FFF2-40B4-BE49-F238E27FC236}">
                  <a16:creationId xmlns:a16="http://schemas.microsoft.com/office/drawing/2014/main" id="{00000000-0008-0000-0600-000019010000}"/>
                </a:ext>
              </a:extLst>
            </xdr:cNvPr>
            <xdr:cNvGrpSpPr>
              <a:grpSpLocks/>
            </xdr:cNvGrpSpPr>
          </xdr:nvGrpSpPr>
          <xdr:grpSpPr bwMode="auto">
            <a:xfrm rot="16200000">
              <a:off x="2426694" y="4948844"/>
              <a:ext cx="199892" cy="105519"/>
              <a:chOff x="971600" y="1268760"/>
              <a:chExt cx="2304256" cy="1800200"/>
            </a:xfrm>
          </xdr:grpSpPr>
          <xdr:sp macro="" textlink="">
            <xdr:nvSpPr>
              <xdr:cNvPr id="316" name="正方形/長方形 315">
                <a:extLst>
                  <a:ext uri="{FF2B5EF4-FFF2-40B4-BE49-F238E27FC236}">
                    <a16:creationId xmlns:a16="http://schemas.microsoft.com/office/drawing/2014/main" id="{00000000-0008-0000-0600-00003C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7" name="正方形/長方形 316">
                <a:extLst>
                  <a:ext uri="{FF2B5EF4-FFF2-40B4-BE49-F238E27FC236}">
                    <a16:creationId xmlns:a16="http://schemas.microsoft.com/office/drawing/2014/main" id="{00000000-0008-0000-0600-00003D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8" name="正方形/長方形 317">
                <a:extLst>
                  <a:ext uri="{FF2B5EF4-FFF2-40B4-BE49-F238E27FC236}">
                    <a16:creationId xmlns:a16="http://schemas.microsoft.com/office/drawing/2014/main" id="{00000000-0008-0000-0600-00003E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282" name="正方形/長方形 281">
              <a:extLst>
                <a:ext uri="{FF2B5EF4-FFF2-40B4-BE49-F238E27FC236}">
                  <a16:creationId xmlns:a16="http://schemas.microsoft.com/office/drawing/2014/main" id="{00000000-0008-0000-0600-00001A010000}"/>
                </a:ext>
              </a:extLst>
            </xdr:cNvPr>
            <xdr:cNvSpPr/>
          </xdr:nvSpPr>
          <xdr:spPr>
            <a:xfrm>
              <a:off x="2657202" y="5260526"/>
              <a:ext cx="180000" cy="144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283" name="グループ化 282">
              <a:extLst>
                <a:ext uri="{FF2B5EF4-FFF2-40B4-BE49-F238E27FC236}">
                  <a16:creationId xmlns:a16="http://schemas.microsoft.com/office/drawing/2014/main" id="{00000000-0008-0000-0600-00001B010000}"/>
                </a:ext>
              </a:extLst>
            </xdr:cNvPr>
            <xdr:cNvGrpSpPr/>
          </xdr:nvGrpSpPr>
          <xdr:grpSpPr>
            <a:xfrm>
              <a:off x="3389293" y="4901658"/>
              <a:ext cx="634283" cy="585111"/>
              <a:chOff x="3728641" y="4901658"/>
              <a:chExt cx="634283" cy="585111"/>
            </a:xfrm>
          </xdr:grpSpPr>
          <xdr:grpSp>
            <xdr:nvGrpSpPr>
              <xdr:cNvPr id="284" name="グループ化 283">
                <a:extLst>
                  <a:ext uri="{FF2B5EF4-FFF2-40B4-BE49-F238E27FC236}">
                    <a16:creationId xmlns:a16="http://schemas.microsoft.com/office/drawing/2014/main" id="{00000000-0008-0000-0600-00001C010000}"/>
                  </a:ext>
                </a:extLst>
              </xdr:cNvPr>
              <xdr:cNvGrpSpPr>
                <a:grpSpLocks/>
              </xdr:cNvGrpSpPr>
            </xdr:nvGrpSpPr>
            <xdr:grpSpPr bwMode="auto">
              <a:xfrm rot="16200000">
                <a:off x="3681455" y="5334063"/>
                <a:ext cx="199892" cy="105519"/>
                <a:chOff x="971600" y="1268760"/>
                <a:chExt cx="2304256" cy="1800200"/>
              </a:xfrm>
            </xdr:grpSpPr>
            <xdr:sp macro="" textlink="">
              <xdr:nvSpPr>
                <xdr:cNvPr id="313" name="正方形/長方形 312">
                  <a:extLst>
                    <a:ext uri="{FF2B5EF4-FFF2-40B4-BE49-F238E27FC236}">
                      <a16:creationId xmlns:a16="http://schemas.microsoft.com/office/drawing/2014/main" id="{00000000-0008-0000-0600-000039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4" name="正方形/長方形 313">
                  <a:extLst>
                    <a:ext uri="{FF2B5EF4-FFF2-40B4-BE49-F238E27FC236}">
                      <a16:creationId xmlns:a16="http://schemas.microsoft.com/office/drawing/2014/main" id="{00000000-0008-0000-0600-00003A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5" name="正方形/長方形 314">
                  <a:extLst>
                    <a:ext uri="{FF2B5EF4-FFF2-40B4-BE49-F238E27FC236}">
                      <a16:creationId xmlns:a16="http://schemas.microsoft.com/office/drawing/2014/main" id="{00000000-0008-0000-0600-00003B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5" name="グループ化 284">
                <a:extLst>
                  <a:ext uri="{FF2B5EF4-FFF2-40B4-BE49-F238E27FC236}">
                    <a16:creationId xmlns:a16="http://schemas.microsoft.com/office/drawing/2014/main" id="{00000000-0008-0000-0600-00001D010000}"/>
                  </a:ext>
                </a:extLst>
              </xdr:cNvPr>
              <xdr:cNvGrpSpPr>
                <a:grpSpLocks/>
              </xdr:cNvGrpSpPr>
            </xdr:nvGrpSpPr>
            <xdr:grpSpPr bwMode="auto">
              <a:xfrm rot="16200000">
                <a:off x="3681456" y="4948844"/>
                <a:ext cx="199892" cy="105519"/>
                <a:chOff x="971600" y="1268760"/>
                <a:chExt cx="2304256" cy="1800200"/>
              </a:xfrm>
            </xdr:grpSpPr>
            <xdr:sp macro="" textlink="">
              <xdr:nvSpPr>
                <xdr:cNvPr id="310" name="正方形/長方形 309">
                  <a:extLst>
                    <a:ext uri="{FF2B5EF4-FFF2-40B4-BE49-F238E27FC236}">
                      <a16:creationId xmlns:a16="http://schemas.microsoft.com/office/drawing/2014/main" id="{00000000-0008-0000-0600-000036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1" name="正方形/長方形 310">
                  <a:extLst>
                    <a:ext uri="{FF2B5EF4-FFF2-40B4-BE49-F238E27FC236}">
                      <a16:creationId xmlns:a16="http://schemas.microsoft.com/office/drawing/2014/main" id="{00000000-0008-0000-0600-000037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12" name="正方形/長方形 311">
                  <a:extLst>
                    <a:ext uri="{FF2B5EF4-FFF2-40B4-BE49-F238E27FC236}">
                      <a16:creationId xmlns:a16="http://schemas.microsoft.com/office/drawing/2014/main" id="{00000000-0008-0000-0600-000038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6" name="グループ化 285">
                <a:extLst>
                  <a:ext uri="{FF2B5EF4-FFF2-40B4-BE49-F238E27FC236}">
                    <a16:creationId xmlns:a16="http://schemas.microsoft.com/office/drawing/2014/main" id="{00000000-0008-0000-0600-00001E010000}"/>
                  </a:ext>
                </a:extLst>
              </xdr:cNvPr>
              <xdr:cNvGrpSpPr>
                <a:grpSpLocks/>
              </xdr:cNvGrpSpPr>
            </xdr:nvGrpSpPr>
            <xdr:grpSpPr bwMode="auto">
              <a:xfrm rot="16200000">
                <a:off x="3849884" y="5334063"/>
                <a:ext cx="199892" cy="105519"/>
                <a:chOff x="971600" y="1268760"/>
                <a:chExt cx="2304256" cy="1800200"/>
              </a:xfrm>
            </xdr:grpSpPr>
            <xdr:sp macro="" textlink="">
              <xdr:nvSpPr>
                <xdr:cNvPr id="307" name="正方形/長方形 306">
                  <a:extLst>
                    <a:ext uri="{FF2B5EF4-FFF2-40B4-BE49-F238E27FC236}">
                      <a16:creationId xmlns:a16="http://schemas.microsoft.com/office/drawing/2014/main" id="{00000000-0008-0000-0600-000033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8" name="正方形/長方形 307">
                  <a:extLst>
                    <a:ext uri="{FF2B5EF4-FFF2-40B4-BE49-F238E27FC236}">
                      <a16:creationId xmlns:a16="http://schemas.microsoft.com/office/drawing/2014/main" id="{00000000-0008-0000-0600-000034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9" name="正方形/長方形 308">
                  <a:extLst>
                    <a:ext uri="{FF2B5EF4-FFF2-40B4-BE49-F238E27FC236}">
                      <a16:creationId xmlns:a16="http://schemas.microsoft.com/office/drawing/2014/main" id="{00000000-0008-0000-0600-000035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7" name="グループ化 286">
                <a:extLst>
                  <a:ext uri="{FF2B5EF4-FFF2-40B4-BE49-F238E27FC236}">
                    <a16:creationId xmlns:a16="http://schemas.microsoft.com/office/drawing/2014/main" id="{00000000-0008-0000-0600-00001F010000}"/>
                  </a:ext>
                </a:extLst>
              </xdr:cNvPr>
              <xdr:cNvGrpSpPr>
                <a:grpSpLocks/>
              </xdr:cNvGrpSpPr>
            </xdr:nvGrpSpPr>
            <xdr:grpSpPr bwMode="auto">
              <a:xfrm rot="16200000">
                <a:off x="3849885" y="4948844"/>
                <a:ext cx="199892" cy="105519"/>
                <a:chOff x="971600" y="1268760"/>
                <a:chExt cx="2304256" cy="1800200"/>
              </a:xfrm>
            </xdr:grpSpPr>
            <xdr:sp macro="" textlink="">
              <xdr:nvSpPr>
                <xdr:cNvPr id="304" name="正方形/長方形 303">
                  <a:extLst>
                    <a:ext uri="{FF2B5EF4-FFF2-40B4-BE49-F238E27FC236}">
                      <a16:creationId xmlns:a16="http://schemas.microsoft.com/office/drawing/2014/main" id="{00000000-0008-0000-0600-000030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5" name="正方形/長方形 304">
                  <a:extLst>
                    <a:ext uri="{FF2B5EF4-FFF2-40B4-BE49-F238E27FC236}">
                      <a16:creationId xmlns:a16="http://schemas.microsoft.com/office/drawing/2014/main" id="{00000000-0008-0000-0600-000031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6" name="正方形/長方形 305">
                  <a:extLst>
                    <a:ext uri="{FF2B5EF4-FFF2-40B4-BE49-F238E27FC236}">
                      <a16:creationId xmlns:a16="http://schemas.microsoft.com/office/drawing/2014/main" id="{00000000-0008-0000-0600-000032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8" name="グループ化 287">
                <a:extLst>
                  <a:ext uri="{FF2B5EF4-FFF2-40B4-BE49-F238E27FC236}">
                    <a16:creationId xmlns:a16="http://schemas.microsoft.com/office/drawing/2014/main" id="{00000000-0008-0000-0600-000020010000}"/>
                  </a:ext>
                </a:extLst>
              </xdr:cNvPr>
              <xdr:cNvGrpSpPr>
                <a:grpSpLocks/>
              </xdr:cNvGrpSpPr>
            </xdr:nvGrpSpPr>
            <xdr:grpSpPr bwMode="auto">
              <a:xfrm rot="16200000">
                <a:off x="4041789" y="5334063"/>
                <a:ext cx="199892" cy="105519"/>
                <a:chOff x="971600" y="1268760"/>
                <a:chExt cx="2304256" cy="1800200"/>
              </a:xfrm>
            </xdr:grpSpPr>
            <xdr:sp macro="" textlink="">
              <xdr:nvSpPr>
                <xdr:cNvPr id="301" name="正方形/長方形 300">
                  <a:extLst>
                    <a:ext uri="{FF2B5EF4-FFF2-40B4-BE49-F238E27FC236}">
                      <a16:creationId xmlns:a16="http://schemas.microsoft.com/office/drawing/2014/main" id="{00000000-0008-0000-0600-00002D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2" name="正方形/長方形 301">
                  <a:extLst>
                    <a:ext uri="{FF2B5EF4-FFF2-40B4-BE49-F238E27FC236}">
                      <a16:creationId xmlns:a16="http://schemas.microsoft.com/office/drawing/2014/main" id="{00000000-0008-0000-0600-00002E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3" name="正方形/長方形 302">
                  <a:extLst>
                    <a:ext uri="{FF2B5EF4-FFF2-40B4-BE49-F238E27FC236}">
                      <a16:creationId xmlns:a16="http://schemas.microsoft.com/office/drawing/2014/main" id="{00000000-0008-0000-0600-00002F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89" name="グループ化 288">
                <a:extLst>
                  <a:ext uri="{FF2B5EF4-FFF2-40B4-BE49-F238E27FC236}">
                    <a16:creationId xmlns:a16="http://schemas.microsoft.com/office/drawing/2014/main" id="{00000000-0008-0000-0600-000021010000}"/>
                  </a:ext>
                </a:extLst>
              </xdr:cNvPr>
              <xdr:cNvGrpSpPr>
                <a:grpSpLocks/>
              </xdr:cNvGrpSpPr>
            </xdr:nvGrpSpPr>
            <xdr:grpSpPr bwMode="auto">
              <a:xfrm rot="16200000">
                <a:off x="4041790" y="4948844"/>
                <a:ext cx="199892" cy="105519"/>
                <a:chOff x="971600" y="1268760"/>
                <a:chExt cx="2304256" cy="1800200"/>
              </a:xfrm>
            </xdr:grpSpPr>
            <xdr:sp macro="" textlink="">
              <xdr:nvSpPr>
                <xdr:cNvPr id="298" name="正方形/長方形 297">
                  <a:extLst>
                    <a:ext uri="{FF2B5EF4-FFF2-40B4-BE49-F238E27FC236}">
                      <a16:creationId xmlns:a16="http://schemas.microsoft.com/office/drawing/2014/main" id="{00000000-0008-0000-0600-00002A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9" name="正方形/長方形 298">
                  <a:extLst>
                    <a:ext uri="{FF2B5EF4-FFF2-40B4-BE49-F238E27FC236}">
                      <a16:creationId xmlns:a16="http://schemas.microsoft.com/office/drawing/2014/main" id="{00000000-0008-0000-0600-00002B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00" name="正方形/長方形 299">
                  <a:extLst>
                    <a:ext uri="{FF2B5EF4-FFF2-40B4-BE49-F238E27FC236}">
                      <a16:creationId xmlns:a16="http://schemas.microsoft.com/office/drawing/2014/main" id="{00000000-0008-0000-0600-00002C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90" name="グループ化 289">
                <a:extLst>
                  <a:ext uri="{FF2B5EF4-FFF2-40B4-BE49-F238E27FC236}">
                    <a16:creationId xmlns:a16="http://schemas.microsoft.com/office/drawing/2014/main" id="{00000000-0008-0000-0600-000022010000}"/>
                  </a:ext>
                </a:extLst>
              </xdr:cNvPr>
              <xdr:cNvGrpSpPr>
                <a:grpSpLocks/>
              </xdr:cNvGrpSpPr>
            </xdr:nvGrpSpPr>
            <xdr:grpSpPr bwMode="auto">
              <a:xfrm rot="16200000">
                <a:off x="4210218" y="5334063"/>
                <a:ext cx="199892" cy="105519"/>
                <a:chOff x="971600" y="1268760"/>
                <a:chExt cx="2304256" cy="1800200"/>
              </a:xfrm>
            </xdr:grpSpPr>
            <xdr:sp macro="" textlink="">
              <xdr:nvSpPr>
                <xdr:cNvPr id="295" name="正方形/長方形 294">
                  <a:extLst>
                    <a:ext uri="{FF2B5EF4-FFF2-40B4-BE49-F238E27FC236}">
                      <a16:creationId xmlns:a16="http://schemas.microsoft.com/office/drawing/2014/main" id="{00000000-0008-0000-0600-000027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6" name="正方形/長方形 295">
                  <a:extLst>
                    <a:ext uri="{FF2B5EF4-FFF2-40B4-BE49-F238E27FC236}">
                      <a16:creationId xmlns:a16="http://schemas.microsoft.com/office/drawing/2014/main" id="{00000000-0008-0000-0600-000028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7" name="正方形/長方形 296">
                  <a:extLst>
                    <a:ext uri="{FF2B5EF4-FFF2-40B4-BE49-F238E27FC236}">
                      <a16:creationId xmlns:a16="http://schemas.microsoft.com/office/drawing/2014/main" id="{00000000-0008-0000-0600-000029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291" name="グループ化 290">
                <a:extLst>
                  <a:ext uri="{FF2B5EF4-FFF2-40B4-BE49-F238E27FC236}">
                    <a16:creationId xmlns:a16="http://schemas.microsoft.com/office/drawing/2014/main" id="{00000000-0008-0000-0600-000023010000}"/>
                  </a:ext>
                </a:extLst>
              </xdr:cNvPr>
              <xdr:cNvGrpSpPr>
                <a:grpSpLocks/>
              </xdr:cNvGrpSpPr>
            </xdr:nvGrpSpPr>
            <xdr:grpSpPr bwMode="auto">
              <a:xfrm rot="16200000">
                <a:off x="4210219" y="4948844"/>
                <a:ext cx="199892" cy="105519"/>
                <a:chOff x="971600" y="1268760"/>
                <a:chExt cx="2304256" cy="1800200"/>
              </a:xfrm>
            </xdr:grpSpPr>
            <xdr:sp macro="" textlink="">
              <xdr:nvSpPr>
                <xdr:cNvPr id="292" name="正方形/長方形 291">
                  <a:extLst>
                    <a:ext uri="{FF2B5EF4-FFF2-40B4-BE49-F238E27FC236}">
                      <a16:creationId xmlns:a16="http://schemas.microsoft.com/office/drawing/2014/main" id="{00000000-0008-0000-0600-000024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3" name="正方形/長方形 292">
                  <a:extLst>
                    <a:ext uri="{FF2B5EF4-FFF2-40B4-BE49-F238E27FC236}">
                      <a16:creationId xmlns:a16="http://schemas.microsoft.com/office/drawing/2014/main" id="{00000000-0008-0000-0600-000025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294" name="正方形/長方形 293">
                  <a:extLst>
                    <a:ext uri="{FF2B5EF4-FFF2-40B4-BE49-F238E27FC236}">
                      <a16:creationId xmlns:a16="http://schemas.microsoft.com/office/drawing/2014/main" id="{00000000-0008-0000-0600-000026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grpSp>
        <xdr:nvGrpSpPr>
          <xdr:cNvPr id="275" name="グループ化 274">
            <a:extLst>
              <a:ext uri="{FF2B5EF4-FFF2-40B4-BE49-F238E27FC236}">
                <a16:creationId xmlns:a16="http://schemas.microsoft.com/office/drawing/2014/main" id="{00000000-0008-0000-0600-000013010000}"/>
              </a:ext>
            </a:extLst>
          </xdr:cNvPr>
          <xdr:cNvGrpSpPr/>
        </xdr:nvGrpSpPr>
        <xdr:grpSpPr>
          <a:xfrm>
            <a:off x="4503846" y="4842846"/>
            <a:ext cx="216000" cy="720056"/>
            <a:chOff x="5879976" y="1340768"/>
            <a:chExt cx="216000" cy="720056"/>
          </a:xfrm>
        </xdr:grpSpPr>
        <xdr:sp macro="" textlink="">
          <xdr:nvSpPr>
            <xdr:cNvPr id="276" name="楕円 275">
              <a:extLst>
                <a:ext uri="{FF2B5EF4-FFF2-40B4-BE49-F238E27FC236}">
                  <a16:creationId xmlns:a16="http://schemas.microsoft.com/office/drawing/2014/main" id="{00000000-0008-0000-0600-000014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277" name="楕円 276">
              <a:extLst>
                <a:ext uri="{FF2B5EF4-FFF2-40B4-BE49-F238E27FC236}">
                  <a16:creationId xmlns:a16="http://schemas.microsoft.com/office/drawing/2014/main" id="{00000000-0008-0000-0600-000015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grpSp>
    <xdr:clientData/>
  </xdr:twoCellAnchor>
  <xdr:twoCellAnchor>
    <xdr:from>
      <xdr:col>23</xdr:col>
      <xdr:colOff>549971</xdr:colOff>
      <xdr:row>8</xdr:row>
      <xdr:rowOff>197453</xdr:rowOff>
    </xdr:from>
    <xdr:to>
      <xdr:col>23</xdr:col>
      <xdr:colOff>2604028</xdr:colOff>
      <xdr:row>8</xdr:row>
      <xdr:rowOff>1343117</xdr:rowOff>
    </xdr:to>
    <xdr:grpSp>
      <xdr:nvGrpSpPr>
        <xdr:cNvPr id="326" name="グループ化 325">
          <a:extLst>
            <a:ext uri="{FF2B5EF4-FFF2-40B4-BE49-F238E27FC236}">
              <a16:creationId xmlns:a16="http://schemas.microsoft.com/office/drawing/2014/main" id="{00000000-0008-0000-0600-000046010000}"/>
            </a:ext>
          </a:extLst>
        </xdr:cNvPr>
        <xdr:cNvGrpSpPr/>
      </xdr:nvGrpSpPr>
      <xdr:grpSpPr>
        <a:xfrm>
          <a:off x="17371121" y="6988778"/>
          <a:ext cx="2054057" cy="869439"/>
          <a:chOff x="1487488" y="1054750"/>
          <a:chExt cx="4680519" cy="2590274"/>
        </a:xfrm>
      </xdr:grpSpPr>
      <xdr:sp macro="" textlink="">
        <xdr:nvSpPr>
          <xdr:cNvPr id="327" name="正方形/長方形 326">
            <a:extLst>
              <a:ext uri="{FF2B5EF4-FFF2-40B4-BE49-F238E27FC236}">
                <a16:creationId xmlns:a16="http://schemas.microsoft.com/office/drawing/2014/main" id="{00000000-0008-0000-0600-000047010000}"/>
              </a:ext>
            </a:extLst>
          </xdr:cNvPr>
          <xdr:cNvSpPr/>
        </xdr:nvSpPr>
        <xdr:spPr>
          <a:xfrm>
            <a:off x="1487488" y="1054750"/>
            <a:ext cx="4680519" cy="2590274"/>
          </a:xfrm>
          <a:prstGeom prst="rect">
            <a:avLst/>
          </a:prstGeom>
          <a:solidFill>
            <a:srgbClr val="00B050"/>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28" name="正方形/長方形 327">
            <a:extLst>
              <a:ext uri="{FF2B5EF4-FFF2-40B4-BE49-F238E27FC236}">
                <a16:creationId xmlns:a16="http://schemas.microsoft.com/office/drawing/2014/main" id="{00000000-0008-0000-0600-000048010000}"/>
              </a:ext>
            </a:extLst>
          </xdr:cNvPr>
          <xdr:cNvSpPr/>
        </xdr:nvSpPr>
        <xdr:spPr>
          <a:xfrm>
            <a:off x="3610000" y="2110207"/>
            <a:ext cx="432000" cy="432000"/>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29" name="グループ化 328">
            <a:extLst>
              <a:ext uri="{FF2B5EF4-FFF2-40B4-BE49-F238E27FC236}">
                <a16:creationId xmlns:a16="http://schemas.microsoft.com/office/drawing/2014/main" id="{00000000-0008-0000-0600-000049010000}"/>
              </a:ext>
            </a:extLst>
          </xdr:cNvPr>
          <xdr:cNvGrpSpPr/>
        </xdr:nvGrpSpPr>
        <xdr:grpSpPr>
          <a:xfrm>
            <a:off x="1875992" y="2669570"/>
            <a:ext cx="3888432" cy="788433"/>
            <a:chOff x="1919536" y="2669570"/>
            <a:chExt cx="3888432" cy="788433"/>
          </a:xfrm>
        </xdr:grpSpPr>
        <xdr:sp macro="" textlink="">
          <xdr:nvSpPr>
            <xdr:cNvPr id="383" name="正方形/長方形 382">
              <a:extLst>
                <a:ext uri="{FF2B5EF4-FFF2-40B4-BE49-F238E27FC236}">
                  <a16:creationId xmlns:a16="http://schemas.microsoft.com/office/drawing/2014/main" id="{00000000-0008-0000-0600-00007F010000}"/>
                </a:ext>
              </a:extLst>
            </xdr:cNvPr>
            <xdr:cNvSpPr/>
          </xdr:nvSpPr>
          <xdr:spPr>
            <a:xfrm>
              <a:off x="433515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84" name="正方形/長方形 383">
              <a:extLst>
                <a:ext uri="{FF2B5EF4-FFF2-40B4-BE49-F238E27FC236}">
                  <a16:creationId xmlns:a16="http://schemas.microsoft.com/office/drawing/2014/main" id="{00000000-0008-0000-0600-000080010000}"/>
                </a:ext>
              </a:extLst>
            </xdr:cNvPr>
            <xdr:cNvSpPr/>
          </xdr:nvSpPr>
          <xdr:spPr>
            <a:xfrm>
              <a:off x="433515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85" name="正方形/長方形 384">
              <a:extLst>
                <a:ext uri="{FF2B5EF4-FFF2-40B4-BE49-F238E27FC236}">
                  <a16:creationId xmlns:a16="http://schemas.microsoft.com/office/drawing/2014/main" id="{00000000-0008-0000-0600-000081010000}"/>
                </a:ext>
              </a:extLst>
            </xdr:cNvPr>
            <xdr:cNvSpPr/>
          </xdr:nvSpPr>
          <xdr:spPr>
            <a:xfrm>
              <a:off x="312190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86" name="正方形/長方形 385">
              <a:extLst>
                <a:ext uri="{FF2B5EF4-FFF2-40B4-BE49-F238E27FC236}">
                  <a16:creationId xmlns:a16="http://schemas.microsoft.com/office/drawing/2014/main" id="{00000000-0008-0000-0600-000082010000}"/>
                </a:ext>
              </a:extLst>
            </xdr:cNvPr>
            <xdr:cNvSpPr/>
          </xdr:nvSpPr>
          <xdr:spPr>
            <a:xfrm>
              <a:off x="312190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87" name="グループ化 386">
              <a:extLst>
                <a:ext uri="{FF2B5EF4-FFF2-40B4-BE49-F238E27FC236}">
                  <a16:creationId xmlns:a16="http://schemas.microsoft.com/office/drawing/2014/main" id="{00000000-0008-0000-0600-000083010000}"/>
                </a:ext>
              </a:extLst>
            </xdr:cNvPr>
            <xdr:cNvGrpSpPr>
              <a:grpSpLocks/>
            </xdr:cNvGrpSpPr>
          </xdr:nvGrpSpPr>
          <xdr:grpSpPr bwMode="auto">
            <a:xfrm rot="16200000">
              <a:off x="4668348" y="3225970"/>
              <a:ext cx="199892" cy="105519"/>
              <a:chOff x="971600" y="1268760"/>
              <a:chExt cx="2304256" cy="1800200"/>
            </a:xfrm>
          </xdr:grpSpPr>
          <xdr:sp macro="" textlink="">
            <xdr:nvSpPr>
              <xdr:cNvPr id="424" name="正方形/長方形 423">
                <a:extLst>
                  <a:ext uri="{FF2B5EF4-FFF2-40B4-BE49-F238E27FC236}">
                    <a16:creationId xmlns:a16="http://schemas.microsoft.com/office/drawing/2014/main" id="{00000000-0008-0000-0600-0000A8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5" name="正方形/長方形 424">
                <a:extLst>
                  <a:ext uri="{FF2B5EF4-FFF2-40B4-BE49-F238E27FC236}">
                    <a16:creationId xmlns:a16="http://schemas.microsoft.com/office/drawing/2014/main" id="{00000000-0008-0000-0600-0000A9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6" name="正方形/長方形 425">
                <a:extLst>
                  <a:ext uri="{FF2B5EF4-FFF2-40B4-BE49-F238E27FC236}">
                    <a16:creationId xmlns:a16="http://schemas.microsoft.com/office/drawing/2014/main" id="{00000000-0008-0000-0600-0000AA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88" name="グループ化 387">
              <a:extLst>
                <a:ext uri="{FF2B5EF4-FFF2-40B4-BE49-F238E27FC236}">
                  <a16:creationId xmlns:a16="http://schemas.microsoft.com/office/drawing/2014/main" id="{00000000-0008-0000-0600-000084010000}"/>
                </a:ext>
              </a:extLst>
            </xdr:cNvPr>
            <xdr:cNvGrpSpPr>
              <a:grpSpLocks/>
            </xdr:cNvGrpSpPr>
          </xdr:nvGrpSpPr>
          <xdr:grpSpPr bwMode="auto">
            <a:xfrm rot="16200000">
              <a:off x="4668349" y="2840751"/>
              <a:ext cx="199892" cy="105519"/>
              <a:chOff x="971600" y="1268760"/>
              <a:chExt cx="2304256" cy="1800200"/>
            </a:xfrm>
          </xdr:grpSpPr>
          <xdr:sp macro="" textlink="">
            <xdr:nvSpPr>
              <xdr:cNvPr id="421" name="正方形/長方形 420">
                <a:extLst>
                  <a:ext uri="{FF2B5EF4-FFF2-40B4-BE49-F238E27FC236}">
                    <a16:creationId xmlns:a16="http://schemas.microsoft.com/office/drawing/2014/main" id="{00000000-0008-0000-0600-0000A5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2" name="正方形/長方形 421">
                <a:extLst>
                  <a:ext uri="{FF2B5EF4-FFF2-40B4-BE49-F238E27FC236}">
                    <a16:creationId xmlns:a16="http://schemas.microsoft.com/office/drawing/2014/main" id="{00000000-0008-0000-0600-0000A6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3" name="正方形/長方形 422">
                <a:extLst>
                  <a:ext uri="{FF2B5EF4-FFF2-40B4-BE49-F238E27FC236}">
                    <a16:creationId xmlns:a16="http://schemas.microsoft.com/office/drawing/2014/main" id="{00000000-0008-0000-0600-0000A7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89" name="グループ化 388">
              <a:extLst>
                <a:ext uri="{FF2B5EF4-FFF2-40B4-BE49-F238E27FC236}">
                  <a16:creationId xmlns:a16="http://schemas.microsoft.com/office/drawing/2014/main" id="{00000000-0008-0000-0600-000085010000}"/>
                </a:ext>
              </a:extLst>
            </xdr:cNvPr>
            <xdr:cNvGrpSpPr>
              <a:grpSpLocks/>
            </xdr:cNvGrpSpPr>
          </xdr:nvGrpSpPr>
          <xdr:grpSpPr bwMode="auto">
            <a:xfrm rot="16200000">
              <a:off x="2825925" y="3225970"/>
              <a:ext cx="199892" cy="105519"/>
              <a:chOff x="971600" y="1268760"/>
              <a:chExt cx="2304256" cy="1800200"/>
            </a:xfrm>
          </xdr:grpSpPr>
          <xdr:sp macro="" textlink="">
            <xdr:nvSpPr>
              <xdr:cNvPr id="418" name="正方形/長方形 417">
                <a:extLst>
                  <a:ext uri="{FF2B5EF4-FFF2-40B4-BE49-F238E27FC236}">
                    <a16:creationId xmlns:a16="http://schemas.microsoft.com/office/drawing/2014/main" id="{00000000-0008-0000-0600-0000A2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9" name="正方形/長方形 418">
                <a:extLst>
                  <a:ext uri="{FF2B5EF4-FFF2-40B4-BE49-F238E27FC236}">
                    <a16:creationId xmlns:a16="http://schemas.microsoft.com/office/drawing/2014/main" id="{00000000-0008-0000-0600-0000A3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20" name="正方形/長方形 419">
                <a:extLst>
                  <a:ext uri="{FF2B5EF4-FFF2-40B4-BE49-F238E27FC236}">
                    <a16:creationId xmlns:a16="http://schemas.microsoft.com/office/drawing/2014/main" id="{00000000-0008-0000-0600-0000A4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90" name="グループ化 389">
              <a:extLst>
                <a:ext uri="{FF2B5EF4-FFF2-40B4-BE49-F238E27FC236}">
                  <a16:creationId xmlns:a16="http://schemas.microsoft.com/office/drawing/2014/main" id="{00000000-0008-0000-0600-000086010000}"/>
                </a:ext>
              </a:extLst>
            </xdr:cNvPr>
            <xdr:cNvGrpSpPr>
              <a:grpSpLocks/>
            </xdr:cNvGrpSpPr>
          </xdr:nvGrpSpPr>
          <xdr:grpSpPr bwMode="auto">
            <a:xfrm rot="16200000">
              <a:off x="2825926" y="2840751"/>
              <a:ext cx="199892" cy="105519"/>
              <a:chOff x="971600" y="1268760"/>
              <a:chExt cx="2304256" cy="1800200"/>
            </a:xfrm>
          </xdr:grpSpPr>
          <xdr:sp macro="" textlink="">
            <xdr:nvSpPr>
              <xdr:cNvPr id="415" name="正方形/長方形 414">
                <a:extLst>
                  <a:ext uri="{FF2B5EF4-FFF2-40B4-BE49-F238E27FC236}">
                    <a16:creationId xmlns:a16="http://schemas.microsoft.com/office/drawing/2014/main" id="{00000000-0008-0000-0600-00009F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6" name="正方形/長方形 415">
                <a:extLst>
                  <a:ext uri="{FF2B5EF4-FFF2-40B4-BE49-F238E27FC236}">
                    <a16:creationId xmlns:a16="http://schemas.microsoft.com/office/drawing/2014/main" id="{00000000-0008-0000-0600-0000A0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7" name="正方形/長方形 416">
                <a:extLst>
                  <a:ext uri="{FF2B5EF4-FFF2-40B4-BE49-F238E27FC236}">
                    <a16:creationId xmlns:a16="http://schemas.microsoft.com/office/drawing/2014/main" id="{00000000-0008-0000-0600-0000A1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391" name="角丸四角形 677">
              <a:extLst>
                <a:ext uri="{FF2B5EF4-FFF2-40B4-BE49-F238E27FC236}">
                  <a16:creationId xmlns:a16="http://schemas.microsoft.com/office/drawing/2014/main" id="{00000000-0008-0000-0600-000087010000}"/>
                </a:ext>
              </a:extLst>
            </xdr:cNvPr>
            <xdr:cNvSpPr/>
          </xdr:nvSpPr>
          <xdr:spPr>
            <a:xfrm>
              <a:off x="3489373" y="2669570"/>
              <a:ext cx="735271" cy="788433"/>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92" name="グループ化 391">
              <a:extLst>
                <a:ext uri="{FF2B5EF4-FFF2-40B4-BE49-F238E27FC236}">
                  <a16:creationId xmlns:a16="http://schemas.microsoft.com/office/drawing/2014/main" id="{00000000-0008-0000-0600-000088010000}"/>
                </a:ext>
              </a:extLst>
            </xdr:cNvPr>
            <xdr:cNvGrpSpPr>
              <a:grpSpLocks/>
            </xdr:cNvGrpSpPr>
          </xdr:nvGrpSpPr>
          <xdr:grpSpPr bwMode="auto">
            <a:xfrm rot="16200000">
              <a:off x="4850965" y="3113727"/>
              <a:ext cx="312292" cy="249621"/>
              <a:chOff x="971600" y="1268760"/>
              <a:chExt cx="2304256" cy="1800200"/>
            </a:xfrm>
          </xdr:grpSpPr>
          <xdr:sp macro="" textlink="">
            <xdr:nvSpPr>
              <xdr:cNvPr id="412" name="正方形/長方形 411">
                <a:extLst>
                  <a:ext uri="{FF2B5EF4-FFF2-40B4-BE49-F238E27FC236}">
                    <a16:creationId xmlns:a16="http://schemas.microsoft.com/office/drawing/2014/main" id="{00000000-0008-0000-0600-00009C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3" name="正方形/長方形 412">
                <a:extLst>
                  <a:ext uri="{FF2B5EF4-FFF2-40B4-BE49-F238E27FC236}">
                    <a16:creationId xmlns:a16="http://schemas.microsoft.com/office/drawing/2014/main" id="{00000000-0008-0000-0600-00009D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4" name="正方形/長方形 413">
                <a:extLst>
                  <a:ext uri="{FF2B5EF4-FFF2-40B4-BE49-F238E27FC236}">
                    <a16:creationId xmlns:a16="http://schemas.microsoft.com/office/drawing/2014/main" id="{00000000-0008-0000-0600-00009E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93" name="グループ化 392">
              <a:extLst>
                <a:ext uri="{FF2B5EF4-FFF2-40B4-BE49-F238E27FC236}">
                  <a16:creationId xmlns:a16="http://schemas.microsoft.com/office/drawing/2014/main" id="{00000000-0008-0000-0600-000089010000}"/>
                </a:ext>
              </a:extLst>
            </xdr:cNvPr>
            <xdr:cNvGrpSpPr>
              <a:grpSpLocks/>
            </xdr:cNvGrpSpPr>
          </xdr:nvGrpSpPr>
          <xdr:grpSpPr bwMode="auto">
            <a:xfrm rot="16200000">
              <a:off x="4850965" y="2706018"/>
              <a:ext cx="312292" cy="249621"/>
              <a:chOff x="971600" y="1268760"/>
              <a:chExt cx="2304256" cy="1800200"/>
            </a:xfrm>
          </xdr:grpSpPr>
          <xdr:sp macro="" textlink="">
            <xdr:nvSpPr>
              <xdr:cNvPr id="409" name="正方形/長方形 408">
                <a:extLst>
                  <a:ext uri="{FF2B5EF4-FFF2-40B4-BE49-F238E27FC236}">
                    <a16:creationId xmlns:a16="http://schemas.microsoft.com/office/drawing/2014/main" id="{00000000-0008-0000-0600-000099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0" name="正方形/長方形 409">
                <a:extLst>
                  <a:ext uri="{FF2B5EF4-FFF2-40B4-BE49-F238E27FC236}">
                    <a16:creationId xmlns:a16="http://schemas.microsoft.com/office/drawing/2014/main" id="{00000000-0008-0000-0600-00009A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11" name="正方形/長方形 410">
                <a:extLst>
                  <a:ext uri="{FF2B5EF4-FFF2-40B4-BE49-F238E27FC236}">
                    <a16:creationId xmlns:a16="http://schemas.microsoft.com/office/drawing/2014/main" id="{00000000-0008-0000-0600-00009B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94" name="グループ化 393">
              <a:extLst>
                <a:ext uri="{FF2B5EF4-FFF2-40B4-BE49-F238E27FC236}">
                  <a16:creationId xmlns:a16="http://schemas.microsoft.com/office/drawing/2014/main" id="{00000000-0008-0000-0600-00008A010000}"/>
                </a:ext>
              </a:extLst>
            </xdr:cNvPr>
            <xdr:cNvGrpSpPr/>
          </xdr:nvGrpSpPr>
          <xdr:grpSpPr>
            <a:xfrm>
              <a:off x="2559575" y="2674689"/>
              <a:ext cx="249621" cy="720001"/>
              <a:chOff x="4936549" y="4732186"/>
              <a:chExt cx="260728" cy="803544"/>
            </a:xfrm>
          </xdr:grpSpPr>
          <xdr:grpSp>
            <xdr:nvGrpSpPr>
              <xdr:cNvPr id="401" name="グループ化 400">
                <a:extLst>
                  <a:ext uri="{FF2B5EF4-FFF2-40B4-BE49-F238E27FC236}">
                    <a16:creationId xmlns:a16="http://schemas.microsoft.com/office/drawing/2014/main" id="{00000000-0008-0000-0600-000091010000}"/>
                  </a:ext>
                </a:extLst>
              </xdr:cNvPr>
              <xdr:cNvGrpSpPr>
                <a:grpSpLocks/>
              </xdr:cNvGrpSpPr>
            </xdr:nvGrpSpPr>
            <xdr:grpSpPr bwMode="auto">
              <a:xfrm rot="16200000">
                <a:off x="4892649" y="5231102"/>
                <a:ext cx="348528" cy="260728"/>
                <a:chOff x="971600" y="1268760"/>
                <a:chExt cx="2304256" cy="1800200"/>
              </a:xfrm>
            </xdr:grpSpPr>
            <xdr:sp macro="" textlink="">
              <xdr:nvSpPr>
                <xdr:cNvPr id="406" name="正方形/長方形 405">
                  <a:extLst>
                    <a:ext uri="{FF2B5EF4-FFF2-40B4-BE49-F238E27FC236}">
                      <a16:creationId xmlns:a16="http://schemas.microsoft.com/office/drawing/2014/main" id="{00000000-0008-0000-0600-000096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7" name="正方形/長方形 406">
                  <a:extLst>
                    <a:ext uri="{FF2B5EF4-FFF2-40B4-BE49-F238E27FC236}">
                      <a16:creationId xmlns:a16="http://schemas.microsoft.com/office/drawing/2014/main" id="{00000000-0008-0000-0600-000097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8" name="正方形/長方形 407">
                  <a:extLst>
                    <a:ext uri="{FF2B5EF4-FFF2-40B4-BE49-F238E27FC236}">
                      <a16:creationId xmlns:a16="http://schemas.microsoft.com/office/drawing/2014/main" id="{00000000-0008-0000-0600-000098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402" name="グループ化 401">
                <a:extLst>
                  <a:ext uri="{FF2B5EF4-FFF2-40B4-BE49-F238E27FC236}">
                    <a16:creationId xmlns:a16="http://schemas.microsoft.com/office/drawing/2014/main" id="{00000000-0008-0000-0600-000092010000}"/>
                  </a:ext>
                </a:extLst>
              </xdr:cNvPr>
              <xdr:cNvGrpSpPr>
                <a:grpSpLocks/>
              </xdr:cNvGrpSpPr>
            </xdr:nvGrpSpPr>
            <xdr:grpSpPr bwMode="auto">
              <a:xfrm rot="16200000">
                <a:off x="4892649" y="4776086"/>
                <a:ext cx="348528" cy="260728"/>
                <a:chOff x="971600" y="1268760"/>
                <a:chExt cx="2304256" cy="1800200"/>
              </a:xfrm>
            </xdr:grpSpPr>
            <xdr:sp macro="" textlink="">
              <xdr:nvSpPr>
                <xdr:cNvPr id="403" name="正方形/長方形 402">
                  <a:extLst>
                    <a:ext uri="{FF2B5EF4-FFF2-40B4-BE49-F238E27FC236}">
                      <a16:creationId xmlns:a16="http://schemas.microsoft.com/office/drawing/2014/main" id="{00000000-0008-0000-0600-000093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4" name="正方形/長方形 403">
                  <a:extLst>
                    <a:ext uri="{FF2B5EF4-FFF2-40B4-BE49-F238E27FC236}">
                      <a16:creationId xmlns:a16="http://schemas.microsoft.com/office/drawing/2014/main" id="{00000000-0008-0000-0600-000094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405" name="正方形/長方形 404">
                  <a:extLst>
                    <a:ext uri="{FF2B5EF4-FFF2-40B4-BE49-F238E27FC236}">
                      <a16:creationId xmlns:a16="http://schemas.microsoft.com/office/drawing/2014/main" id="{00000000-0008-0000-0600-000095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nvGrpSpPr>
            <xdr:cNvPr id="395" name="グループ化 394">
              <a:extLst>
                <a:ext uri="{FF2B5EF4-FFF2-40B4-BE49-F238E27FC236}">
                  <a16:creationId xmlns:a16="http://schemas.microsoft.com/office/drawing/2014/main" id="{00000000-0008-0000-0600-00008B010000}"/>
                </a:ext>
              </a:extLst>
            </xdr:cNvPr>
            <xdr:cNvGrpSpPr/>
          </xdr:nvGrpSpPr>
          <xdr:grpSpPr>
            <a:xfrm rot="16200000">
              <a:off x="5239508" y="2772091"/>
              <a:ext cx="568286" cy="568634"/>
              <a:chOff x="5793749" y="5157192"/>
              <a:chExt cx="362387" cy="362609"/>
            </a:xfrm>
          </xdr:grpSpPr>
          <xdr:sp macro="" textlink="">
            <xdr:nvSpPr>
              <xdr:cNvPr id="399" name="円/楕円 4">
                <a:extLst>
                  <a:ext uri="{FF2B5EF4-FFF2-40B4-BE49-F238E27FC236}">
                    <a16:creationId xmlns:a16="http://schemas.microsoft.com/office/drawing/2014/main" id="{00000000-0008-0000-0600-00008F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400" name="円/楕円 9">
                <a:extLst>
                  <a:ext uri="{FF2B5EF4-FFF2-40B4-BE49-F238E27FC236}">
                    <a16:creationId xmlns:a16="http://schemas.microsoft.com/office/drawing/2014/main" id="{00000000-0008-0000-0600-000090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396" name="グループ化 395">
              <a:extLst>
                <a:ext uri="{FF2B5EF4-FFF2-40B4-BE49-F238E27FC236}">
                  <a16:creationId xmlns:a16="http://schemas.microsoft.com/office/drawing/2014/main" id="{00000000-0008-0000-0600-00008C010000}"/>
                </a:ext>
              </a:extLst>
            </xdr:cNvPr>
            <xdr:cNvGrpSpPr/>
          </xdr:nvGrpSpPr>
          <xdr:grpSpPr>
            <a:xfrm rot="16200000">
              <a:off x="1919710" y="2772091"/>
              <a:ext cx="568286" cy="568634"/>
              <a:chOff x="5793749" y="5157192"/>
              <a:chExt cx="362387" cy="362609"/>
            </a:xfrm>
          </xdr:grpSpPr>
          <xdr:sp macro="" textlink="">
            <xdr:nvSpPr>
              <xdr:cNvPr id="397" name="円/楕円 4">
                <a:extLst>
                  <a:ext uri="{FF2B5EF4-FFF2-40B4-BE49-F238E27FC236}">
                    <a16:creationId xmlns:a16="http://schemas.microsoft.com/office/drawing/2014/main" id="{00000000-0008-0000-0600-00008D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98" name="円/楕円 9">
                <a:extLst>
                  <a:ext uri="{FF2B5EF4-FFF2-40B4-BE49-F238E27FC236}">
                    <a16:creationId xmlns:a16="http://schemas.microsoft.com/office/drawing/2014/main" id="{00000000-0008-0000-0600-00008E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grpSp>
        <xdr:nvGrpSpPr>
          <xdr:cNvPr id="330" name="グループ化 329">
            <a:extLst>
              <a:ext uri="{FF2B5EF4-FFF2-40B4-BE49-F238E27FC236}">
                <a16:creationId xmlns:a16="http://schemas.microsoft.com/office/drawing/2014/main" id="{00000000-0008-0000-0600-00004A010000}"/>
              </a:ext>
            </a:extLst>
          </xdr:cNvPr>
          <xdr:cNvGrpSpPr/>
        </xdr:nvGrpSpPr>
        <xdr:grpSpPr>
          <a:xfrm>
            <a:off x="1875992" y="1196752"/>
            <a:ext cx="3888432" cy="788433"/>
            <a:chOff x="1919536" y="2669570"/>
            <a:chExt cx="3888432" cy="788433"/>
          </a:xfrm>
        </xdr:grpSpPr>
        <xdr:sp macro="" textlink="">
          <xdr:nvSpPr>
            <xdr:cNvPr id="339" name="正方形/長方形 338">
              <a:extLst>
                <a:ext uri="{FF2B5EF4-FFF2-40B4-BE49-F238E27FC236}">
                  <a16:creationId xmlns:a16="http://schemas.microsoft.com/office/drawing/2014/main" id="{00000000-0008-0000-0600-000053010000}"/>
                </a:ext>
              </a:extLst>
            </xdr:cNvPr>
            <xdr:cNvSpPr/>
          </xdr:nvSpPr>
          <xdr:spPr>
            <a:xfrm>
              <a:off x="433515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40" name="正方形/長方形 339">
              <a:extLst>
                <a:ext uri="{FF2B5EF4-FFF2-40B4-BE49-F238E27FC236}">
                  <a16:creationId xmlns:a16="http://schemas.microsoft.com/office/drawing/2014/main" id="{00000000-0008-0000-0600-000054010000}"/>
                </a:ext>
              </a:extLst>
            </xdr:cNvPr>
            <xdr:cNvSpPr/>
          </xdr:nvSpPr>
          <xdr:spPr>
            <a:xfrm>
              <a:off x="433515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41" name="正方形/長方形 340">
              <a:extLst>
                <a:ext uri="{FF2B5EF4-FFF2-40B4-BE49-F238E27FC236}">
                  <a16:creationId xmlns:a16="http://schemas.microsoft.com/office/drawing/2014/main" id="{00000000-0008-0000-0600-000055010000}"/>
                </a:ext>
              </a:extLst>
            </xdr:cNvPr>
            <xdr:cNvSpPr/>
          </xdr:nvSpPr>
          <xdr:spPr>
            <a:xfrm>
              <a:off x="3121900" y="2772265"/>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sp macro="" textlink="">
          <xdr:nvSpPr>
            <xdr:cNvPr id="342" name="正方形/長方形 341">
              <a:extLst>
                <a:ext uri="{FF2B5EF4-FFF2-40B4-BE49-F238E27FC236}">
                  <a16:creationId xmlns:a16="http://schemas.microsoft.com/office/drawing/2014/main" id="{00000000-0008-0000-0600-000056010000}"/>
                </a:ext>
              </a:extLst>
            </xdr:cNvPr>
            <xdr:cNvSpPr/>
          </xdr:nvSpPr>
          <xdr:spPr>
            <a:xfrm>
              <a:off x="3121900" y="3132762"/>
              <a:ext cx="265686" cy="212549"/>
            </a:xfrm>
            <a:prstGeom prst="rect">
              <a:avLst/>
            </a:prstGeom>
            <a:solidFill>
              <a:schemeClr val="tx1"/>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43" name="グループ化 342">
              <a:extLst>
                <a:ext uri="{FF2B5EF4-FFF2-40B4-BE49-F238E27FC236}">
                  <a16:creationId xmlns:a16="http://schemas.microsoft.com/office/drawing/2014/main" id="{00000000-0008-0000-0600-000057010000}"/>
                </a:ext>
              </a:extLst>
            </xdr:cNvPr>
            <xdr:cNvGrpSpPr>
              <a:grpSpLocks/>
            </xdr:cNvGrpSpPr>
          </xdr:nvGrpSpPr>
          <xdr:grpSpPr bwMode="auto">
            <a:xfrm rot="16200000">
              <a:off x="4668348" y="3225970"/>
              <a:ext cx="199892" cy="105519"/>
              <a:chOff x="971600" y="1268760"/>
              <a:chExt cx="2304256" cy="1800200"/>
            </a:xfrm>
          </xdr:grpSpPr>
          <xdr:sp macro="" textlink="">
            <xdr:nvSpPr>
              <xdr:cNvPr id="380" name="正方形/長方形 379">
                <a:extLst>
                  <a:ext uri="{FF2B5EF4-FFF2-40B4-BE49-F238E27FC236}">
                    <a16:creationId xmlns:a16="http://schemas.microsoft.com/office/drawing/2014/main" id="{00000000-0008-0000-0600-00007C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81" name="正方形/長方形 380">
                <a:extLst>
                  <a:ext uri="{FF2B5EF4-FFF2-40B4-BE49-F238E27FC236}">
                    <a16:creationId xmlns:a16="http://schemas.microsoft.com/office/drawing/2014/main" id="{00000000-0008-0000-0600-00007D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82" name="正方形/長方形 381">
                <a:extLst>
                  <a:ext uri="{FF2B5EF4-FFF2-40B4-BE49-F238E27FC236}">
                    <a16:creationId xmlns:a16="http://schemas.microsoft.com/office/drawing/2014/main" id="{00000000-0008-0000-0600-00007E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4" name="グループ化 343">
              <a:extLst>
                <a:ext uri="{FF2B5EF4-FFF2-40B4-BE49-F238E27FC236}">
                  <a16:creationId xmlns:a16="http://schemas.microsoft.com/office/drawing/2014/main" id="{00000000-0008-0000-0600-000058010000}"/>
                </a:ext>
              </a:extLst>
            </xdr:cNvPr>
            <xdr:cNvGrpSpPr>
              <a:grpSpLocks/>
            </xdr:cNvGrpSpPr>
          </xdr:nvGrpSpPr>
          <xdr:grpSpPr bwMode="auto">
            <a:xfrm rot="16200000">
              <a:off x="4668349" y="2840751"/>
              <a:ext cx="199892" cy="105519"/>
              <a:chOff x="971600" y="1268760"/>
              <a:chExt cx="2304256" cy="1800200"/>
            </a:xfrm>
          </xdr:grpSpPr>
          <xdr:sp macro="" textlink="">
            <xdr:nvSpPr>
              <xdr:cNvPr id="377" name="正方形/長方形 376">
                <a:extLst>
                  <a:ext uri="{FF2B5EF4-FFF2-40B4-BE49-F238E27FC236}">
                    <a16:creationId xmlns:a16="http://schemas.microsoft.com/office/drawing/2014/main" id="{00000000-0008-0000-0600-000079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8" name="正方形/長方形 377">
                <a:extLst>
                  <a:ext uri="{FF2B5EF4-FFF2-40B4-BE49-F238E27FC236}">
                    <a16:creationId xmlns:a16="http://schemas.microsoft.com/office/drawing/2014/main" id="{00000000-0008-0000-0600-00007A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9" name="正方形/長方形 378">
                <a:extLst>
                  <a:ext uri="{FF2B5EF4-FFF2-40B4-BE49-F238E27FC236}">
                    <a16:creationId xmlns:a16="http://schemas.microsoft.com/office/drawing/2014/main" id="{00000000-0008-0000-0600-00007B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5" name="グループ化 344">
              <a:extLst>
                <a:ext uri="{FF2B5EF4-FFF2-40B4-BE49-F238E27FC236}">
                  <a16:creationId xmlns:a16="http://schemas.microsoft.com/office/drawing/2014/main" id="{00000000-0008-0000-0600-000059010000}"/>
                </a:ext>
              </a:extLst>
            </xdr:cNvPr>
            <xdr:cNvGrpSpPr>
              <a:grpSpLocks/>
            </xdr:cNvGrpSpPr>
          </xdr:nvGrpSpPr>
          <xdr:grpSpPr bwMode="auto">
            <a:xfrm rot="16200000">
              <a:off x="2825925" y="3225970"/>
              <a:ext cx="199892" cy="105519"/>
              <a:chOff x="971600" y="1268760"/>
              <a:chExt cx="2304256" cy="1800200"/>
            </a:xfrm>
          </xdr:grpSpPr>
          <xdr:sp macro="" textlink="">
            <xdr:nvSpPr>
              <xdr:cNvPr id="374" name="正方形/長方形 373">
                <a:extLst>
                  <a:ext uri="{FF2B5EF4-FFF2-40B4-BE49-F238E27FC236}">
                    <a16:creationId xmlns:a16="http://schemas.microsoft.com/office/drawing/2014/main" id="{00000000-0008-0000-0600-000076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5" name="正方形/長方形 374">
                <a:extLst>
                  <a:ext uri="{FF2B5EF4-FFF2-40B4-BE49-F238E27FC236}">
                    <a16:creationId xmlns:a16="http://schemas.microsoft.com/office/drawing/2014/main" id="{00000000-0008-0000-0600-000077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6" name="正方形/長方形 375">
                <a:extLst>
                  <a:ext uri="{FF2B5EF4-FFF2-40B4-BE49-F238E27FC236}">
                    <a16:creationId xmlns:a16="http://schemas.microsoft.com/office/drawing/2014/main" id="{00000000-0008-0000-0600-000078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6" name="グループ化 345">
              <a:extLst>
                <a:ext uri="{FF2B5EF4-FFF2-40B4-BE49-F238E27FC236}">
                  <a16:creationId xmlns:a16="http://schemas.microsoft.com/office/drawing/2014/main" id="{00000000-0008-0000-0600-00005A010000}"/>
                </a:ext>
              </a:extLst>
            </xdr:cNvPr>
            <xdr:cNvGrpSpPr>
              <a:grpSpLocks/>
            </xdr:cNvGrpSpPr>
          </xdr:nvGrpSpPr>
          <xdr:grpSpPr bwMode="auto">
            <a:xfrm rot="16200000">
              <a:off x="2825926" y="2840751"/>
              <a:ext cx="199892" cy="105519"/>
              <a:chOff x="971600" y="1268760"/>
              <a:chExt cx="2304256" cy="1800200"/>
            </a:xfrm>
          </xdr:grpSpPr>
          <xdr:sp macro="" textlink="">
            <xdr:nvSpPr>
              <xdr:cNvPr id="371" name="正方形/長方形 370">
                <a:extLst>
                  <a:ext uri="{FF2B5EF4-FFF2-40B4-BE49-F238E27FC236}">
                    <a16:creationId xmlns:a16="http://schemas.microsoft.com/office/drawing/2014/main" id="{00000000-0008-0000-0600-000073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2" name="正方形/長方形 371">
                <a:extLst>
                  <a:ext uri="{FF2B5EF4-FFF2-40B4-BE49-F238E27FC236}">
                    <a16:creationId xmlns:a16="http://schemas.microsoft.com/office/drawing/2014/main" id="{00000000-0008-0000-0600-000074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3" name="正方形/長方形 372">
                <a:extLst>
                  <a:ext uri="{FF2B5EF4-FFF2-40B4-BE49-F238E27FC236}">
                    <a16:creationId xmlns:a16="http://schemas.microsoft.com/office/drawing/2014/main" id="{00000000-0008-0000-0600-000075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sp macro="" textlink="">
          <xdr:nvSpPr>
            <xdr:cNvPr id="347" name="角丸四角形 677">
              <a:extLst>
                <a:ext uri="{FF2B5EF4-FFF2-40B4-BE49-F238E27FC236}">
                  <a16:creationId xmlns:a16="http://schemas.microsoft.com/office/drawing/2014/main" id="{00000000-0008-0000-0600-00005B010000}"/>
                </a:ext>
              </a:extLst>
            </xdr:cNvPr>
            <xdr:cNvSpPr/>
          </xdr:nvSpPr>
          <xdr:spPr>
            <a:xfrm>
              <a:off x="3489373" y="2669570"/>
              <a:ext cx="735271" cy="788433"/>
            </a:xfrm>
            <a:prstGeom prst="roundRect">
              <a:avLst/>
            </a:prstGeom>
            <a:solidFill>
              <a:schemeClr val="tx1">
                <a:lumMod val="50000"/>
                <a:lumOff val="50000"/>
              </a:schemeClr>
            </a:solidFill>
            <a:ln>
              <a:solidFill>
                <a:schemeClr val="tx1"/>
              </a:solidFill>
            </a:ln>
          </xdr:spPr>
          <xdr:style>
            <a:lnRef idx="1">
              <a:schemeClr val="accent1"/>
            </a:lnRef>
            <a:fillRef idx="3">
              <a:schemeClr val="accent1"/>
            </a:fillRef>
            <a:effectRef idx="2">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lang="ja-JP" altLang="en-US" sz="1100" b="1">
                <a:solidFill>
                  <a:schemeClr val="tx1"/>
                </a:solidFill>
                <a:latin typeface="Meiryo UI" panose="020B0604030504040204" pitchFamily="50" charset="-128"/>
                <a:ea typeface="Meiryo UI" panose="020B0604030504040204" pitchFamily="50" charset="-128"/>
              </a:endParaRPr>
            </a:p>
          </xdr:txBody>
        </xdr:sp>
        <xdr:grpSp>
          <xdr:nvGrpSpPr>
            <xdr:cNvPr id="348" name="グループ化 347">
              <a:extLst>
                <a:ext uri="{FF2B5EF4-FFF2-40B4-BE49-F238E27FC236}">
                  <a16:creationId xmlns:a16="http://schemas.microsoft.com/office/drawing/2014/main" id="{00000000-0008-0000-0600-00005C010000}"/>
                </a:ext>
              </a:extLst>
            </xdr:cNvPr>
            <xdr:cNvGrpSpPr>
              <a:grpSpLocks/>
            </xdr:cNvGrpSpPr>
          </xdr:nvGrpSpPr>
          <xdr:grpSpPr bwMode="auto">
            <a:xfrm rot="16200000">
              <a:off x="4850965" y="3113727"/>
              <a:ext cx="312292" cy="249621"/>
              <a:chOff x="971600" y="1268760"/>
              <a:chExt cx="2304256" cy="1800200"/>
            </a:xfrm>
          </xdr:grpSpPr>
          <xdr:sp macro="" textlink="">
            <xdr:nvSpPr>
              <xdr:cNvPr id="368" name="正方形/長方形 367">
                <a:extLst>
                  <a:ext uri="{FF2B5EF4-FFF2-40B4-BE49-F238E27FC236}">
                    <a16:creationId xmlns:a16="http://schemas.microsoft.com/office/drawing/2014/main" id="{00000000-0008-0000-0600-000070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9" name="正方形/長方形 368">
                <a:extLst>
                  <a:ext uri="{FF2B5EF4-FFF2-40B4-BE49-F238E27FC236}">
                    <a16:creationId xmlns:a16="http://schemas.microsoft.com/office/drawing/2014/main" id="{00000000-0008-0000-0600-000071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70" name="正方形/長方形 369">
                <a:extLst>
                  <a:ext uri="{FF2B5EF4-FFF2-40B4-BE49-F238E27FC236}">
                    <a16:creationId xmlns:a16="http://schemas.microsoft.com/office/drawing/2014/main" id="{00000000-0008-0000-0600-000072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49" name="グループ化 348">
              <a:extLst>
                <a:ext uri="{FF2B5EF4-FFF2-40B4-BE49-F238E27FC236}">
                  <a16:creationId xmlns:a16="http://schemas.microsoft.com/office/drawing/2014/main" id="{00000000-0008-0000-0600-00005D010000}"/>
                </a:ext>
              </a:extLst>
            </xdr:cNvPr>
            <xdr:cNvGrpSpPr>
              <a:grpSpLocks/>
            </xdr:cNvGrpSpPr>
          </xdr:nvGrpSpPr>
          <xdr:grpSpPr bwMode="auto">
            <a:xfrm rot="16200000">
              <a:off x="4850965" y="2706018"/>
              <a:ext cx="312292" cy="249621"/>
              <a:chOff x="971600" y="1268760"/>
              <a:chExt cx="2304256" cy="1800200"/>
            </a:xfrm>
          </xdr:grpSpPr>
          <xdr:sp macro="" textlink="">
            <xdr:nvSpPr>
              <xdr:cNvPr id="365" name="正方形/長方形 364">
                <a:extLst>
                  <a:ext uri="{FF2B5EF4-FFF2-40B4-BE49-F238E27FC236}">
                    <a16:creationId xmlns:a16="http://schemas.microsoft.com/office/drawing/2014/main" id="{00000000-0008-0000-0600-00006D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6" name="正方形/長方形 365">
                <a:extLst>
                  <a:ext uri="{FF2B5EF4-FFF2-40B4-BE49-F238E27FC236}">
                    <a16:creationId xmlns:a16="http://schemas.microsoft.com/office/drawing/2014/main" id="{00000000-0008-0000-0600-00006E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7" name="正方形/長方形 366">
                <a:extLst>
                  <a:ext uri="{FF2B5EF4-FFF2-40B4-BE49-F238E27FC236}">
                    <a16:creationId xmlns:a16="http://schemas.microsoft.com/office/drawing/2014/main" id="{00000000-0008-0000-0600-00006F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50" name="グループ化 349">
              <a:extLst>
                <a:ext uri="{FF2B5EF4-FFF2-40B4-BE49-F238E27FC236}">
                  <a16:creationId xmlns:a16="http://schemas.microsoft.com/office/drawing/2014/main" id="{00000000-0008-0000-0600-00005E010000}"/>
                </a:ext>
              </a:extLst>
            </xdr:cNvPr>
            <xdr:cNvGrpSpPr/>
          </xdr:nvGrpSpPr>
          <xdr:grpSpPr>
            <a:xfrm>
              <a:off x="2559575" y="2674689"/>
              <a:ext cx="249621" cy="720001"/>
              <a:chOff x="4936549" y="4732186"/>
              <a:chExt cx="260728" cy="803544"/>
            </a:xfrm>
          </xdr:grpSpPr>
          <xdr:grpSp>
            <xdr:nvGrpSpPr>
              <xdr:cNvPr id="357" name="グループ化 356">
                <a:extLst>
                  <a:ext uri="{FF2B5EF4-FFF2-40B4-BE49-F238E27FC236}">
                    <a16:creationId xmlns:a16="http://schemas.microsoft.com/office/drawing/2014/main" id="{00000000-0008-0000-0600-000065010000}"/>
                  </a:ext>
                </a:extLst>
              </xdr:cNvPr>
              <xdr:cNvGrpSpPr>
                <a:grpSpLocks/>
              </xdr:cNvGrpSpPr>
            </xdr:nvGrpSpPr>
            <xdr:grpSpPr bwMode="auto">
              <a:xfrm rot="16200000">
                <a:off x="4892649" y="5231102"/>
                <a:ext cx="348528" cy="260728"/>
                <a:chOff x="971600" y="1268760"/>
                <a:chExt cx="2304256" cy="1800200"/>
              </a:xfrm>
            </xdr:grpSpPr>
            <xdr:sp macro="" textlink="">
              <xdr:nvSpPr>
                <xdr:cNvPr id="362" name="正方形/長方形 361">
                  <a:extLst>
                    <a:ext uri="{FF2B5EF4-FFF2-40B4-BE49-F238E27FC236}">
                      <a16:creationId xmlns:a16="http://schemas.microsoft.com/office/drawing/2014/main" id="{00000000-0008-0000-0600-00006A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3" name="正方形/長方形 362">
                  <a:extLst>
                    <a:ext uri="{FF2B5EF4-FFF2-40B4-BE49-F238E27FC236}">
                      <a16:creationId xmlns:a16="http://schemas.microsoft.com/office/drawing/2014/main" id="{00000000-0008-0000-0600-00006B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4" name="正方形/長方形 363">
                  <a:extLst>
                    <a:ext uri="{FF2B5EF4-FFF2-40B4-BE49-F238E27FC236}">
                      <a16:creationId xmlns:a16="http://schemas.microsoft.com/office/drawing/2014/main" id="{00000000-0008-0000-0600-00006C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nvGrpSpPr>
              <xdr:cNvPr id="358" name="グループ化 357">
                <a:extLst>
                  <a:ext uri="{FF2B5EF4-FFF2-40B4-BE49-F238E27FC236}">
                    <a16:creationId xmlns:a16="http://schemas.microsoft.com/office/drawing/2014/main" id="{00000000-0008-0000-0600-000066010000}"/>
                  </a:ext>
                </a:extLst>
              </xdr:cNvPr>
              <xdr:cNvGrpSpPr>
                <a:grpSpLocks/>
              </xdr:cNvGrpSpPr>
            </xdr:nvGrpSpPr>
            <xdr:grpSpPr bwMode="auto">
              <a:xfrm rot="16200000">
                <a:off x="4892649" y="4776086"/>
                <a:ext cx="348528" cy="260728"/>
                <a:chOff x="971600" y="1268760"/>
                <a:chExt cx="2304256" cy="1800200"/>
              </a:xfrm>
            </xdr:grpSpPr>
            <xdr:sp macro="" textlink="">
              <xdr:nvSpPr>
                <xdr:cNvPr id="359" name="正方形/長方形 358">
                  <a:extLst>
                    <a:ext uri="{FF2B5EF4-FFF2-40B4-BE49-F238E27FC236}">
                      <a16:creationId xmlns:a16="http://schemas.microsoft.com/office/drawing/2014/main" id="{00000000-0008-0000-0600-000067010000}"/>
                    </a:ext>
                  </a:extLst>
                </xdr:cNvPr>
                <xdr:cNvSpPr/>
              </xdr:nvSpPr>
              <xdr:spPr>
                <a:xfrm>
                  <a:off x="971600" y="1268760"/>
                  <a:ext cx="2304256" cy="1800200"/>
                </a:xfrm>
                <a:prstGeom prst="rect">
                  <a:avLst/>
                </a:prstGeom>
                <a:solidFill>
                  <a:srgbClr val="FFCC00"/>
                </a:solidFill>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0" name="正方形/長方形 359">
                  <a:extLst>
                    <a:ext uri="{FF2B5EF4-FFF2-40B4-BE49-F238E27FC236}">
                      <a16:creationId xmlns:a16="http://schemas.microsoft.com/office/drawing/2014/main" id="{00000000-0008-0000-0600-000068010000}"/>
                    </a:ext>
                  </a:extLst>
                </xdr:cNvPr>
                <xdr:cNvSpPr/>
              </xdr:nvSpPr>
              <xdr:spPr>
                <a:xfrm>
                  <a:off x="2911015"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sp macro="" textlink="">
              <xdr:nvSpPr>
                <xdr:cNvPr id="361" name="正方形/長方形 360">
                  <a:extLst>
                    <a:ext uri="{FF2B5EF4-FFF2-40B4-BE49-F238E27FC236}">
                      <a16:creationId xmlns:a16="http://schemas.microsoft.com/office/drawing/2014/main" id="{00000000-0008-0000-0600-000069010000}"/>
                    </a:ext>
                  </a:extLst>
                </xdr:cNvPr>
                <xdr:cNvSpPr/>
              </xdr:nvSpPr>
              <xdr:spPr>
                <a:xfrm>
                  <a:off x="971600" y="1268760"/>
                  <a:ext cx="364841" cy="1800200"/>
                </a:xfrm>
                <a:prstGeom prst="rect">
                  <a:avLst/>
                </a:prstGeom>
              </xdr:spPr>
              <xdr:style>
                <a:lnRef idx="1">
                  <a:schemeClr val="dk1"/>
                </a:lnRef>
                <a:fillRef idx="2">
                  <a:schemeClr val="dk1"/>
                </a:fillRef>
                <a:effectRef idx="1">
                  <a:schemeClr val="dk1"/>
                </a:effectRef>
                <a:fontRef idx="minor">
                  <a:schemeClr val="dk1"/>
                </a:fontRef>
              </xdr:style>
              <xdr:txBody>
                <a:bodyPr wrap="square" anchor="ctr"/>
                <a:lstStyle>
                  <a:defPPr>
                    <a:defRPr lang="ja-JP"/>
                  </a:defPPr>
                  <a:lvl1pPr marL="0" algn="l" defTabSz="914400" rtl="0" eaLnBrk="1" latinLnBrk="0" hangingPunct="1">
                    <a:defRPr kumimoji="1" sz="1800" kern="1200">
                      <a:solidFill>
                        <a:schemeClr val="dk1"/>
                      </a:solidFill>
                      <a:latin typeface="+mn-lt"/>
                      <a:ea typeface="+mn-ea"/>
                      <a:cs typeface="+mn-cs"/>
                    </a:defRPr>
                  </a:lvl1pPr>
                  <a:lvl2pPr marL="457200" algn="l" defTabSz="914400" rtl="0" eaLnBrk="1" latinLnBrk="0" hangingPunct="1">
                    <a:defRPr kumimoji="1" sz="1800" kern="1200">
                      <a:solidFill>
                        <a:schemeClr val="dk1"/>
                      </a:solidFill>
                      <a:latin typeface="+mn-lt"/>
                      <a:ea typeface="+mn-ea"/>
                      <a:cs typeface="+mn-cs"/>
                    </a:defRPr>
                  </a:lvl2pPr>
                  <a:lvl3pPr marL="914400" algn="l" defTabSz="914400" rtl="0" eaLnBrk="1" latinLnBrk="0" hangingPunct="1">
                    <a:defRPr kumimoji="1" sz="1800" kern="1200">
                      <a:solidFill>
                        <a:schemeClr val="dk1"/>
                      </a:solidFill>
                      <a:latin typeface="+mn-lt"/>
                      <a:ea typeface="+mn-ea"/>
                      <a:cs typeface="+mn-cs"/>
                    </a:defRPr>
                  </a:lvl3pPr>
                  <a:lvl4pPr marL="1371600" algn="l" defTabSz="914400" rtl="0" eaLnBrk="1" latinLnBrk="0" hangingPunct="1">
                    <a:defRPr kumimoji="1" sz="1800" kern="1200">
                      <a:solidFill>
                        <a:schemeClr val="dk1"/>
                      </a:solidFill>
                      <a:latin typeface="+mn-lt"/>
                      <a:ea typeface="+mn-ea"/>
                      <a:cs typeface="+mn-cs"/>
                    </a:defRPr>
                  </a:lvl4pPr>
                  <a:lvl5pPr marL="1828800" algn="l" defTabSz="914400" rtl="0" eaLnBrk="1" latinLnBrk="0" hangingPunct="1">
                    <a:defRPr kumimoji="1" sz="1800" kern="1200">
                      <a:solidFill>
                        <a:schemeClr val="dk1"/>
                      </a:solidFill>
                      <a:latin typeface="+mn-lt"/>
                      <a:ea typeface="+mn-ea"/>
                      <a:cs typeface="+mn-cs"/>
                    </a:defRPr>
                  </a:lvl5pPr>
                  <a:lvl6pPr marL="2286000" algn="l" defTabSz="914400" rtl="0" eaLnBrk="1" latinLnBrk="0" hangingPunct="1">
                    <a:defRPr kumimoji="1" sz="1800" kern="1200">
                      <a:solidFill>
                        <a:schemeClr val="dk1"/>
                      </a:solidFill>
                      <a:latin typeface="+mn-lt"/>
                      <a:ea typeface="+mn-ea"/>
                      <a:cs typeface="+mn-cs"/>
                    </a:defRPr>
                  </a:lvl6pPr>
                  <a:lvl7pPr marL="2743200" algn="l" defTabSz="914400" rtl="0" eaLnBrk="1" latinLnBrk="0" hangingPunct="1">
                    <a:defRPr kumimoji="1" sz="1800" kern="1200">
                      <a:solidFill>
                        <a:schemeClr val="dk1"/>
                      </a:solidFill>
                      <a:latin typeface="+mn-lt"/>
                      <a:ea typeface="+mn-ea"/>
                      <a:cs typeface="+mn-cs"/>
                    </a:defRPr>
                  </a:lvl7pPr>
                  <a:lvl8pPr marL="3200400" algn="l" defTabSz="914400" rtl="0" eaLnBrk="1" latinLnBrk="0" hangingPunct="1">
                    <a:defRPr kumimoji="1" sz="1800" kern="1200">
                      <a:solidFill>
                        <a:schemeClr val="dk1"/>
                      </a:solidFill>
                      <a:latin typeface="+mn-lt"/>
                      <a:ea typeface="+mn-ea"/>
                      <a:cs typeface="+mn-cs"/>
                    </a:defRPr>
                  </a:lvl8pPr>
                  <a:lvl9pPr marL="3657600" algn="l" defTabSz="914400" rtl="0" eaLnBrk="1" latinLnBrk="0" hangingPunct="1">
                    <a:defRPr kumimoji="1" sz="1800" kern="1200">
                      <a:solidFill>
                        <a:schemeClr val="dk1"/>
                      </a:solidFill>
                      <a:latin typeface="+mn-lt"/>
                      <a:ea typeface="+mn-ea"/>
                      <a:cs typeface="+mn-cs"/>
                    </a:defRPr>
                  </a:lvl9pPr>
                </a:lstStyle>
                <a:p>
                  <a:pPr algn="ctr" fontAlgn="base">
                    <a:spcBef>
                      <a:spcPct val="0"/>
                    </a:spcBef>
                    <a:spcAft>
                      <a:spcPct val="0"/>
                    </a:spcAft>
                    <a:defRPr/>
                  </a:pPr>
                  <a:endParaRPr lang="ja-JP" altLang="en-US">
                    <a:solidFill>
                      <a:srgbClr val="000000"/>
                    </a:solidFill>
                  </a:endParaRPr>
                </a:p>
              </xdr:txBody>
            </xdr:sp>
          </xdr:grpSp>
        </xdr:grpSp>
        <xdr:grpSp>
          <xdr:nvGrpSpPr>
            <xdr:cNvPr id="351" name="グループ化 350">
              <a:extLst>
                <a:ext uri="{FF2B5EF4-FFF2-40B4-BE49-F238E27FC236}">
                  <a16:creationId xmlns:a16="http://schemas.microsoft.com/office/drawing/2014/main" id="{00000000-0008-0000-0600-00005F010000}"/>
                </a:ext>
              </a:extLst>
            </xdr:cNvPr>
            <xdr:cNvGrpSpPr/>
          </xdr:nvGrpSpPr>
          <xdr:grpSpPr>
            <a:xfrm rot="16200000">
              <a:off x="5239508" y="2772091"/>
              <a:ext cx="568286" cy="568634"/>
              <a:chOff x="5793749" y="5157192"/>
              <a:chExt cx="362387" cy="362609"/>
            </a:xfrm>
          </xdr:grpSpPr>
          <xdr:sp macro="" textlink="">
            <xdr:nvSpPr>
              <xdr:cNvPr id="355" name="円/楕円 4">
                <a:extLst>
                  <a:ext uri="{FF2B5EF4-FFF2-40B4-BE49-F238E27FC236}">
                    <a16:creationId xmlns:a16="http://schemas.microsoft.com/office/drawing/2014/main" id="{00000000-0008-0000-0600-000063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56" name="円/楕円 9">
                <a:extLst>
                  <a:ext uri="{FF2B5EF4-FFF2-40B4-BE49-F238E27FC236}">
                    <a16:creationId xmlns:a16="http://schemas.microsoft.com/office/drawing/2014/main" id="{00000000-0008-0000-0600-000064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nvGrpSpPr>
            <xdr:cNvPr id="352" name="グループ化 351">
              <a:extLst>
                <a:ext uri="{FF2B5EF4-FFF2-40B4-BE49-F238E27FC236}">
                  <a16:creationId xmlns:a16="http://schemas.microsoft.com/office/drawing/2014/main" id="{00000000-0008-0000-0600-000060010000}"/>
                </a:ext>
              </a:extLst>
            </xdr:cNvPr>
            <xdr:cNvGrpSpPr/>
          </xdr:nvGrpSpPr>
          <xdr:grpSpPr>
            <a:xfrm rot="16200000">
              <a:off x="1919710" y="2772091"/>
              <a:ext cx="568286" cy="568634"/>
              <a:chOff x="5793749" y="5157192"/>
              <a:chExt cx="362387" cy="362609"/>
            </a:xfrm>
          </xdr:grpSpPr>
          <xdr:sp macro="" textlink="">
            <xdr:nvSpPr>
              <xdr:cNvPr id="353" name="円/楕円 4">
                <a:extLst>
                  <a:ext uri="{FF2B5EF4-FFF2-40B4-BE49-F238E27FC236}">
                    <a16:creationId xmlns:a16="http://schemas.microsoft.com/office/drawing/2014/main" id="{00000000-0008-0000-0600-000061010000}"/>
                  </a:ext>
                </a:extLst>
              </xdr:cNvPr>
              <xdr:cNvSpPr>
                <a:spLocks noChangeAspect="1"/>
              </xdr:cNvSpPr>
            </xdr:nvSpPr>
            <xdr:spPr>
              <a:xfrm>
                <a:off x="5796136" y="5157192"/>
                <a:ext cx="360000" cy="360000"/>
              </a:xfrm>
              <a:prstGeom prst="ellipse">
                <a:avLst/>
              </a:prstGeom>
              <a:solidFill>
                <a:schemeClr val="bg1">
                  <a:lumMod val="75000"/>
                </a:schemeClr>
              </a:solidFill>
              <a:ln>
                <a:noFill/>
              </a:ln>
              <a:scene3d>
                <a:camera prst="orthographicFront"/>
                <a:lightRig rig="threePt" dir="t"/>
              </a:scene3d>
              <a:sp3d>
                <a:bevelT w="38100" h="38100"/>
              </a:sp3d>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sp macro="" textlink="">
            <xdr:nvSpPr>
              <xdr:cNvPr id="354" name="円/楕円 9">
                <a:extLst>
                  <a:ext uri="{FF2B5EF4-FFF2-40B4-BE49-F238E27FC236}">
                    <a16:creationId xmlns:a16="http://schemas.microsoft.com/office/drawing/2014/main" id="{00000000-0008-0000-0600-000062010000}"/>
                  </a:ext>
                </a:extLst>
              </xdr:cNvPr>
              <xdr:cNvSpPr>
                <a:spLocks noChangeAspect="1"/>
              </xdr:cNvSpPr>
            </xdr:nvSpPr>
            <xdr:spPr>
              <a:xfrm rot="14280000">
                <a:off x="5793749" y="5159801"/>
                <a:ext cx="360000" cy="360000"/>
              </a:xfrm>
              <a:prstGeom prst="chord">
                <a:avLst>
                  <a:gd name="adj1" fmla="val 3217298"/>
                  <a:gd name="adj2" fmla="val 11429245"/>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91352" tIns="45676" rIns="91352" bIns="45676" spcCol="0"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defTabSz="913551"/>
                <a:endParaRPr lang="ja-JP" altLang="en-US">
                  <a:solidFill>
                    <a:prstClr val="white"/>
                  </a:solidFill>
                </a:endParaRPr>
              </a:p>
            </xdr:txBody>
          </xdr:sp>
        </xdr:grpSp>
      </xdr:grpSp>
      <xdr:grpSp>
        <xdr:nvGrpSpPr>
          <xdr:cNvPr id="331" name="グループ化 330">
            <a:extLst>
              <a:ext uri="{FF2B5EF4-FFF2-40B4-BE49-F238E27FC236}">
                <a16:creationId xmlns:a16="http://schemas.microsoft.com/office/drawing/2014/main" id="{00000000-0008-0000-0600-00004B010000}"/>
              </a:ext>
            </a:extLst>
          </xdr:cNvPr>
          <xdr:cNvGrpSpPr/>
        </xdr:nvGrpSpPr>
        <xdr:grpSpPr>
          <a:xfrm>
            <a:off x="5879976" y="1225240"/>
            <a:ext cx="216000" cy="720056"/>
            <a:chOff x="5879976" y="1340768"/>
            <a:chExt cx="216000" cy="720056"/>
          </a:xfrm>
        </xdr:grpSpPr>
        <xdr:sp macro="" textlink="">
          <xdr:nvSpPr>
            <xdr:cNvPr id="337" name="楕円 336">
              <a:extLst>
                <a:ext uri="{FF2B5EF4-FFF2-40B4-BE49-F238E27FC236}">
                  <a16:creationId xmlns:a16="http://schemas.microsoft.com/office/drawing/2014/main" id="{00000000-0008-0000-0600-000051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338" name="楕円 337">
              <a:extLst>
                <a:ext uri="{FF2B5EF4-FFF2-40B4-BE49-F238E27FC236}">
                  <a16:creationId xmlns:a16="http://schemas.microsoft.com/office/drawing/2014/main" id="{00000000-0008-0000-0600-000052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332" name="楕円 331">
            <a:extLst>
              <a:ext uri="{FF2B5EF4-FFF2-40B4-BE49-F238E27FC236}">
                <a16:creationId xmlns:a16="http://schemas.microsoft.com/office/drawing/2014/main" id="{00000000-0008-0000-0600-00004C010000}"/>
              </a:ext>
            </a:extLst>
          </xdr:cNvPr>
          <xdr:cNvSpPr/>
        </xdr:nvSpPr>
        <xdr:spPr>
          <a:xfrm>
            <a:off x="1609732" y="1729296"/>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nvGrpSpPr>
          <xdr:cNvPr id="333" name="グループ化 332">
            <a:extLst>
              <a:ext uri="{FF2B5EF4-FFF2-40B4-BE49-F238E27FC236}">
                <a16:creationId xmlns:a16="http://schemas.microsoft.com/office/drawing/2014/main" id="{00000000-0008-0000-0600-00004D010000}"/>
              </a:ext>
            </a:extLst>
          </xdr:cNvPr>
          <xdr:cNvGrpSpPr/>
        </xdr:nvGrpSpPr>
        <xdr:grpSpPr>
          <a:xfrm>
            <a:off x="5879976" y="2708920"/>
            <a:ext cx="216000" cy="720056"/>
            <a:chOff x="5879976" y="1340768"/>
            <a:chExt cx="216000" cy="720056"/>
          </a:xfrm>
        </xdr:grpSpPr>
        <xdr:sp macro="" textlink="">
          <xdr:nvSpPr>
            <xdr:cNvPr id="335" name="楕円 334">
              <a:extLst>
                <a:ext uri="{FF2B5EF4-FFF2-40B4-BE49-F238E27FC236}">
                  <a16:creationId xmlns:a16="http://schemas.microsoft.com/office/drawing/2014/main" id="{00000000-0008-0000-0600-00004F010000}"/>
                </a:ext>
              </a:extLst>
            </xdr:cNvPr>
            <xdr:cNvSpPr/>
          </xdr:nvSpPr>
          <xdr:spPr>
            <a:xfrm>
              <a:off x="5879976" y="1340768"/>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sp macro="" textlink="">
          <xdr:nvSpPr>
            <xdr:cNvPr id="336" name="楕円 335">
              <a:extLst>
                <a:ext uri="{FF2B5EF4-FFF2-40B4-BE49-F238E27FC236}">
                  <a16:creationId xmlns:a16="http://schemas.microsoft.com/office/drawing/2014/main" id="{00000000-0008-0000-0600-000050010000}"/>
                </a:ext>
              </a:extLst>
            </xdr:cNvPr>
            <xdr:cNvSpPr/>
          </xdr:nvSpPr>
          <xdr:spPr>
            <a:xfrm>
              <a:off x="5879976" y="1844824"/>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sp macro="" textlink="">
        <xdr:nvSpPr>
          <xdr:cNvPr id="334" name="楕円 333">
            <a:extLst>
              <a:ext uri="{FF2B5EF4-FFF2-40B4-BE49-F238E27FC236}">
                <a16:creationId xmlns:a16="http://schemas.microsoft.com/office/drawing/2014/main" id="{00000000-0008-0000-0600-00004E010000}"/>
              </a:ext>
            </a:extLst>
          </xdr:cNvPr>
          <xdr:cNvSpPr/>
        </xdr:nvSpPr>
        <xdr:spPr>
          <a:xfrm>
            <a:off x="1609732" y="2708920"/>
            <a:ext cx="216000" cy="216000"/>
          </a:xfrm>
          <a:prstGeom prst="ellipse">
            <a:avLst/>
          </a:prstGeom>
          <a:gradFill flip="none" rotWithShape="1">
            <a:gsLst>
              <a:gs pos="0">
                <a:schemeClr val="tx1">
                  <a:lumMod val="50000"/>
                  <a:lumOff val="50000"/>
                </a:schemeClr>
              </a:gs>
              <a:gs pos="64000">
                <a:srgbClr val="E0E0E0"/>
              </a:gs>
              <a:gs pos="46000">
                <a:schemeClr val="bg1">
                  <a:lumMod val="95000"/>
                </a:schemeClr>
              </a:gs>
              <a:gs pos="100000">
                <a:schemeClr val="bg1">
                  <a:lumMod val="50000"/>
                </a:schemeClr>
              </a:gs>
            </a:gsLst>
            <a:path path="circle">
              <a:fillToRect l="50000" t="50000" r="50000" b="50000"/>
            </a:path>
            <a:tileRect/>
          </a:gradFill>
          <a:ln w="19050"/>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ja-JP"/>
            </a:defPPr>
            <a:lvl1pPr marL="0" algn="l" defTabSz="914400" rtl="0" eaLnBrk="1" latinLnBrk="0" hangingPunct="1">
              <a:defRPr kumimoji="1" sz="1800" kern="1200">
                <a:solidFill>
                  <a:schemeClr val="lt1"/>
                </a:solidFill>
                <a:latin typeface="+mn-lt"/>
                <a:ea typeface="+mn-ea"/>
                <a:cs typeface="+mn-cs"/>
              </a:defRPr>
            </a:lvl1pPr>
            <a:lvl2pPr marL="457200" algn="l" defTabSz="914400" rtl="0" eaLnBrk="1" latinLnBrk="0" hangingPunct="1">
              <a:defRPr kumimoji="1" sz="1800" kern="1200">
                <a:solidFill>
                  <a:schemeClr val="lt1"/>
                </a:solidFill>
                <a:latin typeface="+mn-lt"/>
                <a:ea typeface="+mn-ea"/>
                <a:cs typeface="+mn-cs"/>
              </a:defRPr>
            </a:lvl2pPr>
            <a:lvl3pPr marL="914400" algn="l" defTabSz="914400" rtl="0" eaLnBrk="1" latinLnBrk="0" hangingPunct="1">
              <a:defRPr kumimoji="1" sz="1800" kern="1200">
                <a:solidFill>
                  <a:schemeClr val="lt1"/>
                </a:solidFill>
                <a:latin typeface="+mn-lt"/>
                <a:ea typeface="+mn-ea"/>
                <a:cs typeface="+mn-cs"/>
              </a:defRPr>
            </a:lvl3pPr>
            <a:lvl4pPr marL="1371600" algn="l" defTabSz="914400" rtl="0" eaLnBrk="1" latinLnBrk="0" hangingPunct="1">
              <a:defRPr kumimoji="1" sz="1800" kern="1200">
                <a:solidFill>
                  <a:schemeClr val="lt1"/>
                </a:solidFill>
                <a:latin typeface="+mn-lt"/>
                <a:ea typeface="+mn-ea"/>
                <a:cs typeface="+mn-cs"/>
              </a:defRPr>
            </a:lvl4pPr>
            <a:lvl5pPr marL="1828800" algn="l" defTabSz="914400" rtl="0" eaLnBrk="1" latinLnBrk="0" hangingPunct="1">
              <a:defRPr kumimoji="1" sz="1800" kern="1200">
                <a:solidFill>
                  <a:schemeClr val="lt1"/>
                </a:solidFill>
                <a:latin typeface="+mn-lt"/>
                <a:ea typeface="+mn-ea"/>
                <a:cs typeface="+mn-cs"/>
              </a:defRPr>
            </a:lvl5pPr>
            <a:lvl6pPr marL="2286000" algn="l" defTabSz="914400" rtl="0" eaLnBrk="1" latinLnBrk="0" hangingPunct="1">
              <a:defRPr kumimoji="1" sz="1800" kern="1200">
                <a:solidFill>
                  <a:schemeClr val="lt1"/>
                </a:solidFill>
                <a:latin typeface="+mn-lt"/>
                <a:ea typeface="+mn-ea"/>
                <a:cs typeface="+mn-cs"/>
              </a:defRPr>
            </a:lvl6pPr>
            <a:lvl7pPr marL="2743200" algn="l" defTabSz="914400" rtl="0" eaLnBrk="1" latinLnBrk="0" hangingPunct="1">
              <a:defRPr kumimoji="1" sz="1800" kern="1200">
                <a:solidFill>
                  <a:schemeClr val="lt1"/>
                </a:solidFill>
                <a:latin typeface="+mn-lt"/>
                <a:ea typeface="+mn-ea"/>
                <a:cs typeface="+mn-cs"/>
              </a:defRPr>
            </a:lvl7pPr>
            <a:lvl8pPr marL="3200400" algn="l" defTabSz="914400" rtl="0" eaLnBrk="1" latinLnBrk="0" hangingPunct="1">
              <a:defRPr kumimoji="1" sz="1800" kern="1200">
                <a:solidFill>
                  <a:schemeClr val="lt1"/>
                </a:solidFill>
                <a:latin typeface="+mn-lt"/>
                <a:ea typeface="+mn-ea"/>
                <a:cs typeface="+mn-cs"/>
              </a:defRPr>
            </a:lvl8pPr>
            <a:lvl9pPr marL="3657600" algn="l" defTabSz="914400" rtl="0" eaLnBrk="1" latinLnBrk="0" hangingPunct="1">
              <a:defRPr kumimoji="1" sz="1800" kern="1200">
                <a:solidFill>
                  <a:schemeClr val="lt1"/>
                </a:solidFill>
                <a:latin typeface="+mn-lt"/>
                <a:ea typeface="+mn-ea"/>
                <a:cs typeface="+mn-cs"/>
              </a:defRPr>
            </a:lvl9pPr>
          </a:lstStyle>
          <a:p>
            <a:pPr algn="ctr"/>
            <a:endParaRPr kumimoji="1" lang="ja-JP" altLang="en-US"/>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33</xdr:col>
      <xdr:colOff>180975</xdr:colOff>
      <xdr:row>65</xdr:row>
      <xdr:rowOff>9525</xdr:rowOff>
    </xdr:from>
    <xdr:to>
      <xdr:col>37</xdr:col>
      <xdr:colOff>438150</xdr:colOff>
      <xdr:row>74</xdr:row>
      <xdr:rowOff>95250</xdr:rowOff>
    </xdr:to>
    <xdr:sp macro="" textlink="">
      <xdr:nvSpPr>
        <xdr:cNvPr id="2" name="四角形 1">
          <a:extLst>
            <a:ext uri="{FF2B5EF4-FFF2-40B4-BE49-F238E27FC236}">
              <a16:creationId xmlns:a16="http://schemas.microsoft.com/office/drawing/2014/main" id="{00000000-0008-0000-0700-000002000000}"/>
            </a:ext>
          </a:extLst>
        </xdr:cNvPr>
        <xdr:cNvSpPr/>
      </xdr:nvSpPr>
      <xdr:spPr bwMode="auto">
        <a:xfrm>
          <a:off x="12534900" y="9058275"/>
          <a:ext cx="2047875" cy="1819275"/>
        </a:xfrm>
        <a:prstGeom prst="rect">
          <a:avLst/>
        </a:prstGeom>
        <a:ln>
          <a:headEnd type="none" w="med" len="med"/>
          <a:tailEnd type="none" w="med" len="med"/>
        </a:ln>
      </xdr:spPr>
      <xdr:style>
        <a:lnRef idx="2">
          <a:schemeClr val="dk1">
            <a:shade val="15000"/>
          </a:schemeClr>
        </a:lnRef>
        <a:fillRef idx="1">
          <a:schemeClr val="dk1"/>
        </a:fillRef>
        <a:effectRef idx="0">
          <a:schemeClr val="dk1"/>
        </a:effectRef>
        <a:fontRef idx="minor">
          <a:schemeClr val="lt1"/>
        </a:fontRef>
      </xdr:style>
      <xdr:txBody>
        <a:bodyPr vertOverflow="clip" horzOverflow="clip" wrap="square" lIns="18288" tIns="0" rIns="0" bIns="0" rtlCol="0" anchor="t" upright="1"/>
        <a:lstStyle/>
        <a:p>
          <a:pPr algn="l"/>
          <a:endParaRPr lang="en-US"/>
        </a:p>
      </xdr:txBody>
    </xdr:sp>
    <xdr:clientData/>
  </xdr:twoCellAnchor>
  <xdr:twoCellAnchor>
    <xdr:from>
      <xdr:col>34</xdr:col>
      <xdr:colOff>51336</xdr:colOff>
      <xdr:row>24</xdr:row>
      <xdr:rowOff>58536</xdr:rowOff>
    </xdr:from>
    <xdr:to>
      <xdr:col>36</xdr:col>
      <xdr:colOff>404404</xdr:colOff>
      <xdr:row>32</xdr:row>
      <xdr:rowOff>93420</xdr:rowOff>
    </xdr:to>
    <xdr:graphicFrame macro="">
      <xdr:nvGraphicFramePr>
        <xdr:cNvPr id="3" name="グラフ 2">
          <a:extLst>
            <a:ext uri="{FF2B5EF4-FFF2-40B4-BE49-F238E27FC236}">
              <a16:creationId xmlns:a16="http://schemas.microsoft.com/office/drawing/2014/main" id="{00000000-0008-0000-0700-000003000000}"/>
            </a:ext>
            <a:ext uri="{147F2762-F138-4A5C-976F-8EAC2B608ADB}">
              <a16:predDERef xmlns:a16="http://schemas.microsoft.com/office/drawing/2014/main" pred="{B4C9267A-754A-472C-AFFF-1179338CA9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396241</xdr:colOff>
      <xdr:row>15</xdr:row>
      <xdr:rowOff>114299</xdr:rowOff>
    </xdr:from>
    <xdr:to>
      <xdr:col>25</xdr:col>
      <xdr:colOff>129888</xdr:colOff>
      <xdr:row>16</xdr:row>
      <xdr:rowOff>181840</xdr:rowOff>
    </xdr:to>
    <xdr:sp macro="" textlink="">
      <xdr:nvSpPr>
        <xdr:cNvPr id="5" name="テキスト ボックス 4">
          <a:extLst>
            <a:ext uri="{FF2B5EF4-FFF2-40B4-BE49-F238E27FC236}">
              <a16:creationId xmlns:a16="http://schemas.microsoft.com/office/drawing/2014/main" id="{00000000-0008-0000-0700-000005000000}"/>
            </a:ext>
          </a:extLst>
        </xdr:cNvPr>
        <xdr:cNvSpPr txBox="1"/>
      </xdr:nvSpPr>
      <xdr:spPr>
        <a:xfrm>
          <a:off x="8016241" y="114299"/>
          <a:ext cx="1110442" cy="258041"/>
        </a:xfrm>
        <a:prstGeom prst="wedgeRectCallout">
          <a:avLst>
            <a:gd name="adj1" fmla="val -40643"/>
            <a:gd name="adj2" fmla="val 86743"/>
          </a:avLst>
        </a:prstGeom>
        <a:solidFill>
          <a:schemeClr val="tx1">
            <a:alpha val="3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000" b="1">
              <a:solidFill>
                <a:schemeClr val="bg1"/>
              </a:solidFill>
              <a:latin typeface="Meiryo UI" panose="020B0604030504040204" pitchFamily="50" charset="-128"/>
              <a:ea typeface="Meiryo UI" panose="020B0604030504040204" pitchFamily="50" charset="-128"/>
            </a:rPr>
            <a:t>フェーズ数加味</a:t>
          </a:r>
          <a:endParaRPr kumimoji="1" lang="en-US" altLang="ja-JP" sz="1000" b="1">
            <a:solidFill>
              <a:schemeClr val="bg1"/>
            </a:solidFill>
            <a:latin typeface="Meiryo UI" panose="020B0604030504040204" pitchFamily="50" charset="-128"/>
            <a:ea typeface="Meiryo UI" panose="020B0604030504040204" pitchFamily="50" charset="-128"/>
          </a:endParaRPr>
        </a:p>
      </xdr:txBody>
    </xdr:sp>
    <xdr:clientData/>
  </xdr:twoCellAnchor>
  <xdr:twoCellAnchor editAs="oneCell">
    <xdr:from>
      <xdr:col>21</xdr:col>
      <xdr:colOff>26504</xdr:colOff>
      <xdr:row>29</xdr:row>
      <xdr:rowOff>53009</xdr:rowOff>
    </xdr:from>
    <xdr:to>
      <xdr:col>26</xdr:col>
      <xdr:colOff>102705</xdr:colOff>
      <xdr:row>35</xdr:row>
      <xdr:rowOff>73550</xdr:rowOff>
    </xdr:to>
    <xdr:pic>
      <xdr:nvPicPr>
        <xdr:cNvPr id="7" name="図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7156174" y="2743200"/>
          <a:ext cx="2362201" cy="1173480"/>
        </a:xfrm>
        <a:prstGeom prst="rect">
          <a:avLst/>
        </a:prstGeom>
        <a:ln>
          <a:solidFill>
            <a:schemeClr val="bg1">
              <a:lumMod val="50000"/>
            </a:schemeClr>
          </a:solidFill>
        </a:ln>
      </xdr:spPr>
    </xdr:pic>
    <xdr:clientData/>
  </xdr:twoCellAnchor>
  <xdr:twoCellAnchor>
    <xdr:from>
      <xdr:col>27</xdr:col>
      <xdr:colOff>108858</xdr:colOff>
      <xdr:row>32</xdr:row>
      <xdr:rowOff>32657</xdr:rowOff>
    </xdr:from>
    <xdr:to>
      <xdr:col>31</xdr:col>
      <xdr:colOff>216479</xdr:colOff>
      <xdr:row>33</xdr:row>
      <xdr:rowOff>147205</xdr:rowOff>
    </xdr:to>
    <xdr:sp macro="" textlink="">
      <xdr:nvSpPr>
        <xdr:cNvPr id="8" name="テキスト ボックス 7">
          <a:extLst>
            <a:ext uri="{FF2B5EF4-FFF2-40B4-BE49-F238E27FC236}">
              <a16:creationId xmlns:a16="http://schemas.microsoft.com/office/drawing/2014/main" id="{00000000-0008-0000-0700-000008000000}"/>
            </a:ext>
          </a:extLst>
        </xdr:cNvPr>
        <xdr:cNvSpPr txBox="1"/>
      </xdr:nvSpPr>
      <xdr:spPr>
        <a:xfrm>
          <a:off x="10023517" y="3271157"/>
          <a:ext cx="1943348" cy="305048"/>
        </a:xfrm>
        <a:prstGeom prst="rect">
          <a:avLst/>
        </a:prstGeom>
        <a:solidFill>
          <a:schemeClr val="tx1">
            <a:alpha val="3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000" b="1">
              <a:solidFill>
                <a:schemeClr val="bg1"/>
              </a:solidFill>
              <a:latin typeface="Meiryo UI" panose="020B0604030504040204" pitchFamily="50" charset="-128"/>
              <a:ea typeface="Meiryo UI" panose="020B0604030504040204" pitchFamily="50" charset="-128"/>
            </a:rPr>
            <a:t>フェーズ数も加味</a:t>
          </a:r>
          <a:endParaRPr kumimoji="1" lang="en-US" altLang="ja-JP" sz="1000" b="0">
            <a:solidFill>
              <a:schemeClr val="bg1"/>
            </a:solidFill>
            <a:latin typeface="Meiryo UI" panose="020B0604030504040204" pitchFamily="50" charset="-128"/>
            <a:ea typeface="Meiryo UI" panose="020B0604030504040204" pitchFamily="50" charset="-128"/>
          </a:endParaRPr>
        </a:p>
      </xdr:txBody>
    </xdr:sp>
    <xdr:clientData/>
  </xdr:twoCellAnchor>
  <xdr:twoCellAnchor>
    <xdr:from>
      <xdr:col>17</xdr:col>
      <xdr:colOff>158982</xdr:colOff>
      <xdr:row>20</xdr:row>
      <xdr:rowOff>67540</xdr:rowOff>
    </xdr:from>
    <xdr:to>
      <xdr:col>19</xdr:col>
      <xdr:colOff>490105</xdr:colOff>
      <xdr:row>21</xdr:row>
      <xdr:rowOff>135081</xdr:rowOff>
    </xdr:to>
    <xdr:sp macro="" textlink="">
      <xdr:nvSpPr>
        <xdr:cNvPr id="9" name="テキスト ボックス 8">
          <a:extLst>
            <a:ext uri="{FF2B5EF4-FFF2-40B4-BE49-F238E27FC236}">
              <a16:creationId xmlns:a16="http://schemas.microsoft.com/office/drawing/2014/main" id="{00000000-0008-0000-0700-000009000000}"/>
            </a:ext>
          </a:extLst>
        </xdr:cNvPr>
        <xdr:cNvSpPr txBox="1"/>
      </xdr:nvSpPr>
      <xdr:spPr>
        <a:xfrm>
          <a:off x="5250527" y="1020040"/>
          <a:ext cx="1110442" cy="258041"/>
        </a:xfrm>
        <a:prstGeom prst="wedgeRectCallout">
          <a:avLst>
            <a:gd name="adj1" fmla="val 20960"/>
            <a:gd name="adj2" fmla="val -77687"/>
          </a:avLst>
        </a:prstGeom>
        <a:solidFill>
          <a:schemeClr val="tx1">
            <a:alpha val="3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kumimoji="1" lang="ja-JP" altLang="en-US" sz="1000" b="1">
              <a:solidFill>
                <a:schemeClr val="bg1"/>
              </a:solidFill>
              <a:latin typeface="Meiryo UI" panose="020B0604030504040204" pitchFamily="50" charset="-128"/>
              <a:ea typeface="Meiryo UI" panose="020B0604030504040204" pitchFamily="50" charset="-128"/>
            </a:rPr>
            <a:t>フェーズ数加味</a:t>
          </a:r>
          <a:endParaRPr kumimoji="1" lang="en-US" altLang="ja-JP" sz="1000" b="1">
            <a:solidFill>
              <a:schemeClr val="bg1"/>
            </a:solidFill>
            <a:latin typeface="Meiryo UI" panose="020B0604030504040204" pitchFamily="50" charset="-128"/>
            <a:ea typeface="Meiryo UI" panose="020B0604030504040204" pitchFamily="50" charset="-128"/>
          </a:endParaRPr>
        </a:p>
      </xdr:txBody>
    </xdr:sp>
    <xdr:clientData/>
  </xdr:twoCellAnchor>
  <xdr:twoCellAnchor>
    <xdr:from>
      <xdr:col>48</xdr:col>
      <xdr:colOff>-1</xdr:colOff>
      <xdr:row>35</xdr:row>
      <xdr:rowOff>77492</xdr:rowOff>
    </xdr:from>
    <xdr:to>
      <xdr:col>84</xdr:col>
      <xdr:colOff>116235</xdr:colOff>
      <xdr:row>38</xdr:row>
      <xdr:rowOff>0</xdr:rowOff>
    </xdr:to>
    <xdr:sp macro="" textlink="">
      <xdr:nvSpPr>
        <xdr:cNvPr id="6" name="テキスト ボックス 5">
          <a:extLst>
            <a:ext uri="{FF2B5EF4-FFF2-40B4-BE49-F238E27FC236}">
              <a16:creationId xmlns:a16="http://schemas.microsoft.com/office/drawing/2014/main" id="{00000000-0008-0000-0700-000006000000}"/>
            </a:ext>
          </a:extLst>
        </xdr:cNvPr>
        <xdr:cNvSpPr txBox="1"/>
      </xdr:nvSpPr>
      <xdr:spPr>
        <a:xfrm>
          <a:off x="19192067" y="3952068"/>
          <a:ext cx="12773185" cy="464949"/>
        </a:xfrm>
        <a:prstGeom prst="rect">
          <a:avLst/>
        </a:prstGeom>
        <a:solidFill>
          <a:srgbClr val="FF99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pPr algn="ctr"/>
          <a:r>
            <a:rPr kumimoji="1" lang="ja-JP" altLang="en-US" sz="1100" b="1"/>
            <a:t>損失計算係数</a:t>
          </a:r>
          <a:r>
            <a:rPr kumimoji="1" lang="en-US" altLang="ja-JP" sz="1100" b="1"/>
            <a:t>_data_library </a:t>
          </a:r>
          <a:r>
            <a:rPr kumimoji="1" lang="ja-JP" altLang="en-US" sz="1100" b="1"/>
            <a:t>更新になったらここも参照範囲を広げる。橙色のところを置換で新範囲に置き換え</a:t>
          </a:r>
          <a:endParaRPr kumimoji="1" lang="en-US" altLang="ja-JP" sz="1100" b="1"/>
        </a:p>
        <a:p>
          <a:pPr algn="ctr"/>
          <a:r>
            <a:rPr kumimoji="1" lang="en-US" altLang="ja-JP" sz="1100" b="0"/>
            <a:t>※</a:t>
          </a:r>
          <a:r>
            <a:rPr kumimoji="1" lang="ja-JP" altLang="en-US" sz="1100" b="0"/>
            <a:t>更新によって列は増えるが、行構造は前回と同じにすること。さもなくば参照が壊れる。</a:t>
          </a:r>
        </a:p>
      </xdr:txBody>
    </xdr:sp>
    <xdr:clientData/>
  </xdr:twoCellAnchor>
  <xdr:twoCellAnchor>
    <xdr:from>
      <xdr:col>83</xdr:col>
      <xdr:colOff>350767</xdr:colOff>
      <xdr:row>37</xdr:row>
      <xdr:rowOff>138546</xdr:rowOff>
    </xdr:from>
    <xdr:to>
      <xdr:col>83</xdr:col>
      <xdr:colOff>350767</xdr:colOff>
      <xdr:row>39</xdr:row>
      <xdr:rowOff>147204</xdr:rowOff>
    </xdr:to>
    <xdr:cxnSp macro="">
      <xdr:nvCxnSpPr>
        <xdr:cNvPr id="11" name="直線矢印コネクタ 10">
          <a:extLst>
            <a:ext uri="{FF2B5EF4-FFF2-40B4-BE49-F238E27FC236}">
              <a16:creationId xmlns:a16="http://schemas.microsoft.com/office/drawing/2014/main" id="{00000000-0008-0000-0700-00000B000000}"/>
            </a:ext>
          </a:extLst>
        </xdr:cNvPr>
        <xdr:cNvCxnSpPr/>
      </xdr:nvCxnSpPr>
      <xdr:spPr bwMode="auto">
        <a:xfrm>
          <a:off x="31592767"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85</xdr:col>
      <xdr:colOff>32875</xdr:colOff>
      <xdr:row>37</xdr:row>
      <xdr:rowOff>146764</xdr:rowOff>
    </xdr:from>
    <xdr:to>
      <xdr:col>101</xdr:col>
      <xdr:colOff>64577</xdr:colOff>
      <xdr:row>48</xdr:row>
      <xdr:rowOff>12916</xdr:rowOff>
    </xdr:to>
    <xdr:cxnSp macro="">
      <xdr:nvCxnSpPr>
        <xdr:cNvPr id="14" name="直線矢印コネクタ 13">
          <a:extLst>
            <a:ext uri="{FF2B5EF4-FFF2-40B4-BE49-F238E27FC236}">
              <a16:creationId xmlns:a16="http://schemas.microsoft.com/office/drawing/2014/main" id="{00000000-0008-0000-0700-00000E000000}"/>
            </a:ext>
          </a:extLst>
        </xdr:cNvPr>
        <xdr:cNvCxnSpPr/>
      </xdr:nvCxnSpPr>
      <xdr:spPr bwMode="auto">
        <a:xfrm>
          <a:off x="31998129" y="4408798"/>
          <a:ext cx="6799295" cy="1570965"/>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78</xdr:col>
      <xdr:colOff>14971</xdr:colOff>
      <xdr:row>37</xdr:row>
      <xdr:rowOff>138546</xdr:rowOff>
    </xdr:from>
    <xdr:to>
      <xdr:col>78</xdr:col>
      <xdr:colOff>14971</xdr:colOff>
      <xdr:row>39</xdr:row>
      <xdr:rowOff>147204</xdr:rowOff>
    </xdr:to>
    <xdr:cxnSp macro="">
      <xdr:nvCxnSpPr>
        <xdr:cNvPr id="16" name="直線矢印コネクタ 15">
          <a:extLst>
            <a:ext uri="{FF2B5EF4-FFF2-40B4-BE49-F238E27FC236}">
              <a16:creationId xmlns:a16="http://schemas.microsoft.com/office/drawing/2014/main" id="{00000000-0008-0000-0700-000010000000}"/>
            </a:ext>
          </a:extLst>
        </xdr:cNvPr>
        <xdr:cNvCxnSpPr/>
      </xdr:nvCxnSpPr>
      <xdr:spPr bwMode="auto">
        <a:xfrm>
          <a:off x="29280937"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69</xdr:col>
      <xdr:colOff>79547</xdr:colOff>
      <xdr:row>37</xdr:row>
      <xdr:rowOff>138546</xdr:rowOff>
    </xdr:from>
    <xdr:to>
      <xdr:col>69</xdr:col>
      <xdr:colOff>79547</xdr:colOff>
      <xdr:row>39</xdr:row>
      <xdr:rowOff>147204</xdr:rowOff>
    </xdr:to>
    <xdr:cxnSp macro="">
      <xdr:nvCxnSpPr>
        <xdr:cNvPr id="17" name="直線矢印コネクタ 16">
          <a:extLst>
            <a:ext uri="{FF2B5EF4-FFF2-40B4-BE49-F238E27FC236}">
              <a16:creationId xmlns:a16="http://schemas.microsoft.com/office/drawing/2014/main" id="{00000000-0008-0000-0700-000011000000}"/>
            </a:ext>
          </a:extLst>
        </xdr:cNvPr>
        <xdr:cNvCxnSpPr/>
      </xdr:nvCxnSpPr>
      <xdr:spPr bwMode="auto">
        <a:xfrm>
          <a:off x="26284598"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twoCellAnchor>
    <xdr:from>
      <xdr:col>53</xdr:col>
      <xdr:colOff>169954</xdr:colOff>
      <xdr:row>37</xdr:row>
      <xdr:rowOff>138546</xdr:rowOff>
    </xdr:from>
    <xdr:to>
      <xdr:col>53</xdr:col>
      <xdr:colOff>169954</xdr:colOff>
      <xdr:row>39</xdr:row>
      <xdr:rowOff>147204</xdr:rowOff>
    </xdr:to>
    <xdr:cxnSp macro="">
      <xdr:nvCxnSpPr>
        <xdr:cNvPr id="18" name="直線矢印コネクタ 17">
          <a:extLst>
            <a:ext uri="{FF2B5EF4-FFF2-40B4-BE49-F238E27FC236}">
              <a16:creationId xmlns:a16="http://schemas.microsoft.com/office/drawing/2014/main" id="{00000000-0008-0000-0700-000012000000}"/>
            </a:ext>
          </a:extLst>
        </xdr:cNvPr>
        <xdr:cNvCxnSpPr/>
      </xdr:nvCxnSpPr>
      <xdr:spPr bwMode="auto">
        <a:xfrm>
          <a:off x="20769785" y="4400580"/>
          <a:ext cx="0" cy="318624"/>
        </a:xfrm>
        <a:prstGeom prst="straightConnector1">
          <a:avLst/>
        </a:prstGeom>
        <a:solidFill>
          <a:srgbClr val="FFFFFF"/>
        </a:solidFill>
        <a:ln w="76200" cap="flat" cmpd="sng" algn="ctr">
          <a:solidFill>
            <a:srgbClr val="FF9900"/>
          </a:solidFill>
          <a:prstDash val="solid"/>
          <a:round/>
          <a:headEnd type="none" w="med" len="med"/>
          <a:tailEnd type="triangle" w="med" len="sm"/>
        </a:ln>
        <a:effectLst/>
      </xdr:spPr>
    </xdr:cxn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0</xdr:colOff>
      <xdr:row>3</xdr:row>
      <xdr:rowOff>161925</xdr:rowOff>
    </xdr:from>
    <xdr:to>
      <xdr:col>1</xdr:col>
      <xdr:colOff>400050</xdr:colOff>
      <xdr:row>7</xdr:row>
      <xdr:rowOff>161925</xdr:rowOff>
    </xdr:to>
    <xdr:sp macro="" textlink="">
      <xdr:nvSpPr>
        <xdr:cNvPr id="2" name="Line 58">
          <a:extLst>
            <a:ext uri="{FF2B5EF4-FFF2-40B4-BE49-F238E27FC236}">
              <a16:creationId xmlns:a16="http://schemas.microsoft.com/office/drawing/2014/main" id="{00000000-0008-0000-0800-000002000000}"/>
            </a:ext>
          </a:extLst>
        </xdr:cNvPr>
        <xdr:cNvSpPr>
          <a:spLocks noChangeShapeType="1"/>
        </xdr:cNvSpPr>
      </xdr:nvSpPr>
      <xdr:spPr bwMode="auto">
        <a:xfrm flipV="1">
          <a:off x="609600" y="664845"/>
          <a:ext cx="400050" cy="670560"/>
        </a:xfrm>
        <a:prstGeom prst="line">
          <a:avLst/>
        </a:prstGeom>
        <a:noFill/>
        <a:ln w="9525">
          <a:solidFill>
            <a:srgbClr val="000000"/>
          </a:solidFill>
          <a:round/>
          <a:headEnd/>
          <a:tailEnd/>
        </a:ln>
      </xdr:spPr>
    </xdr:sp>
    <xdr:clientData/>
  </xdr:twoCellAnchor>
  <xdr:twoCellAnchor>
    <xdr:from>
      <xdr:col>1</xdr:col>
      <xdr:colOff>0</xdr:colOff>
      <xdr:row>2</xdr:row>
      <xdr:rowOff>161925</xdr:rowOff>
    </xdr:from>
    <xdr:to>
      <xdr:col>1</xdr:col>
      <xdr:colOff>0</xdr:colOff>
      <xdr:row>8</xdr:row>
      <xdr:rowOff>133350</xdr:rowOff>
    </xdr:to>
    <xdr:sp macro="" textlink="">
      <xdr:nvSpPr>
        <xdr:cNvPr id="3" name="Line 1">
          <a:extLst>
            <a:ext uri="{FF2B5EF4-FFF2-40B4-BE49-F238E27FC236}">
              <a16:creationId xmlns:a16="http://schemas.microsoft.com/office/drawing/2014/main" id="{00000000-0008-0000-0800-000003000000}"/>
            </a:ext>
          </a:extLst>
        </xdr:cNvPr>
        <xdr:cNvSpPr>
          <a:spLocks noChangeShapeType="1"/>
        </xdr:cNvSpPr>
      </xdr:nvSpPr>
      <xdr:spPr bwMode="auto">
        <a:xfrm>
          <a:off x="609600" y="497205"/>
          <a:ext cx="0" cy="977265"/>
        </a:xfrm>
        <a:prstGeom prst="line">
          <a:avLst/>
        </a:prstGeom>
        <a:noFill/>
        <a:ln w="9525">
          <a:solidFill>
            <a:srgbClr val="000000"/>
          </a:solidFill>
          <a:round/>
          <a:headEnd type="arrow" w="sm" len="sm"/>
          <a:tailEnd/>
        </a:ln>
      </xdr:spPr>
    </xdr:sp>
    <xdr:clientData/>
  </xdr:twoCellAnchor>
  <xdr:twoCellAnchor>
    <xdr:from>
      <xdr:col>1</xdr:col>
      <xdr:colOff>0</xdr:colOff>
      <xdr:row>6</xdr:row>
      <xdr:rowOff>0</xdr:rowOff>
    </xdr:from>
    <xdr:to>
      <xdr:col>4</xdr:col>
      <xdr:colOff>647700</xdr:colOff>
      <xdr:row>6</xdr:row>
      <xdr:rowOff>0</xdr:rowOff>
    </xdr:to>
    <xdr:sp macro="" textlink="">
      <xdr:nvSpPr>
        <xdr:cNvPr id="4" name="Line 2">
          <a:extLst>
            <a:ext uri="{FF2B5EF4-FFF2-40B4-BE49-F238E27FC236}">
              <a16:creationId xmlns:a16="http://schemas.microsoft.com/office/drawing/2014/main" id="{00000000-0008-0000-0800-000004000000}"/>
            </a:ext>
          </a:extLst>
        </xdr:cNvPr>
        <xdr:cNvSpPr>
          <a:spLocks noChangeShapeType="1"/>
        </xdr:cNvSpPr>
      </xdr:nvSpPr>
      <xdr:spPr bwMode="auto">
        <a:xfrm>
          <a:off x="609600" y="1005840"/>
          <a:ext cx="2438400" cy="0"/>
        </a:xfrm>
        <a:prstGeom prst="line">
          <a:avLst/>
        </a:prstGeom>
        <a:noFill/>
        <a:ln w="9525">
          <a:solidFill>
            <a:srgbClr val="000000"/>
          </a:solidFill>
          <a:round/>
          <a:headEnd/>
          <a:tailEnd type="arrow" w="sm" len="sm"/>
        </a:ln>
      </xdr:spPr>
    </xdr:sp>
    <xdr:clientData/>
  </xdr:twoCellAnchor>
  <xdr:twoCellAnchor>
    <xdr:from>
      <xdr:col>1</xdr:col>
      <xdr:colOff>400050</xdr:colOff>
      <xdr:row>4</xdr:row>
      <xdr:rowOff>0</xdr:rowOff>
    </xdr:from>
    <xdr:to>
      <xdr:col>2</xdr:col>
      <xdr:colOff>400050</xdr:colOff>
      <xdr:row>7</xdr:row>
      <xdr:rowOff>161925</xdr:rowOff>
    </xdr:to>
    <xdr:sp macro="" textlink="">
      <xdr:nvSpPr>
        <xdr:cNvPr id="5" name="Line 4">
          <a:extLst>
            <a:ext uri="{FF2B5EF4-FFF2-40B4-BE49-F238E27FC236}">
              <a16:creationId xmlns:a16="http://schemas.microsoft.com/office/drawing/2014/main" id="{00000000-0008-0000-0800-000005000000}"/>
            </a:ext>
          </a:extLst>
        </xdr:cNvPr>
        <xdr:cNvSpPr>
          <a:spLocks noChangeShapeType="1"/>
        </xdr:cNvSpPr>
      </xdr:nvSpPr>
      <xdr:spPr bwMode="auto">
        <a:xfrm flipH="1" flipV="1">
          <a:off x="1009650" y="670560"/>
          <a:ext cx="609600" cy="664845"/>
        </a:xfrm>
        <a:prstGeom prst="line">
          <a:avLst/>
        </a:prstGeom>
        <a:noFill/>
        <a:ln w="9525">
          <a:solidFill>
            <a:srgbClr val="000000"/>
          </a:solidFill>
          <a:round/>
          <a:headEnd/>
          <a:tailEnd/>
        </a:ln>
      </xdr:spPr>
    </xdr:sp>
    <xdr:clientData/>
  </xdr:twoCellAnchor>
  <xdr:twoCellAnchor>
    <xdr:from>
      <xdr:col>2</xdr:col>
      <xdr:colOff>419100</xdr:colOff>
      <xdr:row>4</xdr:row>
      <xdr:rowOff>0</xdr:rowOff>
    </xdr:from>
    <xdr:to>
      <xdr:col>3</xdr:col>
      <xdr:colOff>133350</xdr:colOff>
      <xdr:row>8</xdr:row>
      <xdr:rowOff>0</xdr:rowOff>
    </xdr:to>
    <xdr:sp macro="" textlink="">
      <xdr:nvSpPr>
        <xdr:cNvPr id="6" name="Line 5">
          <a:extLst>
            <a:ext uri="{FF2B5EF4-FFF2-40B4-BE49-F238E27FC236}">
              <a16:creationId xmlns:a16="http://schemas.microsoft.com/office/drawing/2014/main" id="{00000000-0008-0000-0800-000006000000}"/>
            </a:ext>
          </a:extLst>
        </xdr:cNvPr>
        <xdr:cNvSpPr>
          <a:spLocks noChangeShapeType="1"/>
        </xdr:cNvSpPr>
      </xdr:nvSpPr>
      <xdr:spPr bwMode="auto">
        <a:xfrm flipV="1">
          <a:off x="1638300" y="670560"/>
          <a:ext cx="323850" cy="670560"/>
        </a:xfrm>
        <a:prstGeom prst="line">
          <a:avLst/>
        </a:prstGeom>
        <a:noFill/>
        <a:ln w="9525">
          <a:solidFill>
            <a:srgbClr val="000000"/>
          </a:solidFill>
          <a:round/>
          <a:headEnd/>
          <a:tailEnd/>
        </a:ln>
      </xdr:spPr>
    </xdr:sp>
    <xdr:clientData/>
  </xdr:twoCellAnchor>
  <xdr:twoCellAnchor>
    <xdr:from>
      <xdr:col>3</xdr:col>
      <xdr:colOff>133350</xdr:colOff>
      <xdr:row>4</xdr:row>
      <xdr:rowOff>0</xdr:rowOff>
    </xdr:from>
    <xdr:to>
      <xdr:col>3</xdr:col>
      <xdr:colOff>495300</xdr:colOff>
      <xdr:row>6</xdr:row>
      <xdr:rowOff>9525</xdr:rowOff>
    </xdr:to>
    <xdr:sp macro="" textlink="">
      <xdr:nvSpPr>
        <xdr:cNvPr id="7" name="Line 6">
          <a:extLst>
            <a:ext uri="{FF2B5EF4-FFF2-40B4-BE49-F238E27FC236}">
              <a16:creationId xmlns:a16="http://schemas.microsoft.com/office/drawing/2014/main" id="{00000000-0008-0000-0800-000007000000}"/>
            </a:ext>
          </a:extLst>
        </xdr:cNvPr>
        <xdr:cNvSpPr>
          <a:spLocks noChangeShapeType="1"/>
        </xdr:cNvSpPr>
      </xdr:nvSpPr>
      <xdr:spPr bwMode="auto">
        <a:xfrm flipH="1" flipV="1">
          <a:off x="1962150" y="670560"/>
          <a:ext cx="361950" cy="344805"/>
        </a:xfrm>
        <a:prstGeom prst="line">
          <a:avLst/>
        </a:prstGeom>
        <a:noFill/>
        <a:ln w="9525">
          <a:solidFill>
            <a:srgbClr val="000000"/>
          </a:solidFill>
          <a:round/>
          <a:headEnd/>
          <a:tailEnd/>
        </a:ln>
      </xdr:spPr>
    </xdr:sp>
    <xdr:clientData/>
  </xdr:twoCellAnchor>
  <xdr:twoCellAnchor>
    <xdr:from>
      <xdr:col>3</xdr:col>
      <xdr:colOff>19050</xdr:colOff>
      <xdr:row>4</xdr:row>
      <xdr:rowOff>0</xdr:rowOff>
    </xdr:from>
    <xdr:to>
      <xdr:col>4</xdr:col>
      <xdr:colOff>447675</xdr:colOff>
      <xdr:row>4</xdr:row>
      <xdr:rowOff>0</xdr:rowOff>
    </xdr:to>
    <xdr:sp macro="" textlink="">
      <xdr:nvSpPr>
        <xdr:cNvPr id="8" name="Line 7">
          <a:extLst>
            <a:ext uri="{FF2B5EF4-FFF2-40B4-BE49-F238E27FC236}">
              <a16:creationId xmlns:a16="http://schemas.microsoft.com/office/drawing/2014/main" id="{00000000-0008-0000-0800-000008000000}"/>
            </a:ext>
          </a:extLst>
        </xdr:cNvPr>
        <xdr:cNvSpPr>
          <a:spLocks noChangeShapeType="1"/>
        </xdr:cNvSpPr>
      </xdr:nvSpPr>
      <xdr:spPr bwMode="auto">
        <a:xfrm>
          <a:off x="1847850" y="670560"/>
          <a:ext cx="1038225" cy="0"/>
        </a:xfrm>
        <a:prstGeom prst="line">
          <a:avLst/>
        </a:prstGeom>
        <a:noFill/>
        <a:ln w="9525">
          <a:solidFill>
            <a:srgbClr val="000000"/>
          </a:solidFill>
          <a:prstDash val="sysDot"/>
          <a:round/>
          <a:headEnd/>
          <a:tailEnd/>
        </a:ln>
      </xdr:spPr>
    </xdr:sp>
    <xdr:clientData/>
  </xdr:twoCellAnchor>
  <xdr:twoCellAnchor>
    <xdr:from>
      <xdr:col>2</xdr:col>
      <xdr:colOff>466725</xdr:colOff>
      <xdr:row>8</xdr:row>
      <xdr:rowOff>0</xdr:rowOff>
    </xdr:from>
    <xdr:to>
      <xdr:col>4</xdr:col>
      <xdr:colOff>447675</xdr:colOff>
      <xdr:row>8</xdr:row>
      <xdr:rowOff>0</xdr:rowOff>
    </xdr:to>
    <xdr:sp macro="" textlink="">
      <xdr:nvSpPr>
        <xdr:cNvPr id="9" name="Line 8">
          <a:extLst>
            <a:ext uri="{FF2B5EF4-FFF2-40B4-BE49-F238E27FC236}">
              <a16:creationId xmlns:a16="http://schemas.microsoft.com/office/drawing/2014/main" id="{00000000-0008-0000-0800-000009000000}"/>
            </a:ext>
          </a:extLst>
        </xdr:cNvPr>
        <xdr:cNvSpPr>
          <a:spLocks noChangeShapeType="1"/>
        </xdr:cNvSpPr>
      </xdr:nvSpPr>
      <xdr:spPr bwMode="auto">
        <a:xfrm>
          <a:off x="1685925" y="1341120"/>
          <a:ext cx="1200150" cy="0"/>
        </a:xfrm>
        <a:prstGeom prst="line">
          <a:avLst/>
        </a:prstGeom>
        <a:noFill/>
        <a:ln w="9525">
          <a:solidFill>
            <a:srgbClr val="000000"/>
          </a:solidFill>
          <a:prstDash val="sysDot"/>
          <a:round/>
          <a:headEnd/>
          <a:tailEnd/>
        </a:ln>
      </xdr:spPr>
    </xdr:sp>
    <xdr:clientData/>
  </xdr:twoCellAnchor>
  <xdr:twoCellAnchor>
    <xdr:from>
      <xdr:col>4</xdr:col>
      <xdr:colOff>66675</xdr:colOff>
      <xdr:row>4</xdr:row>
      <xdr:rowOff>9525</xdr:rowOff>
    </xdr:from>
    <xdr:to>
      <xdr:col>4</xdr:col>
      <xdr:colOff>66675</xdr:colOff>
      <xdr:row>8</xdr:row>
      <xdr:rowOff>0</xdr:rowOff>
    </xdr:to>
    <xdr:sp macro="" textlink="">
      <xdr:nvSpPr>
        <xdr:cNvPr id="10" name="Line 9">
          <a:extLst>
            <a:ext uri="{FF2B5EF4-FFF2-40B4-BE49-F238E27FC236}">
              <a16:creationId xmlns:a16="http://schemas.microsoft.com/office/drawing/2014/main" id="{00000000-0008-0000-0800-00000A000000}"/>
            </a:ext>
          </a:extLst>
        </xdr:cNvPr>
        <xdr:cNvSpPr>
          <a:spLocks noChangeShapeType="1"/>
        </xdr:cNvSpPr>
      </xdr:nvSpPr>
      <xdr:spPr bwMode="auto">
        <a:xfrm>
          <a:off x="2505075" y="680085"/>
          <a:ext cx="0" cy="661035"/>
        </a:xfrm>
        <a:prstGeom prst="line">
          <a:avLst/>
        </a:prstGeom>
        <a:noFill/>
        <a:ln w="9525">
          <a:solidFill>
            <a:srgbClr val="000000"/>
          </a:solidFill>
          <a:round/>
          <a:headEnd type="arrow" w="sm" len="sm"/>
          <a:tailEnd type="arrow" w="sm" len="sm"/>
        </a:ln>
      </xdr:spPr>
    </xdr:sp>
    <xdr:clientData/>
  </xdr:twoCellAnchor>
  <xdr:oneCellAnchor>
    <xdr:from>
      <xdr:col>3</xdr:col>
      <xdr:colOff>485775</xdr:colOff>
      <xdr:row>4</xdr:row>
      <xdr:rowOff>133350</xdr:rowOff>
    </xdr:from>
    <xdr:ext cx="190500" cy="257175"/>
    <xdr:sp macro="" textlink="">
      <xdr:nvSpPr>
        <xdr:cNvPr id="11" name="Text Box 10">
          <a:extLst>
            <a:ext uri="{FF2B5EF4-FFF2-40B4-BE49-F238E27FC236}">
              <a16:creationId xmlns:a16="http://schemas.microsoft.com/office/drawing/2014/main" id="{00000000-0008-0000-0800-00000B000000}"/>
            </a:ext>
          </a:extLst>
        </xdr:cNvPr>
        <xdr:cNvSpPr txBox="1">
          <a:spLocks noChangeArrowheads="1"/>
        </xdr:cNvSpPr>
      </xdr:nvSpPr>
      <xdr:spPr bwMode="auto">
        <a:xfrm>
          <a:off x="2314575" y="803910"/>
          <a:ext cx="190500" cy="257175"/>
        </a:xfrm>
        <a:prstGeom prst="rect">
          <a:avLst/>
        </a:prstGeom>
        <a:noFill/>
        <a:ln w="9525">
          <a:noFill/>
          <a:miter lim="800000"/>
          <a:headEnd/>
          <a:tailEnd/>
        </a:ln>
      </xdr:spPr>
      <xdr:txBody>
        <a:bodyPr vert="vert270" wrap="none" lIns="18288" tIns="18288" rIns="0" bIns="0" anchor="t" upright="1">
          <a:spAutoFit/>
        </a:bodyPr>
        <a:lstStyle/>
        <a:p>
          <a:pPr algn="r" rtl="0">
            <a:defRPr sz="1000"/>
          </a:pPr>
          <a:r>
            <a:rPr lang="el-GR" altLang="ja-JP" sz="1100" b="0" i="0" u="none" strike="noStrike" baseline="0">
              <a:solidFill>
                <a:srgbClr val="000000"/>
              </a:solidFill>
              <a:latin typeface="ＭＳ Ｐゴシック"/>
              <a:ea typeface="ＭＳ Ｐゴシック"/>
            </a:rPr>
            <a:t>Δ</a:t>
          </a:r>
          <a:r>
            <a:rPr lang="en-US" altLang="ja-JP" sz="1100" b="0" i="0" u="none" strike="noStrike" baseline="0">
              <a:solidFill>
                <a:srgbClr val="000000"/>
              </a:solidFill>
              <a:latin typeface="ＭＳ Ｐゴシック"/>
              <a:ea typeface="ＭＳ Ｐゴシック"/>
            </a:rPr>
            <a:t>I</a:t>
          </a:r>
          <a:r>
            <a:rPr lang="en-US" altLang="ja-JP" sz="800" b="0" i="0" u="none" strike="noStrike" baseline="0">
              <a:solidFill>
                <a:srgbClr val="000000"/>
              </a:solidFill>
              <a:latin typeface="ＭＳ Ｐゴシック"/>
              <a:ea typeface="ＭＳ Ｐゴシック"/>
            </a:rPr>
            <a:t>L</a:t>
          </a:r>
        </a:p>
      </xdr:txBody>
    </xdr:sp>
    <xdr:clientData/>
  </xdr:oneCellAnchor>
  <xdr:twoCellAnchor>
    <xdr:from>
      <xdr:col>3</xdr:col>
      <xdr:colOff>285750</xdr:colOff>
      <xdr:row>6</xdr:row>
      <xdr:rowOff>9525</xdr:rowOff>
    </xdr:from>
    <xdr:to>
      <xdr:col>3</xdr:col>
      <xdr:colOff>285750</xdr:colOff>
      <xdr:row>8</xdr:row>
      <xdr:rowOff>0</xdr:rowOff>
    </xdr:to>
    <xdr:sp macro="" textlink="">
      <xdr:nvSpPr>
        <xdr:cNvPr id="12" name="Line 11">
          <a:extLst>
            <a:ext uri="{FF2B5EF4-FFF2-40B4-BE49-F238E27FC236}">
              <a16:creationId xmlns:a16="http://schemas.microsoft.com/office/drawing/2014/main" id="{00000000-0008-0000-0800-00000C000000}"/>
            </a:ext>
          </a:extLst>
        </xdr:cNvPr>
        <xdr:cNvSpPr>
          <a:spLocks noChangeShapeType="1"/>
        </xdr:cNvSpPr>
      </xdr:nvSpPr>
      <xdr:spPr bwMode="auto">
        <a:xfrm>
          <a:off x="2114550" y="1015365"/>
          <a:ext cx="0" cy="325755"/>
        </a:xfrm>
        <a:prstGeom prst="line">
          <a:avLst/>
        </a:prstGeom>
        <a:noFill/>
        <a:ln w="9525">
          <a:solidFill>
            <a:srgbClr val="000000"/>
          </a:solidFill>
          <a:round/>
          <a:headEnd type="arrow" w="sm" len="sm"/>
          <a:tailEnd type="arrow" w="sm" len="sm"/>
        </a:ln>
      </xdr:spPr>
    </xdr:sp>
    <xdr:clientData/>
  </xdr:twoCellAnchor>
  <xdr:oneCellAnchor>
    <xdr:from>
      <xdr:col>3</xdr:col>
      <xdr:colOff>57150</xdr:colOff>
      <xdr:row>6</xdr:row>
      <xdr:rowOff>0</xdr:rowOff>
    </xdr:from>
    <xdr:ext cx="190500" cy="409575"/>
    <xdr:sp macro="" textlink="">
      <xdr:nvSpPr>
        <xdr:cNvPr id="13" name="Text Box 12">
          <a:extLst>
            <a:ext uri="{FF2B5EF4-FFF2-40B4-BE49-F238E27FC236}">
              <a16:creationId xmlns:a16="http://schemas.microsoft.com/office/drawing/2014/main" id="{00000000-0008-0000-0800-00000D000000}"/>
            </a:ext>
          </a:extLst>
        </xdr:cNvPr>
        <xdr:cNvSpPr txBox="1">
          <a:spLocks noChangeArrowheads="1"/>
        </xdr:cNvSpPr>
      </xdr:nvSpPr>
      <xdr:spPr bwMode="auto">
        <a:xfrm>
          <a:off x="1885950" y="1005840"/>
          <a:ext cx="190500" cy="409575"/>
        </a:xfrm>
        <a:prstGeom prst="rect">
          <a:avLst/>
        </a:prstGeom>
        <a:noFill/>
        <a:ln w="9525">
          <a:noFill/>
          <a:miter lim="800000"/>
          <a:headEnd/>
          <a:tailEnd/>
        </a:ln>
      </xdr:spPr>
      <xdr:txBody>
        <a:bodyPr vert="vert270" wrap="none" lIns="18288" tIns="18288" rIns="0" bIns="0" anchor="t" upright="1">
          <a:spAutoFit/>
        </a:bodyPr>
        <a:lstStyle/>
        <a:p>
          <a:pPr algn="r" rtl="0">
            <a:defRPr sz="1000"/>
          </a:pPr>
          <a:r>
            <a:rPr lang="el-GR" altLang="ja-JP" sz="1100" b="0" i="0" u="none" strike="noStrike" baseline="0">
              <a:solidFill>
                <a:srgbClr val="000000"/>
              </a:solidFill>
              <a:latin typeface="ＭＳ Ｐゴシック"/>
              <a:ea typeface="ＭＳ Ｐゴシック"/>
            </a:rPr>
            <a:t>Δ</a:t>
          </a:r>
          <a:r>
            <a:rPr lang="en-US" altLang="ja-JP" sz="1100" b="0" i="0" u="none" strike="noStrike" baseline="0">
              <a:solidFill>
                <a:srgbClr val="000000"/>
              </a:solidFill>
              <a:latin typeface="ＭＳ Ｐゴシック"/>
              <a:ea typeface="ＭＳ Ｐゴシック"/>
            </a:rPr>
            <a:t>I</a:t>
          </a:r>
          <a:r>
            <a:rPr lang="en-US" altLang="ja-JP" sz="800" b="0" i="0" u="none" strike="noStrike" baseline="0">
              <a:solidFill>
                <a:srgbClr val="000000"/>
              </a:solidFill>
              <a:latin typeface="ＭＳ Ｐゴシック"/>
              <a:ea typeface="ＭＳ Ｐゴシック"/>
            </a:rPr>
            <a:t>L</a:t>
          </a:r>
          <a:r>
            <a:rPr lang="en-US" altLang="ja-JP" sz="1100" b="0" i="0" u="none" strike="noStrike" baseline="0">
              <a:solidFill>
                <a:srgbClr val="000000"/>
              </a:solidFill>
              <a:latin typeface="ＭＳ Ｐゴシック"/>
              <a:ea typeface="ＭＳ Ｐゴシック"/>
            </a:rPr>
            <a:t>/2</a:t>
          </a:r>
        </a:p>
      </xdr:txBody>
    </xdr:sp>
    <xdr:clientData/>
  </xdr:oneCellAnchor>
  <xdr:twoCellAnchor>
    <xdr:from>
      <xdr:col>1</xdr:col>
      <xdr:colOff>400050</xdr:colOff>
      <xdr:row>4</xdr:row>
      <xdr:rowOff>28575</xdr:rowOff>
    </xdr:from>
    <xdr:to>
      <xdr:col>1</xdr:col>
      <xdr:colOff>400050</xdr:colOff>
      <xdr:row>7</xdr:row>
      <xdr:rowOff>133350</xdr:rowOff>
    </xdr:to>
    <xdr:sp macro="" textlink="">
      <xdr:nvSpPr>
        <xdr:cNvPr id="15" name="Line 23">
          <a:extLst>
            <a:ext uri="{FF2B5EF4-FFF2-40B4-BE49-F238E27FC236}">
              <a16:creationId xmlns:a16="http://schemas.microsoft.com/office/drawing/2014/main" id="{00000000-0008-0000-0800-00000F000000}"/>
            </a:ext>
          </a:extLst>
        </xdr:cNvPr>
        <xdr:cNvSpPr>
          <a:spLocks noChangeShapeType="1"/>
        </xdr:cNvSpPr>
      </xdr:nvSpPr>
      <xdr:spPr bwMode="auto">
        <a:xfrm>
          <a:off x="1009650" y="699135"/>
          <a:ext cx="0" cy="607695"/>
        </a:xfrm>
        <a:prstGeom prst="line">
          <a:avLst/>
        </a:prstGeom>
        <a:noFill/>
        <a:ln w="9525">
          <a:solidFill>
            <a:srgbClr val="000000"/>
          </a:solidFill>
          <a:prstDash val="sysDot"/>
          <a:round/>
          <a:headEnd/>
          <a:tailEnd/>
        </a:ln>
      </xdr:spPr>
    </xdr:sp>
    <xdr:clientData/>
  </xdr:twoCellAnchor>
  <xdr:twoCellAnchor>
    <xdr:from>
      <xdr:col>2</xdr:col>
      <xdr:colOff>57150</xdr:colOff>
      <xdr:row>6</xdr:row>
      <xdr:rowOff>19050</xdr:rowOff>
    </xdr:from>
    <xdr:to>
      <xdr:col>2</xdr:col>
      <xdr:colOff>57150</xdr:colOff>
      <xdr:row>7</xdr:row>
      <xdr:rowOff>133350</xdr:rowOff>
    </xdr:to>
    <xdr:sp macro="" textlink="">
      <xdr:nvSpPr>
        <xdr:cNvPr id="16" name="Line 24">
          <a:extLst>
            <a:ext uri="{FF2B5EF4-FFF2-40B4-BE49-F238E27FC236}">
              <a16:creationId xmlns:a16="http://schemas.microsoft.com/office/drawing/2014/main" id="{00000000-0008-0000-0800-000010000000}"/>
            </a:ext>
          </a:extLst>
        </xdr:cNvPr>
        <xdr:cNvSpPr>
          <a:spLocks noChangeShapeType="1"/>
        </xdr:cNvSpPr>
      </xdr:nvSpPr>
      <xdr:spPr bwMode="auto">
        <a:xfrm>
          <a:off x="1276350" y="1024890"/>
          <a:ext cx="0" cy="281940"/>
        </a:xfrm>
        <a:prstGeom prst="line">
          <a:avLst/>
        </a:prstGeom>
        <a:noFill/>
        <a:ln w="9525">
          <a:solidFill>
            <a:srgbClr val="000000"/>
          </a:solidFill>
          <a:prstDash val="sysDot"/>
          <a:round/>
          <a:headEnd/>
          <a:tailEnd/>
        </a:ln>
      </xdr:spPr>
    </xdr:sp>
    <xdr:clientData/>
  </xdr:twoCellAnchor>
  <xdr:twoCellAnchor>
    <xdr:from>
      <xdr:col>1</xdr:col>
      <xdr:colOff>180975</xdr:colOff>
      <xdr:row>7</xdr:row>
      <xdr:rowOff>104775</xdr:rowOff>
    </xdr:from>
    <xdr:to>
      <xdr:col>2</xdr:col>
      <xdr:colOff>57150</xdr:colOff>
      <xdr:row>7</xdr:row>
      <xdr:rowOff>104775</xdr:rowOff>
    </xdr:to>
    <xdr:sp macro="" textlink="">
      <xdr:nvSpPr>
        <xdr:cNvPr id="17" name="Line 25">
          <a:extLst>
            <a:ext uri="{FF2B5EF4-FFF2-40B4-BE49-F238E27FC236}">
              <a16:creationId xmlns:a16="http://schemas.microsoft.com/office/drawing/2014/main" id="{00000000-0008-0000-0800-000011000000}"/>
            </a:ext>
          </a:extLst>
        </xdr:cNvPr>
        <xdr:cNvSpPr>
          <a:spLocks noChangeShapeType="1"/>
        </xdr:cNvSpPr>
      </xdr:nvSpPr>
      <xdr:spPr bwMode="auto">
        <a:xfrm>
          <a:off x="790575" y="1278255"/>
          <a:ext cx="485775" cy="0"/>
        </a:xfrm>
        <a:prstGeom prst="line">
          <a:avLst/>
        </a:prstGeom>
        <a:noFill/>
        <a:ln w="9525">
          <a:solidFill>
            <a:srgbClr val="000000"/>
          </a:solidFill>
          <a:round/>
          <a:headEnd type="arrow" w="sm" len="sm"/>
          <a:tailEnd type="arrow" w="sm" len="sm"/>
        </a:ln>
      </xdr:spPr>
    </xdr:sp>
    <xdr:clientData/>
  </xdr:twoCellAnchor>
  <xdr:oneCellAnchor>
    <xdr:from>
      <xdr:col>1</xdr:col>
      <xdr:colOff>238125</xdr:colOff>
      <xdr:row>5</xdr:row>
      <xdr:rowOff>161925</xdr:rowOff>
    </xdr:from>
    <xdr:ext cx="142875" cy="190500"/>
    <xdr:sp macro="" textlink="">
      <xdr:nvSpPr>
        <xdr:cNvPr id="18" name="Text Box 26">
          <a:extLst>
            <a:ext uri="{FF2B5EF4-FFF2-40B4-BE49-F238E27FC236}">
              <a16:creationId xmlns:a16="http://schemas.microsoft.com/office/drawing/2014/main" id="{00000000-0008-0000-0800-000012000000}"/>
            </a:ext>
          </a:extLst>
        </xdr:cNvPr>
        <xdr:cNvSpPr txBox="1">
          <a:spLocks noChangeArrowheads="1"/>
        </xdr:cNvSpPr>
      </xdr:nvSpPr>
      <xdr:spPr bwMode="auto">
        <a:xfrm>
          <a:off x="847725" y="1000125"/>
          <a:ext cx="142875" cy="190500"/>
        </a:xfrm>
        <a:prstGeom prst="rect">
          <a:avLst/>
        </a:prstGeom>
        <a:noFill/>
        <a:ln w="9525">
          <a:noFill/>
          <a:miter lim="800000"/>
          <a:headEnd/>
          <a:tailEnd/>
        </a:ln>
      </xdr:spPr>
      <xdr:txBody>
        <a:bodyPr wrap="none" lIns="18288" tIns="18288" rIns="0" bIns="0" anchor="t" upright="1">
          <a:spAutoFit/>
        </a:bodyPr>
        <a:lstStyle/>
        <a:p>
          <a:pPr algn="l" rtl="0">
            <a:defRPr sz="1000"/>
          </a:pPr>
          <a:r>
            <a:rPr lang="en-US" altLang="ja-JP" sz="1100" b="0" i="0" u="none" strike="noStrike" baseline="0">
              <a:solidFill>
                <a:srgbClr val="000000"/>
              </a:solidFill>
              <a:latin typeface="ＭＳ Ｐゴシック"/>
              <a:ea typeface="ＭＳ Ｐゴシック"/>
            </a:rPr>
            <a:t>t1</a:t>
          </a:r>
        </a:p>
      </xdr:txBody>
    </xdr:sp>
    <xdr:clientData/>
  </xdr:oneCellAnchor>
  <xdr:oneCellAnchor>
    <xdr:from>
      <xdr:col>1</xdr:col>
      <xdr:colOff>504825</xdr:colOff>
      <xdr:row>6</xdr:row>
      <xdr:rowOff>95250</xdr:rowOff>
    </xdr:from>
    <xdr:ext cx="142875" cy="190500"/>
    <xdr:sp macro="" textlink="">
      <xdr:nvSpPr>
        <xdr:cNvPr id="19" name="Text Box 27">
          <a:extLst>
            <a:ext uri="{FF2B5EF4-FFF2-40B4-BE49-F238E27FC236}">
              <a16:creationId xmlns:a16="http://schemas.microsoft.com/office/drawing/2014/main" id="{00000000-0008-0000-0800-000013000000}"/>
            </a:ext>
          </a:extLst>
        </xdr:cNvPr>
        <xdr:cNvSpPr txBox="1">
          <a:spLocks noChangeArrowheads="1"/>
        </xdr:cNvSpPr>
      </xdr:nvSpPr>
      <xdr:spPr bwMode="auto">
        <a:xfrm>
          <a:off x="1114425" y="1101090"/>
          <a:ext cx="142875" cy="190500"/>
        </a:xfrm>
        <a:prstGeom prst="rect">
          <a:avLst/>
        </a:prstGeom>
        <a:noFill/>
        <a:ln w="9525">
          <a:noFill/>
          <a:miter lim="800000"/>
          <a:headEnd/>
          <a:tailEnd/>
        </a:ln>
      </xdr:spPr>
      <xdr:txBody>
        <a:bodyPr wrap="none" lIns="18288" tIns="18288" rIns="0" bIns="0" anchor="t" upright="1">
          <a:spAutoFit/>
        </a:bodyPr>
        <a:lstStyle/>
        <a:p>
          <a:pPr algn="l" rtl="0">
            <a:defRPr sz="1000"/>
          </a:pPr>
          <a:r>
            <a:rPr lang="en-US" altLang="ja-JP" sz="1100" b="0" i="0" u="none" strike="noStrike" baseline="0">
              <a:solidFill>
                <a:srgbClr val="000000"/>
              </a:solidFill>
              <a:latin typeface="ＭＳ Ｐゴシック"/>
              <a:ea typeface="ＭＳ Ｐゴシック"/>
            </a:rPr>
            <a:t>to</a:t>
          </a:r>
        </a:p>
      </xdr:txBody>
    </xdr:sp>
    <xdr:clientData/>
  </xdr:oneCellAnchor>
  <xdr:twoCellAnchor>
    <xdr:from>
      <xdr:col>1</xdr:col>
      <xdr:colOff>190500</xdr:colOff>
      <xdr:row>6</xdr:row>
      <xdr:rowOff>0</xdr:rowOff>
    </xdr:from>
    <xdr:to>
      <xdr:col>1</xdr:col>
      <xdr:colOff>190500</xdr:colOff>
      <xdr:row>7</xdr:row>
      <xdr:rowOff>114300</xdr:rowOff>
    </xdr:to>
    <xdr:sp macro="" textlink="">
      <xdr:nvSpPr>
        <xdr:cNvPr id="20" name="Line 59">
          <a:extLst>
            <a:ext uri="{FF2B5EF4-FFF2-40B4-BE49-F238E27FC236}">
              <a16:creationId xmlns:a16="http://schemas.microsoft.com/office/drawing/2014/main" id="{00000000-0008-0000-0800-000014000000}"/>
            </a:ext>
          </a:extLst>
        </xdr:cNvPr>
        <xdr:cNvSpPr>
          <a:spLocks noChangeShapeType="1"/>
        </xdr:cNvSpPr>
      </xdr:nvSpPr>
      <xdr:spPr bwMode="auto">
        <a:xfrm>
          <a:off x="800100" y="1005840"/>
          <a:ext cx="0" cy="281940"/>
        </a:xfrm>
        <a:prstGeom prst="line">
          <a:avLst/>
        </a:prstGeom>
        <a:noFill/>
        <a:ln w="9525">
          <a:solidFill>
            <a:srgbClr val="000000"/>
          </a:solidFill>
          <a:prstDash val="sysDot"/>
          <a:round/>
          <a:headEnd/>
          <a:tailEnd/>
        </a:ln>
      </xdr:spPr>
    </xdr:sp>
    <xdr:clientData/>
  </xdr:twoCellAnchor>
  <xdr:twoCellAnchor>
    <xdr:from>
      <xdr:col>1</xdr:col>
      <xdr:colOff>200026</xdr:colOff>
      <xdr:row>7</xdr:row>
      <xdr:rowOff>0</xdr:rowOff>
    </xdr:from>
    <xdr:to>
      <xdr:col>1</xdr:col>
      <xdr:colOff>409576</xdr:colOff>
      <xdr:row>7</xdr:row>
      <xdr:rowOff>0</xdr:rowOff>
    </xdr:to>
    <xdr:sp macro="" textlink="">
      <xdr:nvSpPr>
        <xdr:cNvPr id="21" name="Line 25">
          <a:extLst>
            <a:ext uri="{FF2B5EF4-FFF2-40B4-BE49-F238E27FC236}">
              <a16:creationId xmlns:a16="http://schemas.microsoft.com/office/drawing/2014/main" id="{00000000-0008-0000-0800-000015000000}"/>
            </a:ext>
          </a:extLst>
        </xdr:cNvPr>
        <xdr:cNvSpPr>
          <a:spLocks noChangeShapeType="1"/>
        </xdr:cNvSpPr>
      </xdr:nvSpPr>
      <xdr:spPr bwMode="auto">
        <a:xfrm>
          <a:off x="809626" y="1173480"/>
          <a:ext cx="209550" cy="0"/>
        </a:xfrm>
        <a:prstGeom prst="line">
          <a:avLst/>
        </a:prstGeom>
        <a:noFill/>
        <a:ln w="9525">
          <a:solidFill>
            <a:srgbClr val="000000"/>
          </a:solidFill>
          <a:round/>
          <a:headEnd type="arrow" w="sm" len="sm"/>
          <a:tailEnd type="arrow" w="sm" len="sm"/>
        </a:ln>
      </xdr:spPr>
    </xdr:sp>
    <xdr:clientData/>
  </xdr:twoCellAnchor>
  <xdr:twoCellAnchor editAs="oneCell">
    <xdr:from>
      <xdr:col>0</xdr:col>
      <xdr:colOff>251460</xdr:colOff>
      <xdr:row>12</xdr:row>
      <xdr:rowOff>45720</xdr:rowOff>
    </xdr:from>
    <xdr:to>
      <xdr:col>2</xdr:col>
      <xdr:colOff>213360</xdr:colOff>
      <xdr:row>14</xdr:row>
      <xdr:rowOff>22860</xdr:rowOff>
    </xdr:to>
    <xdr:sp macro="" textlink="">
      <xdr:nvSpPr>
        <xdr:cNvPr id="102401" name="Object 1" hidden="1">
          <a:extLst>
            <a:ext uri="{63B3BB69-23CF-44E3-9099-C40C66FF867C}">
              <a14:compatExt xmlns:a14="http://schemas.microsoft.com/office/drawing/2010/main" spid="_x0000_s102401"/>
            </a:ext>
            <a:ext uri="{FF2B5EF4-FFF2-40B4-BE49-F238E27FC236}">
              <a16:creationId xmlns:a16="http://schemas.microsoft.com/office/drawing/2014/main" id="{00000000-0008-0000-0800-000001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76200</xdr:colOff>
      <xdr:row>12</xdr:row>
      <xdr:rowOff>45720</xdr:rowOff>
    </xdr:from>
    <xdr:to>
      <xdr:col>4</xdr:col>
      <xdr:colOff>7620</xdr:colOff>
      <xdr:row>14</xdr:row>
      <xdr:rowOff>38100</xdr:rowOff>
    </xdr:to>
    <xdr:sp macro="" textlink="">
      <xdr:nvSpPr>
        <xdr:cNvPr id="102402" name="Object 2" hidden="1">
          <a:extLst>
            <a:ext uri="{63B3BB69-23CF-44E3-9099-C40C66FF867C}">
              <a14:compatExt xmlns:a14="http://schemas.microsoft.com/office/drawing/2010/main" spid="_x0000_s102402"/>
            </a:ext>
            <a:ext uri="{FF2B5EF4-FFF2-40B4-BE49-F238E27FC236}">
              <a16:creationId xmlns:a16="http://schemas.microsoft.com/office/drawing/2014/main" id="{00000000-0008-0000-0800-000002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251460</xdr:colOff>
      <xdr:row>16</xdr:row>
      <xdr:rowOff>45720</xdr:rowOff>
    </xdr:from>
    <xdr:to>
      <xdr:col>1</xdr:col>
      <xdr:colOff>411480</xdr:colOff>
      <xdr:row>18</xdr:row>
      <xdr:rowOff>22860</xdr:rowOff>
    </xdr:to>
    <xdr:sp macro="" textlink="">
      <xdr:nvSpPr>
        <xdr:cNvPr id="102403" name="Object 3" hidden="1">
          <a:extLst>
            <a:ext uri="{63B3BB69-23CF-44E3-9099-C40C66FF867C}">
              <a14:compatExt xmlns:a14="http://schemas.microsoft.com/office/drawing/2010/main" spid="_x0000_s102403"/>
            </a:ext>
            <a:ext uri="{FF2B5EF4-FFF2-40B4-BE49-F238E27FC236}">
              <a16:creationId xmlns:a16="http://schemas.microsoft.com/office/drawing/2014/main" id="{00000000-0008-0000-0800-000003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76200</xdr:colOff>
      <xdr:row>16</xdr:row>
      <xdr:rowOff>45720</xdr:rowOff>
    </xdr:from>
    <xdr:to>
      <xdr:col>4</xdr:col>
      <xdr:colOff>297180</xdr:colOff>
      <xdr:row>18</xdr:row>
      <xdr:rowOff>38100</xdr:rowOff>
    </xdr:to>
    <xdr:sp macro="" textlink="">
      <xdr:nvSpPr>
        <xdr:cNvPr id="102404" name="Object 4" hidden="1">
          <a:extLst>
            <a:ext uri="{63B3BB69-23CF-44E3-9099-C40C66FF867C}">
              <a14:compatExt xmlns:a14="http://schemas.microsoft.com/office/drawing/2010/main" spid="_x0000_s102404"/>
            </a:ext>
            <a:ext uri="{FF2B5EF4-FFF2-40B4-BE49-F238E27FC236}">
              <a16:creationId xmlns:a16="http://schemas.microsoft.com/office/drawing/2014/main" id="{00000000-0008-0000-0800-000004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5</xdr:col>
      <xdr:colOff>213360</xdr:colOff>
      <xdr:row>17</xdr:row>
      <xdr:rowOff>0</xdr:rowOff>
    </xdr:from>
    <xdr:to>
      <xdr:col>6</xdr:col>
      <xdr:colOff>388620</xdr:colOff>
      <xdr:row>17</xdr:row>
      <xdr:rowOff>175260</xdr:rowOff>
    </xdr:to>
    <xdr:sp macro="" textlink="">
      <xdr:nvSpPr>
        <xdr:cNvPr id="102405" name="Object 5" hidden="1">
          <a:extLst>
            <a:ext uri="{63B3BB69-23CF-44E3-9099-C40C66FF867C}">
              <a14:compatExt xmlns:a14="http://schemas.microsoft.com/office/drawing/2010/main" spid="_x0000_s102405"/>
            </a:ext>
            <a:ext uri="{FF2B5EF4-FFF2-40B4-BE49-F238E27FC236}">
              <a16:creationId xmlns:a16="http://schemas.microsoft.com/office/drawing/2014/main" id="{00000000-0008-0000-0800-000005900100}"/>
            </a:ext>
          </a:extLst>
        </xdr:cNvPr>
        <xdr:cNvSpPr/>
      </xdr:nvSpPr>
      <xdr:spPr bwMode="auto">
        <a:xfrm>
          <a:off x="0" y="0"/>
          <a:ext cx="0" cy="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17</xdr:col>
      <xdr:colOff>594360</xdr:colOff>
      <xdr:row>2</xdr:row>
      <xdr:rowOff>38100</xdr:rowOff>
    </xdr:from>
    <xdr:to>
      <xdr:col>20</xdr:col>
      <xdr:colOff>350520</xdr:colOff>
      <xdr:row>7</xdr:row>
      <xdr:rowOff>15240</xdr:rowOff>
    </xdr:to>
    <xdr:graphicFrame macro="">
      <xdr:nvGraphicFramePr>
        <xdr:cNvPr id="29" name="グラフ 28">
          <a:extLst>
            <a:ext uri="{FF2B5EF4-FFF2-40B4-BE49-F238E27FC236}">
              <a16:creationId xmlns:a16="http://schemas.microsoft.com/office/drawing/2014/main" id="{00000000-0008-0000-0800-00001D000000}"/>
            </a:ext>
            <a:ext uri="{147F2762-F138-4A5C-976F-8EAC2B608ADB}">
              <a16:predDERef xmlns:a16="http://schemas.microsoft.com/office/drawing/2014/main" pre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251460</xdr:colOff>
      <xdr:row>12</xdr:row>
      <xdr:rowOff>45720</xdr:rowOff>
    </xdr:from>
    <xdr:to>
      <xdr:col>2</xdr:col>
      <xdr:colOff>213360</xdr:colOff>
      <xdr:row>14</xdr:row>
      <xdr:rowOff>22860</xdr:rowOff>
    </xdr:to>
    <xdr:pic>
      <xdr:nvPicPr>
        <xdr:cNvPr id="14" name="Picture 1">
          <a:extLst>
            <a:ext uri="{FF2B5EF4-FFF2-40B4-BE49-F238E27FC236}">
              <a16:creationId xmlns:a16="http://schemas.microsoft.com/office/drawing/2014/main" id="{00000000-0008-0000-0800-00000E000000}"/>
            </a:ext>
          </a:extLst>
        </xdr:cNvPr>
        <xdr:cNvPicPr preferRelativeResize="0">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1460" y="2331720"/>
          <a:ext cx="1181100" cy="358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76200</xdr:colOff>
      <xdr:row>12</xdr:row>
      <xdr:rowOff>45720</xdr:rowOff>
    </xdr:from>
    <xdr:to>
      <xdr:col>4</xdr:col>
      <xdr:colOff>7620</xdr:colOff>
      <xdr:row>14</xdr:row>
      <xdr:rowOff>38100</xdr:rowOff>
    </xdr:to>
    <xdr:pic>
      <xdr:nvPicPr>
        <xdr:cNvPr id="22" name="Picture 2">
          <a:extLst>
            <a:ext uri="{FF2B5EF4-FFF2-40B4-BE49-F238E27FC236}">
              <a16:creationId xmlns:a16="http://schemas.microsoft.com/office/drawing/2014/main" id="{00000000-0008-0000-0800-000016000000}"/>
            </a:ext>
          </a:extLst>
        </xdr:cNvPr>
        <xdr:cNvPicPr preferRelativeResize="0">
          <a:picLocks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905000" y="2331720"/>
          <a:ext cx="541020" cy="373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251460</xdr:colOff>
      <xdr:row>16</xdr:row>
      <xdr:rowOff>45720</xdr:rowOff>
    </xdr:from>
    <xdr:to>
      <xdr:col>1</xdr:col>
      <xdr:colOff>411480</xdr:colOff>
      <xdr:row>18</xdr:row>
      <xdr:rowOff>22860</xdr:rowOff>
    </xdr:to>
    <xdr:pic>
      <xdr:nvPicPr>
        <xdr:cNvPr id="23" name="Picture 3">
          <a:extLst>
            <a:ext uri="{FF2B5EF4-FFF2-40B4-BE49-F238E27FC236}">
              <a16:creationId xmlns:a16="http://schemas.microsoft.com/office/drawing/2014/main" id="{00000000-0008-0000-0800-000017000000}"/>
            </a:ext>
          </a:extLst>
        </xdr:cNvPr>
        <xdr:cNvPicPr preferRelativeResize="0">
          <a:picLocks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51460" y="3093720"/>
          <a:ext cx="769620" cy="3581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76200</xdr:colOff>
      <xdr:row>16</xdr:row>
      <xdr:rowOff>45720</xdr:rowOff>
    </xdr:from>
    <xdr:to>
      <xdr:col>4</xdr:col>
      <xdr:colOff>297180</xdr:colOff>
      <xdr:row>18</xdr:row>
      <xdr:rowOff>38100</xdr:rowOff>
    </xdr:to>
    <xdr:pic>
      <xdr:nvPicPr>
        <xdr:cNvPr id="24" name="Picture 4">
          <a:extLst>
            <a:ext uri="{FF2B5EF4-FFF2-40B4-BE49-F238E27FC236}">
              <a16:creationId xmlns:a16="http://schemas.microsoft.com/office/drawing/2014/main" id="{00000000-0008-0000-0800-000018000000}"/>
            </a:ext>
          </a:extLst>
        </xdr:cNvPr>
        <xdr:cNvPicPr preferRelativeResize="0">
          <a:picLocks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905000" y="3093720"/>
          <a:ext cx="830580" cy="3733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213360</xdr:colOff>
      <xdr:row>17</xdr:row>
      <xdr:rowOff>0</xdr:rowOff>
    </xdr:from>
    <xdr:to>
      <xdr:col>6</xdr:col>
      <xdr:colOff>388620</xdr:colOff>
      <xdr:row>17</xdr:row>
      <xdr:rowOff>175260</xdr:rowOff>
    </xdr:to>
    <xdr:pic>
      <xdr:nvPicPr>
        <xdr:cNvPr id="26" name="Picture 5">
          <a:extLst>
            <a:ext uri="{FF2B5EF4-FFF2-40B4-BE49-F238E27FC236}">
              <a16:creationId xmlns:a16="http://schemas.microsoft.com/office/drawing/2014/main" id="{00000000-0008-0000-0800-00001A000000}"/>
            </a:ext>
          </a:extLst>
        </xdr:cNvPr>
        <xdr:cNvPicPr preferRelativeResize="0">
          <a:picLocks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261360" y="3238500"/>
          <a:ext cx="784860" cy="1752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18</xdr:col>
      <xdr:colOff>281940</xdr:colOff>
      <xdr:row>8</xdr:row>
      <xdr:rowOff>160020</xdr:rowOff>
    </xdr:from>
    <xdr:to>
      <xdr:col>20</xdr:col>
      <xdr:colOff>344784</xdr:colOff>
      <xdr:row>17</xdr:row>
      <xdr:rowOff>153379</xdr:rowOff>
    </xdr:to>
    <xdr:graphicFrame macro="">
      <xdr:nvGraphicFramePr>
        <xdr:cNvPr id="27" name="Chart 22">
          <a:extLst>
            <a:ext uri="{FF2B5EF4-FFF2-40B4-BE49-F238E27FC236}">
              <a16:creationId xmlns:a16="http://schemas.microsoft.com/office/drawing/2014/main" id="{00000000-0008-0000-0800-00001B000000}"/>
            </a:ext>
            <a:ext uri="{147F2762-F138-4A5C-976F-8EAC2B608ADB}">
              <a16:predDERef xmlns:a16="http://schemas.microsoft.com/office/drawing/2014/main" pred="{00000000-0008-0000-05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7061432\Documents\&#9632;00%20&#35519;&#26619;&#12539;&#20998;&#26512;&#12539;&#25552;&#26696;\su%20&#65405;&#65421;&#65439;&#65391;&#65400;&#65432;&#65405;&#65412;&#12539;&#36984;&#23450;&#65410;&#65392;&#65433;&#12398;&#26356;&#26032;\&#9632;&#65394;&#65437;&#65408;&#65438;&#65400;&#65408;&#21697;&#30058;&#65432;&#65405;&#65412;\(Corrected)__Panasonic%20-%20Inductor%20-%20Selection%20Tool%20-%20May2023.xlsm" TargetMode="External"/><Relationship Id="rId1" Type="http://schemas.openxmlformats.org/officeDocument/2006/relationships/externalLinkPath" Target="https://jppanasonic-my.sharepoint.com/personal/ide_hiroki_jp_panasonic_com/Documents/&#12489;&#12461;&#12517;&#12513;&#12531;&#12488;%20(Cloud)/&#9632;&#37096;&#21697;&#38306;&#20418;&#36039;&#26009;/su%20&#65405;&#65421;&#65439;&#65391;&#65400;&#65432;&#65405;&#65412;&#12539;&#36984;&#23450;&#65410;&#65392;&#65433;&#12398;&#26356;&#26032;/&#9632;&#65394;&#65437;&#65408;&#65438;&#65400;&#65408;&#21697;&#30058;&#65432;&#65405;&#65412;/(Corrected)__Panasonic%20-%20Inductor%20-%20Selection%20Tool%20-%20May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isclaimer"/>
      <sheetName val="Automotive"/>
      <sheetName val="Non Auto"/>
      <sheetName val="PN-&gt;Parameter"/>
      <sheetName val="All Data"/>
      <sheetName val="Utility"/>
      <sheetName val="(Corrected)__Panasonic - Induct"/>
    </sheetNames>
    <sheetDataSet>
      <sheetData sheetId="0"/>
      <sheetData sheetId="1"/>
      <sheetData sheetId="2"/>
      <sheetData sheetId="3"/>
      <sheetData sheetId="4"/>
      <sheetData sheetId="5">
        <row r="5">
          <cell r="D5">
            <v>0.01</v>
          </cell>
        </row>
      </sheetData>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IDE HIROKI (井手 博樹)" id="{00A15122-431C-4CFB-88C3-C04867159E57}" userId="S::ide.hiroki@jp.panasonic.com::f9bd2574-cf78-4429-bc78-d64c799ab9f4" providerId="AD"/>
</personList>
</file>

<file path=xl/pivotCache/_rels/pivotCacheDefinition1.xml.rels><?xml version="1.0" encoding="UTF-8" standalone="yes"?>
<Relationships xmlns="http://schemas.openxmlformats.org/package/2006/relationships"><Relationship Id="rId1" Type="http://schemas.openxmlformats.org/officeDocument/2006/relationships/richPivotRecords" Target="richPivot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IDE HIROKI (井手 博樹)" refreshedDate="46055.476367476855" createdVersion="4" refreshedVersion="8" minRefreshableVersion="3" recordCount="150" xr:uid="{00000000-000A-0000-FFFF-FFFF1F000000}">
  <cacheSource type="worksheet">
    <worksheetSource name="All_PCC_a"/>
  </cacheSource>
  <cacheFields count="49">
    <cacheField name="Original Order" numFmtId="0">
      <sharedItems containsString="0" containsBlank="1" containsNumber="1" containsInteger="1" minValue="1" maxValue="125"/>
    </cacheField>
    <cacheField name="カタログ品" numFmtId="0">
      <sharedItems/>
    </cacheField>
    <cacheField name="確認メモ" numFmtId="0">
      <sharedItems containsDate="1" containsBlank="1" containsMixedTypes="1" minDate="2022-04-26T00:00:00" maxDate="2023-05-12T00:00:00"/>
    </cacheField>
    <cacheField name="Check" numFmtId="0">
      <sharedItems containsBlank="1"/>
    </cacheField>
    <cacheField name="Renewal Date" numFmtId="0">
      <sharedItems containsNonDate="0" containsString="0" containsBlank="1"/>
    </cacheField>
    <cacheField name="Status" numFmtId="0">
      <sharedItems count="2">
        <s v="MP"/>
        <s v="UD" u="1"/>
      </sharedItems>
    </cacheField>
    <cacheField name="Maker" numFmtId="0">
      <sharedItems containsBlank="1" count="2">
        <s v="Panasonic"/>
        <m u="1"/>
      </sharedItems>
    </cacheField>
    <cacheField name="Type" numFmtId="0">
      <sharedItems/>
    </cacheField>
    <cacheField name="Core" numFmtId="0">
      <sharedItems/>
    </cacheField>
    <cacheField name="Category" numFmtId="0">
      <sharedItems/>
    </cacheField>
    <cacheField name="Feature" numFmtId="0">
      <sharedItems count="8">
        <s v="High Isat (Standard)"/>
        <s v="High Current (≥□12)"/>
        <s v="LP (Low Profile)"/>
        <s v="High Anti-vibration"/>
        <s v="High Frequency"/>
        <s v="LE (Low Price)"/>
        <s v="Dust Core"/>
        <s v="LL (Low Inductance)"/>
      </sharedItems>
    </cacheField>
    <cacheField name="Series" numFmtId="0">
      <sharedItems count="33">
        <s v="5M-YLC"/>
        <s v="8M-JFA"/>
        <s v="3M-KVP"/>
        <s v="4M-KLC"/>
        <s v="3M-YFN"/>
        <s v="3M-KVN"/>
        <s v="4M-KVK"/>
        <s v="5M-YSC"/>
        <s v="4M-KVC"/>
        <s v="5M-YFC"/>
        <s v="6M-YLC"/>
        <s v="3M-YFP"/>
        <s v="3M-HFP"/>
        <s v="4M-YFN"/>
        <s v="5M-YSK"/>
        <s v="5M-YFK"/>
        <s v="4M-KFN"/>
        <s v="5M-YFM"/>
        <s v="5M-YGC"/>
        <s v="4M-YFP"/>
        <s v="4M-KFM"/>
        <s v="3M-HFN"/>
        <s v="5M-GAK"/>
        <s v="6M-KLC"/>
        <s v="DH-DTV"/>
        <s v="5M-YGM"/>
        <s v="5M-YGK"/>
        <s v="AM-JFW"/>
        <s v="5M-CVM"/>
        <s v="5M-YTC"/>
        <s v="6M-GAC"/>
        <s v="JFW" u="1"/>
        <s v="3M-FYN" u="1"/>
      </sharedItems>
    </cacheField>
    <cacheField name="Series (Size)" numFmtId="0">
      <sharedItems/>
    </cacheField>
    <cacheField name="Automotive Grade" numFmtId="0">
      <sharedItems count="1">
        <s v="Yes"/>
      </sharedItems>
    </cacheField>
    <cacheField name="Part Number" numFmtId="0">
      <sharedItems count="151">
        <s v="ETQP5MR33YLC"/>
        <s v="ETQP8MR33JFA"/>
        <s v="ETQP3MR33KVP"/>
        <s v="ETQP3MR47KVP"/>
        <s v="ETQP4MR47KLC"/>
        <s v="ETQP3MR68YFN"/>
        <s v="ETQP5MR68YLC"/>
        <s v="ETQP8MR68JFA"/>
        <s v="ETQP3MR68KVP"/>
        <s v="ETQP3MR68KVN"/>
        <s v="ETQP4MR68KVK"/>
        <s v="ETQP5MR68YSC"/>
        <s v="ETQP3M1R0YFN"/>
        <s v="ETQP5M1R0YLC"/>
        <s v="ETQP8M1R0JFA"/>
        <s v="ETQP3M1R0KVP"/>
        <s v="ETQP3M1R0KVN"/>
        <s v="ETQP4M1R0KVK"/>
        <s v="ETQP4M1R0KVC"/>
        <s v="ETQP5M1R5YFC"/>
        <s v="ETQP6M1R5YLC"/>
        <s v="ETQP8M1R5JFA"/>
        <s v="ETQP3M1R5KVP"/>
        <s v="ETQP3M1R5KVN"/>
        <s v="ETQP4M1R5KVK"/>
        <s v="ETQP4M1R5KVC"/>
        <s v="ETQP5M2R0YSC"/>
        <s v="ETQP5M2R0YLC"/>
        <s v="ETQP3M2R2YFP"/>
        <s v="ETQP3M2R2KVP"/>
        <s v="ETQP3M2R2KVN"/>
        <s v="ETQP4M2R2KVK"/>
        <s v="ETQP4M2R2KVC"/>
        <s v="ETQP3M2R2HFP"/>
        <s v="ETQP4M2R2YFN"/>
        <s v="ETQP5M2R5YSK"/>
        <s v="ETQP5M2R5YFC"/>
        <s v="ETQP5M2R5YFK"/>
        <s v="ETQP6M2R5YLC"/>
        <s v="ETQP8M2R5JFA"/>
        <s v="ETQP4M3R3YFN"/>
        <s v="ETQP3M3R3YFP"/>
        <s v="ETQP5M3R3YFC"/>
        <s v="ETQP6M3R3YLC"/>
        <s v="ETQP8M3R3JFA"/>
        <s v="ETQP3M3R3KVP"/>
        <s v="ETQP3M3R3KVN"/>
        <s v="ETQP4M3R3KVK"/>
        <s v="ETQP4M3R3KVC"/>
        <s v="ETQP4M3R3KFN"/>
        <s v="ETQP5M3R3YFM"/>
        <s v="ETQP5M3R3YFK"/>
        <s v="ETQP5M3R3YGC"/>
        <s v="ETQP4M4R7YFP"/>
        <s v="ETQP5M4R7YFC"/>
        <s v="ETQP5M4R7YFM"/>
        <s v="ETQP6M4R7YLC"/>
        <s v="ETQP8M4R7JFA"/>
        <s v="ETQP3M4R7KVP"/>
        <s v="ETQP3M4R7KVN"/>
        <s v="ETQP4M4R7KVK"/>
        <s v="ETQP4M4R7KVC"/>
        <s v="ETQP4M4R7KFN"/>
        <s v="ETQP4M4R7KFM"/>
        <s v="ETQP4M6R8YFN"/>
        <s v="ETQP5M6R8YFM"/>
        <s v="ETQP3M6R8KVP"/>
        <s v="ETQP3M6R8KVN"/>
        <s v="ETQP4M6R8KVK"/>
        <s v="ETQP4M6R8KVC"/>
        <s v="ETQP4M6R8KFN"/>
        <s v="ETQP4M100YFN"/>
        <s v="ETQP5M100YFC"/>
        <s v="ETQP5M100YFK"/>
        <s v="ETQP5M100YFM"/>
        <s v="ETQP3M100KVP"/>
        <s v="ETQP3M100KVN"/>
        <s v="ETQP4M100KVK"/>
        <s v="ETQP4M100KVC"/>
        <s v="ETQP3M100HFN"/>
        <s v="ETQP4M100KFN"/>
        <s v="ETQP4M100KFM"/>
        <s v="ETQP5M100GAK"/>
        <s v="ETQP6M150KLC"/>
        <s v="ETQP5M150YFC"/>
        <s v="ETQP5M150YFK"/>
        <s v="ETQP3M150KVN"/>
        <s v="ETQP4M150KVK"/>
        <s v="ETQP4M150KVC"/>
        <s v="ETQP4M150KFN"/>
        <s v="ETQP4M150KFM"/>
        <s v="ETQP4M220YFN"/>
        <s v="ETQP4M220YFP"/>
        <s v="ETQP5M220YFC"/>
        <s v="ETQP5M220YFK"/>
        <s v="ETQP5M220YFM"/>
        <s v="ETQP3M220KVN"/>
        <s v="ETQP4M220KVK"/>
        <s v="ETQP4M220KVC"/>
        <s v="ETQP3M220HFN"/>
        <s v="ETQP4M220KFM"/>
        <s v="ETQP4M220KFN"/>
        <s v="ETQP4M330YFN"/>
        <s v="ETQP5M330YFC"/>
        <s v="ETQP5M330YFM"/>
        <s v="ETQP3M330KVN"/>
        <s v="ETQP4M330KVK"/>
        <s v="ETQP4M330KVC"/>
        <s v="ETQP4M330KFM"/>
        <s v="ETQPDH240DTV"/>
        <s v="ETQP4M470YFN"/>
        <s v="ETQP5M470YFC"/>
        <s v="ETQP4M470KVC"/>
        <s v="ETQP4M470KFM"/>
        <s v="ETQP5M470YFK"/>
        <s v="ETQP5M470YFM"/>
        <s v="ETQP5M680YFC"/>
        <s v="ETQP5M680YFM"/>
        <s v="ETQP4M680KVC"/>
        <s v="ETQP5M820YGC"/>
        <s v="ETQP5M101YGM"/>
        <s v="ETQP5M101YGC"/>
        <s v="ETQP5M101YGK"/>
        <s v="ETQP4M101KVC"/>
        <s v="ETQP5M220YSC"/>
        <s v="ETQP5M470YSC"/>
        <s v="ETQP6M2R5YSC"/>
        <s v="ETQPAMR33JFW"/>
        <s v="ETQPAMR68JFW"/>
        <s v="ETQPAM1R0JFW"/>
        <s v="ETQPAM1R5JFW"/>
        <s v="ETQPAM2R5JFW"/>
        <s v="ETQPAM3R3JFW"/>
        <s v="ETQPAM4R7JFW"/>
        <s v="ETQP3M220KVP"/>
        <s v="ETQP5MR22CVM"/>
        <s v="ETQP5M2R5YTC"/>
        <s v="ETQP5M3R3YTC"/>
        <s v="ETQP3MR10KVP"/>
        <s v="ETQP4MR47KFM"/>
        <s v="ETQP4M100YFP"/>
        <s v="ETQP3MR47KVN"/>
        <s v="ETQP4M1R2KFM"/>
        <s v="ETQP4M1R5KFM"/>
        <s v="ETQP4M2R2KFM"/>
        <s v="ETQP4MR47KVK"/>
        <s v="ETQP4M470KFN"/>
        <s v="ETQP5M6R8GAK"/>
        <s v="ETQP4MR33KLC"/>
        <s v="ETQP6M100GAC"/>
        <s v="ETQP3M1R5YFN" u="1"/>
      </sharedItems>
    </cacheField>
    <cacheField name="仮1" numFmtId="0">
      <sharedItems/>
    </cacheField>
    <cacheField name="Lo (uH)" numFmtId="0">
      <sharedItems containsSemiMixedTypes="0" containsString="0" containsNumber="1" minValue="0.105" maxValue="100" count="32">
        <n v="0.33"/>
        <n v="0.47"/>
        <n v="0.68"/>
        <n v="1"/>
        <n v="1.5"/>
        <n v="1.9"/>
        <n v="2"/>
        <n v="2.2000000000000002"/>
        <n v="2.4500000000000002"/>
        <n v="2.5"/>
        <n v="3.3"/>
        <n v="4.7"/>
        <n v="6.8"/>
        <n v="10"/>
        <n v="14"/>
        <n v="15"/>
        <n v="22"/>
        <n v="33"/>
        <n v="36"/>
        <n v="47"/>
        <n v="48"/>
        <n v="66"/>
        <n v="68"/>
        <n v="82"/>
        <n v="95"/>
        <n v="97"/>
        <n v="100"/>
        <n v="20"/>
        <n v="44"/>
        <n v="0.22"/>
        <n v="0.105"/>
        <n v="1.2"/>
      </sharedItems>
    </cacheField>
    <cacheField name="Lo RangeXX" numFmtId="0">
      <sharedItems/>
    </cacheField>
    <cacheField name="Lo Range (uH)" numFmtId="0">
      <sharedItems count="19">
        <s v="≤    0.4"/>
        <s v="≤    0.5"/>
        <s v="≤    0.7"/>
        <s v="≤   1"/>
        <s v="≤   2"/>
        <s v="≤   3"/>
        <s v="≤   4"/>
        <s v="≤   5"/>
        <s v="≤   7"/>
        <s v="≤  10"/>
        <s v="≤  20"/>
        <s v="≤  30"/>
        <s v="≤  40"/>
        <s v="≤  50"/>
        <s v="≤  70"/>
        <s v="≤  90"/>
        <s v="≤ 100"/>
        <s v="≤    0.3"/>
        <s v="≤    0.1"/>
      </sharedItems>
    </cacheField>
    <cacheField name="Lo Tol. (%)" numFmtId="9">
      <sharedItems containsSemiMixedTypes="0" containsString="0" containsNumber="1" minValue="0.2" maxValue="0.3" count="2">
        <n v="0.2"/>
        <n v="0.3"/>
      </sharedItems>
    </cacheField>
    <cacheField name="DCR Typ (mOhm)" numFmtId="0">
      <sharedItems containsSemiMixedTypes="0" containsString="0" containsNumber="1" minValue="0.42" maxValue="348" count="139">
        <n v="1.1000000000000001"/>
        <n v="0.7"/>
        <n v="4.8499999999999996"/>
        <n v="5.8"/>
        <n v="1.53"/>
        <n v="6.3"/>
        <n v="1.75"/>
        <n v="7.6"/>
        <n v="5.2"/>
        <n v="2.92"/>
        <n v="1.66"/>
        <n v="7.9"/>
        <n v="2.2999999999999998"/>
        <n v="1.36"/>
        <n v="9.6"/>
        <n v="6.2"/>
        <n v="3.7"/>
        <n v="2.6"/>
        <n v="3.8"/>
        <n v="3.2"/>
        <n v="1.8"/>
        <n v="12"/>
        <n v="11"/>
        <n v="4.9000000000000004"/>
        <n v="4.45"/>
        <n v="4.5999999999999996"/>
        <n v="22.6"/>
        <n v="20"/>
        <n v="14.5"/>
        <n v="8.5"/>
        <n v="6.8"/>
        <n v="19.5"/>
        <n v="10.4"/>
        <n v="7.4"/>
        <n v="5.3"/>
        <n v="4.55"/>
        <n v="16.100000000000001"/>
        <n v="31.3"/>
        <n v="7.1"/>
        <n v="6"/>
        <n v="3.6"/>
        <n v="27.3"/>
        <n v="24.1"/>
        <n v="14.1"/>
        <n v="9.4"/>
        <n v="13.1"/>
        <n v="11.9"/>
        <n v="9.5"/>
        <n v="36"/>
        <n v="10.199999999999999"/>
        <n v="20.399999999999999"/>
        <n v="8.6999999999999993"/>
        <n v="45.6"/>
        <n v="29"/>
        <n v="12.3"/>
        <n v="20.7"/>
        <n v="16.8"/>
        <n v="39.299999999999997"/>
        <n v="26.7"/>
        <n v="65.7"/>
        <n v="23.5"/>
        <n v="18.5"/>
        <n v="32.1"/>
        <n v="54.2"/>
        <n v="23.8"/>
        <n v="33.4"/>
        <n v="37.6"/>
        <n v="96"/>
        <n v="71"/>
        <n v="41.6"/>
        <n v="25.4"/>
        <n v="68"/>
        <n v="40.4"/>
        <n v="31.5"/>
        <n v="28"/>
        <n v="35.6"/>
        <n v="48.2"/>
        <n v="99.2"/>
        <n v="55"/>
        <n v="37"/>
        <n v="63.8"/>
        <n v="60.7"/>
        <n v="126"/>
        <n v="163"/>
        <n v="45"/>
        <n v="63"/>
        <n v="92"/>
        <n v="128"/>
        <n v="78.400000000000006"/>
        <n v="60"/>
        <n v="144"/>
        <n v="84.1"/>
        <n v="113"/>
        <n v="172"/>
        <n v="68.5"/>
        <n v="120"/>
        <n v="206"/>
        <n v="118"/>
        <n v="84.6"/>
        <n v="115"/>
        <n v="25.8"/>
        <n v="210"/>
        <n v="99"/>
        <n v="132"/>
        <n v="148.6"/>
        <n v="125"/>
        <n v="156"/>
        <n v="136"/>
        <n v="251"/>
        <n v="178.4"/>
        <n v="194"/>
        <n v="348"/>
        <n v="208"/>
        <n v="302"/>
        <n v="242"/>
        <n v="45.5"/>
        <n v="102"/>
        <n v="4.4800000000000004"/>
        <n v="0.42"/>
        <n v="0.88"/>
        <n v="1.7"/>
        <n v="2.4"/>
        <n v="3.1"/>
        <n v="165"/>
        <n v="0.71"/>
        <n v="1.52"/>
        <n v="3.3"/>
        <n v="95"/>
        <n v="6.6"/>
        <n v="8.1"/>
        <n v="2.2000000000000002"/>
        <n v="190"/>
        <n v="18"/>
        <n v="1.08"/>
        <n v="19"/>
        <n v="0.72" u="1"/>
        <n v="0.92" u="1"/>
        <n v="2" u="1"/>
        <n v="3" u="1"/>
      </sharedItems>
    </cacheField>
    <cacheField name="DCR Max (mOhm)" numFmtId="2">
      <sharedItems containsMixedTypes="1" containsNumber="1" minValue="0.48" maxValue="382.8" count="145">
        <n v="1.21"/>
        <n v="0.77"/>
        <n v="5.34"/>
        <n v="6.38"/>
        <n v="1.68"/>
        <n v="6.9300000000000006"/>
        <n v="1.93"/>
        <n v="8.36"/>
        <n v="5.7200000000000006"/>
        <n v="3.21"/>
        <n v="1.83"/>
        <n v="8.6900000000000013"/>
        <n v="2.5299999999999998"/>
        <n v="1.5"/>
        <n v="10.56"/>
        <n v="6.8200000000000012"/>
        <n v="4.07"/>
        <n v="2.8600000000000003"/>
        <n v="4.18"/>
        <n v="3.52"/>
        <n v="1.9800000000000002"/>
        <n v="13.200000000000001"/>
        <n v="12.100000000000001"/>
        <n v="5.3900000000000006"/>
        <n v="4.9000000000000004"/>
        <n v="5.0599999999999996"/>
        <n v="24.8"/>
        <n v="22"/>
        <n v="15.950000000000001"/>
        <n v="9.3500000000000014"/>
        <n v="7.48"/>
        <n v="21.45"/>
        <n v="11.440000000000001"/>
        <n v="8.14"/>
        <n v="5.9"/>
        <n v="5"/>
        <n v="17.71"/>
        <n v="34.430000000000007"/>
        <n v="7.81"/>
        <n v="6.6000000000000005"/>
        <n v="3.9600000000000004"/>
        <n v="30.030000000000005"/>
        <n v="26.510000000000005"/>
        <n v="15.51"/>
        <n v="10.340000000000002"/>
        <n v="14.41"/>
        <n v="13.090000000000002"/>
        <n v="10.450000000000001"/>
        <n v="39.6"/>
        <n v="11.3"/>
        <n v="22.5"/>
        <n v="9.57"/>
        <n v="5.39"/>
        <n v="50.160000000000004"/>
        <n v="31.900000000000002"/>
        <n v="13.53"/>
        <n v="22.77"/>
        <n v="18.48"/>
        <n v="43.23"/>
        <n v="29.4"/>
        <n v="72.27000000000001"/>
        <n v="50.16"/>
        <n v="25.85"/>
        <n v="20.350000000000001"/>
        <n v="35.31"/>
        <n v="59.620000000000005"/>
        <n v="26.2"/>
        <n v="36.799999999999997"/>
        <n v="41.3"/>
        <n v="105.6"/>
        <n v="78.099999999999994"/>
        <n v="45.760000000000005"/>
        <n v="27.94"/>
        <n v="74.8"/>
        <n v="44.44"/>
        <n v="34.65"/>
        <n v="30.800000000000004"/>
        <n v="39.159999999999997"/>
        <n v="53.1"/>
        <n v="109.12000000000002"/>
        <n v="60.500000000000007"/>
        <n v="40.700000000000003"/>
        <n v="70.180000000000007"/>
        <n v="66.77"/>
        <n v="138.6"/>
        <n v="179"/>
        <n v="50"/>
        <n v="70"/>
        <n v="102"/>
        <n v="140.80000000000001"/>
        <n v="86.24"/>
        <n v="66"/>
        <n v="158.4"/>
        <n v="92.51"/>
        <n v="124.3"/>
        <n v="189.2"/>
        <n v="75.400000000000006"/>
        <n v="132"/>
        <n v="226.6"/>
        <n v="129.80000000000001"/>
        <n v="93.06"/>
        <n v="126.5"/>
        <s v="-"/>
        <n v="231.00000000000003"/>
        <n v="108.9"/>
        <n v="145.20000000000002"/>
        <n v="163.46"/>
        <n v="138"/>
        <n v="172"/>
        <n v="149.6"/>
        <n v="276.10000000000002"/>
        <n v="196.24"/>
        <n v="213.4"/>
        <n v="382.8"/>
        <n v="229"/>
        <n v="333"/>
        <n v="266.2"/>
        <n v="50.05"/>
        <n v="112.2"/>
        <n v="4.93"/>
        <n v="0.48"/>
        <n v="0.97"/>
        <n v="1.87"/>
        <n v="2.64"/>
        <n v="3.41"/>
        <n v="181.5"/>
        <n v="0.78"/>
        <n v="5.83"/>
        <n v="1.67"/>
        <n v="3.63"/>
        <n v="104.5"/>
        <n v="7.26"/>
        <n v="8.91"/>
        <n v="10.45"/>
        <n v="2.42"/>
        <n v="209"/>
        <n v="19.8"/>
        <n v="1.19"/>
        <n v="20.9"/>
        <n v="0.83" u="1"/>
        <n v="1.06" u="1"/>
        <n v="2.2000000000000002" u="1"/>
        <n v="3.3" u="1"/>
        <n v="7.9" u="1"/>
        <n v="9.1" u="1"/>
      </sharedItems>
    </cacheField>
    <cacheField name="DCR Tol. (%)" numFmtId="0">
      <sharedItems containsSemiMixedTypes="0" containsString="0" containsNumber="1" containsInteger="1" minValue="10" maxValue="20"/>
    </cacheField>
    <cacheField name="Method B (A typ at 40℃)" numFmtId="0">
      <sharedItems containsString="0" containsBlank="1" containsNumber="1" minValue="1.9" maxValue="83" count="113">
        <n v="39.700000000000003"/>
        <n v="53.5"/>
        <n v="12.7"/>
        <n v="11.6"/>
        <n v="31.1"/>
        <n v="12"/>
        <n v="31.5"/>
        <n v="42.6"/>
        <n v="10.199999999999999"/>
        <n v="13.2"/>
        <n v="19.5"/>
        <n v="32.299999999999997"/>
        <n v="10.7"/>
        <n v="27.5"/>
        <n v="38.299999999999997"/>
        <n v="9"/>
        <n v="12.1"/>
        <n v="17.3"/>
        <n v="23.9"/>
        <n v="21.4"/>
        <n v="23.3"/>
        <n v="33.299999999999997"/>
        <n v="8.1"/>
        <n v="9.1"/>
        <n v="15.1"/>
        <n v="17.399999999999999"/>
        <n v="19.8"/>
        <n v="19.399999999999999"/>
        <n v="5.8"/>
        <n v="6.3"/>
        <n v="7.9"/>
        <n v="11.4"/>
        <n v="14.8"/>
        <n v="14.1"/>
        <n v="18.100000000000001"/>
        <n v="14"/>
        <n v="19.600000000000001"/>
        <n v="27.7"/>
        <n v="8.1999999999999993"/>
        <n v="5"/>
        <n v="15.7"/>
        <n v="17"/>
        <n v="23.6"/>
        <n v="5.4"/>
        <n v="6.1"/>
        <n v="8.9"/>
        <n v="12.6"/>
        <n v="9.1999999999999993"/>
        <n v="10.4"/>
        <n v="12.5"/>
        <n v="14.7"/>
        <n v="4.8"/>
        <n v="13.1"/>
        <n v="8"/>
        <n v="20.2"/>
        <n v="4.0999999999999996"/>
        <n v="5.6"/>
        <n v="8.3000000000000007"/>
        <n v="11.2"/>
        <n v="7.3"/>
        <n v="8.8000000000000007"/>
        <n v="5.2"/>
        <n v="6.9"/>
        <n v="3.5"/>
        <n v="4.5"/>
        <n v="5.9"/>
        <n v="8.5"/>
        <n v="6.7"/>
        <n v="5.7"/>
        <n v="2.9"/>
        <n v="3.6"/>
        <n v="7.6"/>
        <n v="3.7"/>
        <n v="6"/>
        <n v="7"/>
        <n v="5.5"/>
        <n v="3"/>
        <n v="4.2"/>
        <n v="4.5999999999999996"/>
        <n v="2.2999999999999998"/>
        <n v="6.2"/>
        <n v="2.7"/>
        <n v="3.8"/>
        <n v="2.5"/>
        <n v="3.9"/>
        <n v="3.1"/>
        <n v="3.3"/>
        <n v="2.1"/>
        <n v="3.4"/>
        <m/>
        <n v="2.2000000000000002"/>
        <n v="2.8"/>
        <n v="1.9"/>
        <n v="19.7"/>
        <n v="83"/>
        <n v="65"/>
        <n v="57"/>
        <n v="52"/>
        <n v="42"/>
        <n v="35"/>
        <n v="31"/>
        <n v="44"/>
        <n v="22.7"/>
        <n v="11.7"/>
        <n v="22.5"/>
        <n v="2.4"/>
        <n v="37.1"/>
        <n v="9.6"/>
        <n v="64" u="1"/>
        <n v="56" u="1"/>
        <n v="51" u="1"/>
        <n v="41" u="1"/>
        <n v="38" u="1"/>
      </sharedItems>
    </cacheField>
    <cacheField name="Method A (A typ at 40℃)" numFmtId="0">
      <sharedItems containsSemiMixedTypes="0" containsString="0" containsNumber="1" minValue="1.4" maxValue="69" count="104">
        <n v="33.200000000000003"/>
        <n v="44.4"/>
        <n v="10.6"/>
        <n v="9.6"/>
        <n v="24.9"/>
        <n v="9.8000000000000007"/>
        <n v="26.3"/>
        <n v="35.4"/>
        <n v="8.4"/>
        <n v="10.8"/>
        <n v="16.600000000000001"/>
        <n v="27"/>
        <n v="8.8000000000000007"/>
        <n v="23"/>
        <n v="31.8"/>
        <n v="7.5"/>
        <n v="9.9"/>
        <n v="14.8"/>
        <n v="19.600000000000001"/>
        <n v="17.899999999999999"/>
        <n v="19.5"/>
        <n v="27.7"/>
        <n v="6.7"/>
        <n v="7.4"/>
        <n v="12.8"/>
        <n v="14.3"/>
        <n v="16.5"/>
        <n v="16.2"/>
        <n v="4.8"/>
        <n v="5.2"/>
        <n v="6.5"/>
        <n v="12.1"/>
        <n v="8"/>
        <n v="12"/>
        <n v="15.1"/>
        <n v="11.9"/>
        <n v="16.3"/>
        <n v="6.4"/>
        <n v="4.0999999999999996"/>
        <n v="13.1"/>
        <n v="14.2"/>
        <n v="4.4000000000000004"/>
        <n v="5"/>
        <n v="7.6"/>
        <n v="10.3"/>
        <n v="7.2"/>
        <n v="8.3000000000000007"/>
        <n v="10.7"/>
        <n v="11.8"/>
        <n v="4"/>
        <n v="10.9"/>
        <n v="6.3"/>
        <n v="16.8"/>
        <n v="3.4"/>
        <n v="4.5999999999999996"/>
        <n v="7.1"/>
        <n v="9.1999999999999993"/>
        <n v="5.7"/>
        <n v="5.5"/>
        <n v="2.9"/>
        <n v="3.6"/>
        <n v="5.9"/>
        <n v="3.5"/>
        <n v="4.7"/>
        <n v="2.4"/>
        <n v="3"/>
        <n v="4.5"/>
        <n v="5.8"/>
        <n v="2.5"/>
        <n v="3.8"/>
        <n v="3.3"/>
        <n v="2.2999999999999998"/>
        <n v="1.9"/>
        <n v="2.2000000000000002"/>
        <n v="3.2"/>
        <n v="2.1"/>
        <n v="2"/>
        <n v="4.2"/>
        <n v="2.6"/>
        <n v="1.7"/>
        <n v="6.9"/>
        <n v="1.8"/>
        <n v="2.8"/>
        <n v="1.4"/>
        <n v="16.399999999999999"/>
        <n v="69"/>
        <n v="53"/>
        <n v="47"/>
        <n v="43"/>
        <n v="34"/>
        <n v="29"/>
        <n v="26"/>
        <n v="32"/>
        <n v="18.899999999999999"/>
        <n v="14.7"/>
        <n v="10.4"/>
        <n v="9.3000000000000007"/>
        <n v="8.6"/>
        <n v="19.2"/>
        <n v="7.7"/>
        <n v="30.4"/>
        <n v="46" u="1"/>
        <n v="42" u="1"/>
        <n v="11" u="1"/>
      </sharedItems>
    </cacheField>
    <cacheField name="⊿L=-30% _x000a_typ (A)" numFmtId="0">
      <sharedItems containsString="0" containsBlank="1" containsNumber="1" minValue="2.8" maxValue="103" count="120">
        <n v="56.7"/>
        <n v="84.5"/>
        <n v="21.8"/>
        <n v="17.899999999999999"/>
        <n v="47.3"/>
        <n v="24"/>
        <n v="40"/>
        <n v="56.9"/>
        <n v="15.9"/>
        <n v="20.2"/>
        <n v="29"/>
        <n v="20"/>
        <n v="37.799999999999997"/>
        <n v="44.4"/>
        <n v="14.1"/>
        <n v="16"/>
        <n v="24.4"/>
        <n v="34.6"/>
        <n v="35.1"/>
        <n v="32"/>
        <n v="29.9"/>
        <n v="12"/>
        <n v="14.2"/>
        <n v="22.5"/>
        <n v="25"/>
        <n v="29.8"/>
        <n v="31.3"/>
        <n v="10.9"/>
        <n v="10.1"/>
        <n v="12.8"/>
        <n v="20.399999999999999"/>
        <n v="21"/>
        <n v="9"/>
        <n v="14.4"/>
        <n v="19.3"/>
        <n v="27.2"/>
        <n v="20.100000000000001"/>
        <n v="25.8"/>
        <n v="32.1"/>
        <n v="13.3"/>
        <n v="8.6"/>
        <n v="22.7"/>
        <n v="26.3"/>
        <n v="27.6"/>
        <n v="8"/>
        <n v="11.5"/>
        <n v="17.399999999999999"/>
        <n v="17.100000000000001"/>
        <n v="23.4"/>
        <n v="7.7"/>
        <n v="13.1"/>
        <n v="24.7"/>
        <n v="6.7"/>
        <n v="9.8000000000000007"/>
        <n v="15.1"/>
        <n v="13.9"/>
        <n v="10.199999999999999"/>
        <n v="10.7"/>
        <n v="10"/>
        <n v="12.1"/>
        <n v="6.1"/>
        <n v="8.1"/>
        <n v="11"/>
        <n v="9.9"/>
        <n v="8.3000000000000007"/>
        <n v="13"/>
        <n v="10.6"/>
        <n v="4.2"/>
        <n v="5.8"/>
        <n v="9.1"/>
        <n v="10.8"/>
        <n v="5.5"/>
        <n v="9.6"/>
        <n v="11.1"/>
        <n v="11.2"/>
        <n v="7.2"/>
        <n v="5.0999999999999996"/>
        <n v="7.6"/>
        <n v="9.1999999999999993"/>
        <n v="6"/>
        <n v="3.1"/>
        <n v="6.9"/>
        <n v="4.3"/>
        <n v="7.4"/>
        <n v="4"/>
        <n v="4.5999999999999996"/>
        <n v="4.0999999999999996"/>
        <n v="4.8"/>
        <n v="3"/>
        <n v="4.7"/>
        <n v="5.6"/>
        <m/>
        <n v="3.8"/>
        <n v="6.8"/>
        <n v="3.7"/>
        <n v="5.4"/>
        <n v="4.9000000000000004"/>
        <n v="3.9"/>
        <n v="3.5"/>
        <n v="7.9"/>
        <n v="23.7"/>
        <n v="103"/>
        <n v="71"/>
        <n v="52"/>
        <n v="43"/>
        <n v="41"/>
        <n v="37"/>
        <n v="30"/>
        <n v="2.8"/>
        <n v="63.7"/>
        <n v="37.299999999999997"/>
        <n v="20.7"/>
        <n v="18.2"/>
        <n v="16.100000000000001"/>
        <n v="37.200000000000003"/>
        <n v="3.3"/>
        <n v="45.9"/>
        <n v="14"/>
        <n v="9.3000000000000007" u="1"/>
        <n v="8.8000000000000007" u="1"/>
      </sharedItems>
    </cacheField>
    <cacheField name="⊿L=-20% _x000a_typ (A)" numFmtId="0">
      <sharedItems containsMixedTypes="1" containsNumber="1" minValue="1.9" maxValue="75" count="150">
        <n v="42.63"/>
        <n v="55.85"/>
        <n v="14.5"/>
        <n v="12.9"/>
        <n v="33.200000000000003"/>
        <n v="17.66"/>
        <n v="28.37"/>
        <n v="40.33"/>
        <n v="10.4"/>
        <n v="14.25"/>
        <n v="20.99"/>
        <n v="28.1"/>
        <n v="14.47"/>
        <n v="24.6"/>
        <n v="31.56"/>
        <n v="10.65"/>
        <n v="19.059999999999999"/>
        <n v="24.000000000000028"/>
        <n v="25.52"/>
        <n v="22.19"/>
        <n v="21.51"/>
        <n v="9.61"/>
        <n v="10.37"/>
        <n v="17.559999999999999"/>
        <n v="19.36"/>
        <n v="21"/>
        <n v="22.17"/>
        <n v="7.96"/>
        <n v="7.38"/>
        <n v="8.9"/>
        <n v="15.16"/>
        <n v="16.920000000000002"/>
        <n v="6.4"/>
        <n v="10.41"/>
        <n v="13.7"/>
        <n v="19.739999999999998"/>
        <n v="14.54"/>
        <n v="17.2"/>
        <n v="23.07"/>
        <n v="9.2799999999999994"/>
        <n v="6.15"/>
        <n v="16.27"/>
        <n v="19.690000000000001"/>
        <n v="19.78"/>
        <n v="5.81"/>
        <n v="7.3"/>
        <n v="11.71"/>
        <n v="12.66"/>
        <n v="10.34"/>
        <n v="12.96"/>
        <n v="16.63"/>
        <n v="5.6"/>
        <n v="14.75"/>
        <n v="9.4499999999999993"/>
        <n v="15.17"/>
        <n v="17.600000000000001"/>
        <n v="5.4"/>
        <n v="7.19"/>
        <n v="9.24"/>
        <n v="10.58"/>
        <n v="7.31"/>
        <n v="7.7"/>
        <n v="7.2"/>
        <n v="8.6"/>
        <n v="4.54"/>
        <n v="5.48"/>
        <n v="7.59"/>
        <n v="8.92"/>
        <n v="7.1"/>
        <n v="5.77"/>
        <n v="8.8000000000000007"/>
        <n v="8.0399999999999991"/>
        <n v="7.56"/>
        <n v="3.35"/>
        <n v="4.22"/>
        <n v="6.79"/>
        <n v="8.09"/>
        <n v="3.8"/>
        <n v="6.6"/>
        <n v="6.7"/>
        <n v="8"/>
        <n v="7.33"/>
        <n v="5.58"/>
        <n v="3.45"/>
        <n v="5.82"/>
        <n v="5.96"/>
        <n v="5"/>
        <n v="5.2"/>
        <n v="3.94"/>
        <n v="2.35"/>
        <n v="6.64"/>
        <n v="4.92"/>
        <n v="3.97"/>
        <n v="2.79"/>
        <n v="5.63"/>
        <n v="2.9"/>
        <n v="3.7"/>
        <n v="2.98"/>
        <n v="3.4"/>
        <n v="2.1"/>
        <n v="3.74"/>
        <n v="4.0599999999999996"/>
        <n v="3.1"/>
        <s v="-"/>
        <n v="2.6"/>
        <n v="4.87"/>
        <n v="3.34"/>
        <n v="2.7"/>
        <n v="3.96"/>
        <n v="2.94"/>
        <n v="3.75"/>
        <n v="2.75"/>
        <n v="2.4700000000000002"/>
        <n v="2.1800000000000002"/>
        <n v="1.98"/>
        <n v="2.5"/>
        <n v="5.5"/>
        <n v="4.5"/>
        <n v="16.600000000000001"/>
        <n v="75"/>
        <n v="51"/>
        <n v="36.200000000000003"/>
        <n v="30.5"/>
        <n v="29.1"/>
        <n v="26.1"/>
        <n v="21.1"/>
        <n v="1.9"/>
        <n v="45"/>
        <n v="20"/>
        <n v="17.5"/>
        <n v="25.5"/>
        <n v="21.7"/>
        <n v="15.5"/>
        <n v="15.8"/>
        <n v="12.5"/>
        <n v="11"/>
        <n v="27.4"/>
        <n v="2.4"/>
        <n v="9.4"/>
        <n v="33.4"/>
        <n v="10.1"/>
        <n v="11.4" u="1"/>
        <n v="4.8499999999999996" u="1"/>
        <n v="3.36" u="1"/>
        <n v="11.38" u="1"/>
        <n v="17.03" u="1"/>
        <n v="21.46" u="1"/>
        <n v="18.84" u="1"/>
        <n v="15.6" u="1"/>
        <n v="11.29" u="1"/>
      </sharedItems>
    </cacheField>
    <cacheField name="L (mm)" numFmtId="0">
      <sharedItems containsSemiMixedTypes="0" containsString="0" containsNumber="1" minValue="5.5" maxValue="15.6"/>
    </cacheField>
    <cacheField name="W (mm)" numFmtId="0">
      <sharedItems containsSemiMixedTypes="0" containsString="0" containsNumber="1" minValue="5" maxValue="17.2"/>
    </cacheField>
    <cacheField name="Max Height (mm)" numFmtId="0">
      <sharedItems containsSemiMixedTypes="0" containsString="0" containsNumber="1" minValue="3" maxValue="13.1" count="11">
        <n v="5"/>
        <n v="8"/>
        <n v="3"/>
        <n v="4"/>
        <n v="5.4"/>
        <n v="6"/>
        <n v="4.5"/>
        <n v="4.8"/>
        <n v="13.1"/>
        <n v="5.6"/>
        <n v="10.5"/>
      </sharedItems>
    </cacheField>
    <cacheField name="Area (mm2)" numFmtId="0">
      <sharedItems containsSemiMixedTypes="0" containsString="0" containsNumber="1" minValue="27.5" maxValue="268.3"/>
    </cacheField>
    <cacheField name="Size (mm)" numFmtId="0">
      <sharedItems count="15">
        <s v="10.9  x  10"/>
        <s v="12.6  x  13.2"/>
        <s v="5.5  x  5"/>
        <s v="6.5  x  6"/>
        <s v="6.4  x  6"/>
        <s v="8.4  x  8"/>
        <s v="10.7  x  10"/>
        <s v="8.5  x  8"/>
        <s v="12.6  x  13.1"/>
        <s v="7.5  x  7"/>
        <s v="7.4  x  7"/>
        <s v="14  x  14"/>
        <s v="15.6  x  17.2"/>
        <s v="7.9  x  7"/>
        <s v="6  x  6.4"/>
      </sharedItems>
    </cacheField>
    <cacheField name="Rough Size (mm)" numFmtId="0">
      <sharedItems count="8">
        <s v="10 x 10"/>
        <s v="12 x 12"/>
        <s v="_5 x 5"/>
        <s v="_6 x 6"/>
        <s v="_8 x 8"/>
        <s v="_7 x 7"/>
        <s v="14 x 14"/>
        <s v="15 x 15"/>
      </sharedItems>
    </cacheField>
    <cacheField name="Max Height Range (mm)" numFmtId="0">
      <sharedItems count="7">
        <s v="≤ 5"/>
        <s v="≤ 8"/>
        <s v="≤ 3"/>
        <s v="≤ 4"/>
        <s v="≤ 6"/>
        <s v="≤14"/>
        <s v="≤11"/>
      </sharedItems>
    </cacheField>
    <cacheField name="Min Temp (deg.C)" numFmtId="0">
      <sharedItems containsSemiMixedTypes="0" containsString="0" containsNumber="1" containsInteger="1" minValue="-55" maxValue="-40"/>
    </cacheField>
    <cacheField name="Max Temp (deg.C)" numFmtId="0">
      <sharedItems containsSemiMixedTypes="0" containsString="0" containsNumber="1" containsInteger="1" minValue="150" maxValue="160" count="3">
        <n v="150"/>
        <n v="160"/>
        <n v="155"/>
      </sharedItems>
    </cacheField>
    <cacheField name="Temp Range (deg.C)" numFmtId="0">
      <sharedItems count="4">
        <s v="-40 to +150"/>
        <s v="-40 to +160"/>
        <s v="-55 to +155"/>
        <s v="-55 to +150"/>
      </sharedItems>
    </cacheField>
    <cacheField name="Max Voltage (V)" numFmtId="0">
      <sharedItems containsNonDate="0" containsString="0" containsBlank="1"/>
    </cacheField>
    <cacheField name="Vibration" numFmtId="0">
      <sharedItems containsNonDate="0" containsString="0" containsBlank="1"/>
    </cacheField>
    <cacheField name="MPQ" numFmtId="0">
      <sharedItems containsBlank="1"/>
    </cacheField>
    <cacheField name="L1 (uH)" numFmtId="0">
      <sharedItems containsBlank="1" count="2">
        <s v="-"/>
        <m u="1"/>
      </sharedItems>
    </cacheField>
    <cacheField name="Rough L1 (uH)" numFmtId="0">
      <sharedItems/>
    </cacheField>
    <cacheField name="L1 Tol. (%)" numFmtId="0">
      <sharedItems containsBlank="1" count="2">
        <s v="-"/>
        <m u="1"/>
      </sharedItems>
    </cacheField>
    <cacheField name="Ir (A)" numFmtId="0">
      <sharedItems containsBlank="1" count="2">
        <s v="-"/>
        <m u="1"/>
      </sharedItems>
    </cacheField>
    <cacheField name="URL" numFmtId="0">
      <sharedItems count="287">
        <s v="https://industrial.panasonic.com/ww/products/pt/automotive-inductors/models/ETQP5MR33YLC"/>
        <s v="https://industrial.panasonic.com/ww/products/pt/automotive-inductors/models/ETQP8MR33JFA"/>
        <s v="https://industrial.panasonic.com/ww/products/pt/automotive-inductors/models/ETQP3MR33KVP"/>
        <s v="https://industrial.panasonic.com/ww/products/pt/automotive-inductors/models/ETQP3MR47KVP"/>
        <s v="https://industrial.panasonic.com/ww/products/pt/automotive-inductors/models/ETQP4MR47KLC"/>
        <s v="https://industrial.panasonic.com/ww/products/pt/automotive-inductors/models/ETQP3MR68YFN"/>
        <s v="https://industrial.panasonic.com/ww/products/pt/automotive-inductors/models/ETQP5MR68YLC"/>
        <s v="https://industrial.panasonic.com/ww/products/pt/automotive-inductors/models/ETQP8MR68JFA"/>
        <s v="https://industrial.panasonic.com/ww/products/pt/automotive-inductors/models/ETQP3MR68KVP"/>
        <s v="https://industrial.panasonic.com/ww/products/pt/automotive-inductors/models/ETQP3MR68KVN"/>
        <s v="https://industrial.panasonic.com/ww/products/pt/automotive-inductors/models/ETQP4MR68KVK"/>
        <s v="https://industrial.panasonic.com/ww/products/pt/automotive-inductors/models/ETQP5MR68YSC"/>
        <s v="https://industrial.panasonic.com/ww/products/pt/automotive-inductors/models/ETQP3M1R0YFN"/>
        <s v="https://industrial.panasonic.com/ww/products/pt/automotive-inductors/models/ETQP5M1R0YLC"/>
        <s v="https://industrial.panasonic.com/ww/products/pt/automotive-inductors/models/ETQP8M1R0JFA"/>
        <s v="https://industrial.panasonic.com/ww/products/pt/automotive-inductors/models/ETQP3M1R0KVP"/>
        <s v="https://industrial.panasonic.com/ww/products/pt/automotive-inductors/models/ETQP3M1R0KVN"/>
        <s v="https://industrial.panasonic.com/ww/products/pt/automotive-inductors/models/ETQP4M1R0KVK"/>
        <s v="https://industrial.panasonic.com/ww/products/pt/automotive-inductors/models/ETQP4M1R0KVC"/>
        <s v="https://industrial.panasonic.com/ww/products/pt/automotive-inductors/models/ETQP5M1R5YFC"/>
        <s v="https://industrial.panasonic.com/ww/products/pt/automotive-inductors/models/ETQP6M1R5YLC"/>
        <s v="https://industrial.panasonic.com/ww/products/pt/automotive-inductors/models/ETQP8M1R5JFA"/>
        <s v="https://industrial.panasonic.com/ww/products/pt/automotive-inductors/models/ETQP3M1R5KVP"/>
        <s v="https://industrial.panasonic.com/ww/products/pt/automotive-inductors/models/ETQP3M1R5KVN"/>
        <s v="https://industrial.panasonic.com/ww/products/pt/automotive-inductors/models/ETQP4M1R5KVK"/>
        <s v="https://industrial.panasonic.com/ww/products/pt/automotive-inductors/models/ETQP4M1R5KVC"/>
        <s v="https://industrial.panasonic.com/ww/products/pt/automotive-inductors/models/ETQP5M2R0YSC"/>
        <s v="https://industrial.panasonic.com/ww/products/pt/automotive-inductors/models/ETQP5M2R0YLC"/>
        <s v="https://industrial.panasonic.com/ww/products/pt/automotive-inductors/models/ETQP3M2R2YFP"/>
        <s v="https://industrial.panasonic.com/ww/products/pt/automotive-inductors/models/ETQP3M2R2KVP"/>
        <s v="https://industrial.panasonic.com/ww/products/pt/automotive-inductors/models/ETQP3M2R2KVN"/>
        <s v="https://industrial.panasonic.com/ww/products/pt/automotive-inductors/models/ETQP4M2R2KVK"/>
        <s v="https://industrial.panasonic.com/ww/products/pt/automotive-inductors/models/ETQP4M2R2KVC"/>
        <s v="https://industrial.panasonic.com/ww/products/pt/automotive-inductors/models/ETQP3M2R2HFP"/>
        <s v="https://industrial.panasonic.com/ww/products/pt/automotive-inductors/models/ETQP4M2R2YFN"/>
        <s v="https://industrial.panasonic.com/ww/products/pt/automotive-inductors/models/ETQP5M2R5YSK"/>
        <s v="https://industrial.panasonic.com/ww/products/pt/automotive-inductors/models/ETQP5M2R5YFC"/>
        <s v="https://industrial.panasonic.com/ww/products/pt/automotive-inductors/models/ETQP5M2R5YFK"/>
        <s v="https://industrial.panasonic.com/ww/products/pt/automotive-inductors/models/ETQP6M2R5YLC"/>
        <s v="https://industrial.panasonic.com/ww/products/pt/automotive-inductors/models/ETQP8M2R5JFA"/>
        <s v="https://industrial.panasonic.com/ww/products/pt/automotive-inductors/models/ETQP4M3R3YFN"/>
        <s v="https://industrial.panasonic.com/ww/products/pt/automotive-inductors/models/ETQP3M3R3YFP"/>
        <s v="https://industrial.panasonic.com/ww/products/pt/automotive-inductors/models/ETQP5M3R3YFC"/>
        <s v="https://industrial.panasonic.com/ww/products/pt/automotive-inductors/models/ETQP6M3R3YLC"/>
        <s v="https://industrial.panasonic.com/ww/products/pt/automotive-inductors/models/ETQP8M3R3JFA"/>
        <s v="https://industrial.panasonic.com/ww/products/pt/automotive-inductors/models/ETQP3M3R3KVP"/>
        <s v="https://industrial.panasonic.com/ww/products/pt/automotive-inductors/models/ETQP3M3R3KVN"/>
        <s v="https://industrial.panasonic.com/ww/products/pt/automotive-inductors/models/ETQP4M3R3KVK"/>
        <s v="https://industrial.panasonic.com/ww/products/pt/automotive-inductors/models/ETQP4M3R3KVC"/>
        <s v="https://industrial.panasonic.com/ww/products/pt/automotive-inductors/models/ETQP4M3R3KFN"/>
        <s v="https://industrial.panasonic.com/ww/products/pt/automotive-inductors/models/ETQP5M3R3YFM"/>
        <s v="https://industrial.panasonic.com/ww/products/pt/automotive-inductors/models/ETQP5M3R3YFK"/>
        <s v="https://industrial.panasonic.com/ww/products/pt/automotive-inductors/models/ETQP5M3R3YGC"/>
        <s v="https://industrial.panasonic.com/ww/products/pt/automotive-inductors/models/ETQP4M4R7YFP"/>
        <s v="https://industrial.panasonic.com/ww/products/pt/automotive-inductors/models/ETQP5M4R7YFC"/>
        <s v="https://industrial.panasonic.com/ww/products/pt/automotive-inductors/models/ETQP5M4R7YFM"/>
        <s v="https://industrial.panasonic.com/ww/products/pt/automotive-inductors/models/ETQP6M4R7YLC"/>
        <s v="https://industrial.panasonic.com/ww/products/pt/automotive-inductors/models/ETQP8M4R7JFA"/>
        <s v="https://industrial.panasonic.com/ww/products/pt/automotive-inductors/models/ETQP3M4R7KVP"/>
        <s v="https://industrial.panasonic.com/ww/products/pt/automotive-inductors/models/ETQP3M4R7KVN"/>
        <s v="https://industrial.panasonic.com/ww/products/pt/automotive-inductors/models/ETQP4M4R7KVK"/>
        <s v="https://industrial.panasonic.com/ww/products/pt/automotive-inductors/models/ETQP4M4R7KVC"/>
        <s v="https://industrial.panasonic.com/ww/products/pt/automotive-inductors/models/ETQP4M4R7KFN"/>
        <s v="https://industrial.panasonic.com/ww/products/pt/automotive-inductors/models/ETQP4M4R7KFM"/>
        <s v="https://industrial.panasonic.com/ww/products/pt/automotive-inductors/models/ETQP4M6R8YFN"/>
        <s v="https://industrial.panasonic.com/ww/products/pt/automotive-inductors/models/ETQP5M6R8YFM"/>
        <s v="https://industrial.panasonic.com/ww/products/pt/automotive-inductors/models/ETQP3M6R8KVP"/>
        <s v="https://industrial.panasonic.com/ww/products/pt/automotive-inductors/models/ETQP3M6R8KVN"/>
        <s v="https://industrial.panasonic.com/ww/products/pt/automotive-inductors/models/ETQP4M6R8KVK"/>
        <s v="https://industrial.panasonic.com/ww/products/pt/automotive-inductors/models/ETQP4M6R8KVC"/>
        <s v="https://industrial.panasonic.com/ww/products/pt/automotive-inductors/models/ETQP4M6R8KFN"/>
        <s v="https://industrial.panasonic.com/ww/products/pt/automotive-inductors/models/ETQP4M100YFN"/>
        <s v="https://industrial.panasonic.com/ww/products/pt/automotive-inductors/models/ETQP5M100YFC"/>
        <s v="https://industrial.panasonic.com/ww/products/pt/automotive-inductors/models/ETQP5M100YFK"/>
        <s v="https://industrial.panasonic.com/ww/products/pt/automotive-inductors/models/ETQP5M100YFM"/>
        <s v="https://industrial.panasonic.com/ww/products/pt/automotive-inductors/models/ETQP3M100KVP"/>
        <s v="https://industrial.panasonic.com/ww/products/pt/automotive-inductors/models/ETQP3M100KVN"/>
        <s v="https://industrial.panasonic.com/ww/products/pt/automotive-inductors/models/ETQP4M100KVK"/>
        <s v="https://industrial.panasonic.com/ww/products/pt/automotive-inductors/models/ETQP4M100KVC"/>
        <s v="https://industrial.panasonic.com/ww/products/pt/automotive-inductors/models/ETQP3M100HFN"/>
        <s v="https://industrial.panasonic.com/ww/products/pt/automotive-inductors/models/ETQP4M100KFN"/>
        <s v="https://industrial.panasonic.com/ww/products/pt/automotive-inductors/models/ETQP4M100KFM"/>
        <s v="https://industrial.panasonic.com/ww/products/pt/automotive-inductors/models/ETQP5M100GAK"/>
        <s v="https://industrial.panasonic.com/ww/products/pt/automotive-inductors/models/ETQP6M150KLC"/>
        <s v="https://industrial.panasonic.com/ww/products/pt/automotive-inductors/models/ETQP5M150YFC"/>
        <s v="https://industrial.panasonic.com/ww/products/pt/automotive-inductors/models/ETQP5M150YFK"/>
        <s v="https://industrial.panasonic.com/ww/products/pt/automotive-inductors/models/ETQP3M150KVN"/>
        <s v="https://industrial.panasonic.com/ww/products/pt/automotive-inductors/models/ETQP4M150KVK"/>
        <s v="https://industrial.panasonic.com/ww/products/pt/automotive-inductors/models/ETQP4M150KVC"/>
        <s v="https://industrial.panasonic.com/ww/products/pt/automotive-inductors/models/ETQP4M150KFN"/>
        <s v="https://industrial.panasonic.com/ww/products/pt/automotive-inductors/models/ETQP4M150KFM"/>
        <s v="https://industrial.panasonic.com/ww/products/pt/automotive-inductors/models/ETQP4M220YFN"/>
        <s v="https://industrial.panasonic.com/ww/products/pt/automotive-inductors/models/ETQP4M220YFP"/>
        <s v="https://industrial.panasonic.com/ww/products/pt/automotive-inductors/models/ETQP5M220YFC"/>
        <s v="https://industrial.panasonic.com/ww/products/pt/automotive-inductors/models/ETQP5M220YFK"/>
        <s v="https://industrial.panasonic.com/ww/products/pt/automotive-inductors/models/ETQP5M220YFM"/>
        <s v="https://industrial.panasonic.com/ww/products/pt/automotive-inductors/models/ETQP3M220KVN"/>
        <s v="https://industrial.panasonic.com/ww/products/pt/automotive-inductors/models/ETQP4M220KVK"/>
        <s v="https://industrial.panasonic.com/ww/products/pt/automotive-inductors/models/ETQP4M220KVC"/>
        <s v="https://industrial.panasonic.com/ww/products/pt/automotive-inductors/models/ETQP3M220HFN"/>
        <s v="https://industrial.panasonic.com/ww/products/pt/automotive-inductors/models/ETQP4M220KFM"/>
        <s v="https://industrial.panasonic.com/ww/products/pt/automotive-inductors/models/ETQP4M220KFN"/>
        <s v="https://industrial.panasonic.com/ww/products/pt/automotive-inductors/models/ETQP4M330YFN"/>
        <s v="https://industrial.panasonic.com/ww/products/pt/automotive-inductors/models/ETQP5M330YFC"/>
        <s v="https://industrial.panasonic.com/ww/products/pt/automotive-inductors/models/ETQP5M330YFM"/>
        <s v="https://industrial.panasonic.com/ww/products/pt/automotive-inductors/models/ETQP3M330KVN"/>
        <s v="https://industrial.panasonic.com/ww/products/pt/automotive-inductors/models/ETQP4M330KVK"/>
        <s v="https://industrial.panasonic.com/ww/products/pt/automotive-inductors/models/ETQP4M330KVC"/>
        <s v="https://industrial.panasonic.com/ww/products/pt/automotive-inductors/models/ETQP4M330KFM"/>
        <s v="https://industrial.panasonic.com/ww/products/pt/automotive-inductors/models/ETQPDH240DTV"/>
        <s v="https://industrial.panasonic.com/ww/products/pt/automotive-inductors/models/ETQP4M470YFN"/>
        <s v="https://industrial.panasonic.com/ww/products/pt/automotive-inductors/models/ETQP5M470YFC"/>
        <s v="https://industrial.panasonic.com/ww/products/pt/automotive-inductors/models/ETQP4M470KVC"/>
        <s v="https://industrial.panasonic.com/ww/products/pt/automotive-inductors/models/ETQP4M470KFM"/>
        <s v="https://industrial.panasonic.com/ww/products/pt/automotive-inductors/models/ETQP5M470YFK"/>
        <s v="https://industrial.panasonic.com/ww/products/pt/automotive-inductors/models/ETQP5M470YFM"/>
        <s v="https://industrial.panasonic.com/ww/products/pt/automotive-inductors/models/ETQP5M680YFC"/>
        <s v="https://industrial.panasonic.com/ww/products/pt/automotive-inductors/models/ETQP5M680YFM"/>
        <s v="https://industrial.panasonic.com/ww/products/pt/automotive-inductors/models/ETQP4M680KVC"/>
        <s v="https://industrial.panasonic.com/ww/products/pt/automotive-inductors/models/ETQP5M820YGC"/>
        <s v="https://industrial.panasonic.com/ww/products/pt/automotive-inductors/models/ETQP5M101YGM"/>
        <s v="https://industrial.panasonic.com/ww/products/pt/automotive-inductors/models/ETQP5M101YGC"/>
        <s v="https://industrial.panasonic.com/ww/products/pt/automotive-inductors/models/ETQP5M101YGK"/>
        <s v="https://industrial.panasonic.com/ww/products/pt/automotive-inductors/models/ETQP4M101KVC"/>
        <s v="https://industrial.panasonic.com/ww/products/pt/automotive-inductors/models/ETQP5M220YSC"/>
        <s v="https://industrial.panasonic.com/ww/products/pt/automotive-inductors/models/ETQP5M470YSC"/>
        <s v="https://industrial.panasonic.com/ww/products/pt/automotive-inductors/models/ETQP6M2R5YSC"/>
        <s v="https://industrial.panasonic.com/ww/products/pt/automotive-inductors/models/ETQPAMR33JFW"/>
        <s v="https://industrial.panasonic.com/ww/products/pt/automotive-inductors/models/ETQPAMR68JFW"/>
        <s v="https://industrial.panasonic.com/ww/products/pt/automotive-inductors/models/ETQPAM1R0JFW"/>
        <s v="https://industrial.panasonic.com/ww/products/pt/automotive-inductors/models/ETQPAM1R5JFW"/>
        <s v="https://industrial.panasonic.com/ww/products/pt/automotive-inductors/models/ETQPAM2R5JFW"/>
        <s v="https://industrial.panasonic.com/ww/products/pt/automotive-inductors/models/ETQPAM3R3JFW"/>
        <s v="https://industrial.panasonic.com/ww/products/pt/automotive-inductors/models/ETQPAM4R7JFW"/>
        <s v="https://industrial.panasonic.com/ww/products/pt/automotive-inductors/models/ETQP3M220KVP"/>
        <s v="https://industrial.panasonic.com/ww/products/pt/automotive-inductors/models/ETQP5M2R5YTC"/>
        <s v="https://industrial.panasonic.com/ww/products/pt/automotive-inductors/models/ETQP5M3R3YTC"/>
        <s v="https://industrial.panasonic.com/ww/products/pt/automotive-inductors/models/ETQP3MR10KVP"/>
        <s v="https://industrial.panasonic.com/ww/products/pt/automotive-inductors/models/ETQP4MR47KFM"/>
        <s v="https://industrial.panasonic.com/ww/products/pt/automotive-inductors/models/ETQP4M100YFP"/>
        <s v="https://industrial.panasonic.com/ww/products/pt/automotive-inductors/models/ETQP3MR47KVN"/>
        <s v="https://industrial.panasonic.com/ww/products/pt/automotive-inductors/models/ETQP4M470KFN"/>
        <s v="https://industrial.panasonic.com/ww/products/pt/automotive-inductors/models/ETQP5M6R8GAK"/>
        <s v="https://industrial.panasonic.com/ww/products/pt/automotive-inductors/models/ETQP4MR33KLC"/>
        <s v="https://industrial.panasonic.com/ww/products/pt/automotive-inductors/models/ETQP6M100GAC"/>
        <s v="https://industrial.panasonic.com/ww/products/inductors/automotive-inductors/automotive-inductors/models/ETQP5MR33YLC" u="1"/>
        <s v="https://industrial.panasonic.com/ww/products/inductors/automotive-inductors/automotive-inductors/models/ETQP8MR33JFA" u="1"/>
        <s v="https://industrial.panasonic.com/ww/products/inductors/automotive-inductors/automotive-inductors/models/ETQP3MR33KVP" u="1"/>
        <s v="https://industrial.panasonic.com/ww/products/inductors/automotive-inductors/automotive-inductors/models/ETQP3MR47KVP" u="1"/>
        <s v="https://industrial.panasonic.com/ww/products/inductors/automotive-inductors/automotive-inductors/models/ETQP4MR47KLC" u="1"/>
        <s v="https://industrial.panasonic.com/ww/products/inductors/automotive-inductors/automotive-inductors/models/ETQP3MR68YFN" u="1"/>
        <s v="https://industrial.panasonic.com/ww/products/inductors/automotive-inductors/automotive-inductors/models/ETQP5MR68YLC" u="1"/>
        <s v="https://industrial.panasonic.com/ww/products/inductors/automotive-inductors/automotive-inductors/models/ETQP8MR68JFA" u="1"/>
        <s v="https://industrial.panasonic.com/ww/products/inductors/automotive-inductors/automotive-inductors/models/ETQP3MR68KVP" u="1"/>
        <s v="https://industrial.panasonic.com/ww/products/inductors/automotive-inductors/automotive-inductors/models/ETQP3MR68KVN" u="1"/>
        <s v="https://industrial.panasonic.com/ww/products/inductors/automotive-inductors/automotive-inductors/models/ETQP4MR68KVK" u="1"/>
        <s v="https://industrial.panasonic.com/ww/products/inductors/automotive-inductors/automotive-inductors/models/ETQP5MR68YSC" u="1"/>
        <s v="https://industrial.panasonic.com/ww/products/inductors/automotive-inductors/automotive-inductors/models/ETQP3M1R0YFN" u="1"/>
        <s v="https://industrial.panasonic.com/ww/products/inductors/automotive-inductors/automotive-inductors/models/ETQP5M1R0YLC" u="1"/>
        <s v="https://industrial.panasonic.com/ww/products/inductors/automotive-inductors/automotive-inductors/models/ETQP8M1R0JFA" u="1"/>
        <s v="https://industrial.panasonic.com/ww/products/inductors/automotive-inductors/automotive-inductors/models/ETQP3M1R0KVP" u="1"/>
        <s v="https://industrial.panasonic.com/ww/products/inductors/automotive-inductors/automotive-inductors/models/ETQP3M1R0KVN" u="1"/>
        <s v="https://industrial.panasonic.com/ww/products/inductors/automotive-inductors/automotive-inductors/models/ETQP4M1R0KVK" u="1"/>
        <s v="https://industrial.panasonic.com/ww/products/inductors/automotive-inductors/automotive-inductors/models/ETQP4M1R0KVC" u="1"/>
        <s v="https://industrial.panasonic.com/ww/products/inductors/automotive-inductors/automotive-inductors/models/ETQP5M1R5YFC" u="1"/>
        <s v="https://industrial.panasonic.com/ww/products/inductors/automotive-inductors/automotive-inductors/models/ETQP6M1R5YLC" u="1"/>
        <s v="https://industrial.panasonic.com/ww/products/inductors/automotive-inductors/automotive-inductors/models/ETQP8M1R5JFA" u="1"/>
        <s v="https://industrial.panasonic.com/ww/products/inductors/automotive-inductors/automotive-inductors/models/ETQP3M1R5KVP" u="1"/>
        <s v="https://industrial.panasonic.com/ww/products/inductors/automotive-inductors/automotive-inductors/models/ETQP3M1R5KVN" u="1"/>
        <s v="https://industrial.panasonic.com/ww/products/inductors/automotive-inductors/automotive-inductors/models/ETQP4M1R5KVK" u="1"/>
        <s v="https://industrial.panasonic.com/ww/products/inductors/automotive-inductors/automotive-inductors/models/ETQP4M1R5KVC" u="1"/>
        <s v="https://industrial.panasonic.com/ww/products/inductors/automotive-inductors/automotive-inductors/models/ETQP5M2R0YSC" u="1"/>
        <s v="https://industrial.panasonic.com/ww/products/inductors/automotive-inductors/automotive-inductors/models/ETQP5M2R0YLC" u="1"/>
        <s v="https://industrial.panasonic.com/ww/products/inductors/automotive-inductors/automotive-inductors/models/ETQP3M2R2YFP" u="1"/>
        <s v="https://industrial.panasonic.com/ww/products/inductors/automotive-inductors/automotive-inductors/models/ETQP3M2R2KVP" u="1"/>
        <s v="https://industrial.panasonic.com/ww/products/inductors/automotive-inductors/automotive-inductors/models/ETQP3M2R2KVN" u="1"/>
        <s v="https://industrial.panasonic.com/ww/products/inductors/automotive-inductors/automotive-inductors/models/ETQP4M2R2KVK" u="1"/>
        <s v="https://industrial.panasonic.com/ww/products/inductors/automotive-inductors/automotive-inductors/models/ETQP4M2R2KVC" u="1"/>
        <s v="https://industrial.panasonic.com/ww/products/inductors/automotive-inductors/automotive-inductors/models/ETQP3M2R2HFP" u="1"/>
        <s v="https://industrial.panasonic.com/ww/products/inductors/automotive-inductors/automotive-inductors/models/ETQP4M2R2YFN" u="1"/>
        <s v="https://industrial.panasonic.com/ww/products/inductors/automotive-inductors/automotive-inductors/models/ETQP5M2R5YSK" u="1"/>
        <s v="https://industrial.panasonic.com/ww/products/inductors/automotive-inductors/automotive-inductors/models/ETQP5M2R5YFC" u="1"/>
        <s v="https://industrial.panasonic.com/ww/products/inductors/automotive-inductors/automotive-inductors/models/ETQP5M2R5YFK" u="1"/>
        <s v="https://industrial.panasonic.com/ww/products/inductors/automotive-inductors/automotive-inductors/models/ETQP6M2R5YLC" u="1"/>
        <s v="https://industrial.panasonic.com/ww/products/inductors/automotive-inductors/automotive-inductors/models/ETQP8M2R5JFA" u="1"/>
        <s v="https://industrial.panasonic.com/ww/products/inductors/automotive-inductors/automotive-inductors/models/ETQP4M3R3YFN" u="1"/>
        <s v="https://industrial.panasonic.com/ww/products/inductors/automotive-inductors/automotive-inductors/models/ETQP3M3R3YFP" u="1"/>
        <s v="https://industrial.panasonic.com/ww/products/inductors/automotive-inductors/automotive-inductors/models/ETQP5M3R3YFC" u="1"/>
        <s v="https://industrial.panasonic.com/ww/products/inductors/automotive-inductors/automotive-inductors/models/ETQP6M3R3YLC" u="1"/>
        <s v="https://industrial.panasonic.com/ww/products/inductors/automotive-inductors/automotive-inductors/models/ETQP8M3R3JFA" u="1"/>
        <s v="https://industrial.panasonic.com/ww/products/inductors/automotive-inductors/automotive-inductors/models/ETQP3M3R3KVP" u="1"/>
        <s v="https://industrial.panasonic.com/ww/products/inductors/automotive-inductors/automotive-inductors/models/ETQP3M3R3KVN" u="1"/>
        <s v="https://industrial.panasonic.com/ww/products/inductors/automotive-inductors/automotive-inductors/models/ETQP4M3R3KVK" u="1"/>
        <s v="https://industrial.panasonic.com/ww/products/inductors/automotive-inductors/automotive-inductors/models/ETQP4M3R3KVC" u="1"/>
        <s v="https://industrial.panasonic.com/ww/products/inductors/automotive-inductors/automotive-inductors/models/ETQP4M3R3KFN" u="1"/>
        <s v="https://industrial.panasonic.com/ww/products/inductors/automotive-inductors/automotive-inductors/models/ETQP5M3R3YFM" u="1"/>
        <s v="https://industrial.panasonic.com/ww/products/inductors/automotive-inductors/automotive-inductors/models/ETQP5M3R3YFK" u="1"/>
        <s v="https://industrial.panasonic.com/ww/products/inductors/automotive-inductors/automotive-inductors/models/ETQP5M3R3YGC" u="1"/>
        <s v="https://industrial.panasonic.com/ww/products/inductors/automotive-inductors/automotive-inductors/models/ETQP4M4R7YFP" u="1"/>
        <s v="https://industrial.panasonic.com/ww/products/inductors/automotive-inductors/automotive-inductors/models/ETQP5M4R7YFC" u="1"/>
        <s v="https://industrial.panasonic.com/ww/products/inductors/automotive-inductors/automotive-inductors/models/ETQP5M4R7YFM" u="1"/>
        <s v="https://industrial.panasonic.com/ww/products/inductors/automotive-inductors/automotive-inductors/models/ETQP6M4R7YLC" u="1"/>
        <s v="https://industrial.panasonic.com/ww/products/inductors/automotive-inductors/automotive-inductors/models/ETQP8M4R7JFA" u="1"/>
        <s v="https://industrial.panasonic.com/ww/products/inductors/automotive-inductors/automotive-inductors/models/ETQP3M4R7KVP" u="1"/>
        <s v="https://industrial.panasonic.com/ww/products/inductors/automotive-inductors/automotive-inductors/models/ETQP3M4R7KVN" u="1"/>
        <s v="https://industrial.panasonic.com/ww/products/inductors/automotive-inductors/automotive-inductors/models/ETQP4M4R7KVK" u="1"/>
        <s v="https://industrial.panasonic.com/ww/products/inductors/automotive-inductors/automotive-inductors/models/ETQP4M4R7KVC" u="1"/>
        <s v="https://industrial.panasonic.com/ww/products/inductors/automotive-inductors/automotive-inductors/models/ETQP4M4R7KFN" u="1"/>
        <s v="https://industrial.panasonic.com/ww/products/inductors/automotive-inductors/automotive-inductors/models/ETQP4M4R7KFM" u="1"/>
        <s v="https://industrial.panasonic.com/ww/products/inductors/automotive-inductors/automotive-inductors/models/ETQP4M6R8YFN" u="1"/>
        <s v="https://industrial.panasonic.com/ww/products/inductors/automotive-inductors/automotive-inductors/models/ETQP5M6R8YFM" u="1"/>
        <s v="https://industrial.panasonic.com/ww/products/inductors/automotive-inductors/automotive-inductors/models/ETQP3M6R8KVP" u="1"/>
        <s v="https://industrial.panasonic.com/ww/products/inductors/automotive-inductors/automotive-inductors/models/ETQP3M6R8KVN" u="1"/>
        <s v="https://industrial.panasonic.com/ww/products/inductors/automotive-inductors/automotive-inductors/models/ETQP4M6R8KVK" u="1"/>
        <s v="https://industrial.panasonic.com/ww/products/inductors/automotive-inductors/automotive-inductors/models/ETQP4M6R8KVC" u="1"/>
        <s v="https://industrial.panasonic.com/ww/products/inductors/automotive-inductors/automotive-inductors/models/ETQP4M6R8KFN" u="1"/>
        <s v="https://industrial.panasonic.com/ww/products/inductors/automotive-inductors/automotive-inductors/models/ETQP4M100YFN" u="1"/>
        <s v="https://industrial.panasonic.com/ww/products/inductors/automotive-inductors/automotive-inductors/models/ETQP5M100YFC" u="1"/>
        <s v="https://industrial.panasonic.com/ww/products/inductors/automotive-inductors/automotive-inductors/models/ETQP5M100YFK" u="1"/>
        <s v="https://industrial.panasonic.com/ww/products/inductors/automotive-inductors/automotive-inductors/models/ETQP5M100YFM" u="1"/>
        <s v="https://industrial.panasonic.com/ww/products/inductors/automotive-inductors/automotive-inductors/models/ETQP3M100KVP" u="1"/>
        <s v="https://industrial.panasonic.com/ww/products/inductors/automotive-inductors/automotive-inductors/models/ETQP3M100KVN" u="1"/>
        <s v="https://industrial.panasonic.com/ww/products/inductors/automotive-inductors/automotive-inductors/models/ETQP4M100KVK" u="1"/>
        <s v="https://industrial.panasonic.com/ww/products/inductors/automotive-inductors/automotive-inductors/models/ETQP4M100KVC" u="1"/>
        <s v="https://industrial.panasonic.com/ww/products/inductors/automotive-inductors/automotive-inductors/models/ETQP3M100HFN" u="1"/>
        <s v="https://industrial.panasonic.com/ww/products/inductors/automotive-inductors/automotive-inductors/models/ETQP4M100KFN" u="1"/>
        <s v="https://industrial.panasonic.com/ww/products/inductors/automotive-inductors/automotive-inductors/models/ETQP4M100KFM" u="1"/>
        <s v="https://industrial.panasonic.com/ww/products/inductors/automotive-inductors/automotive-inductors/models/ETQP5M100GAK" u="1"/>
        <s v="https://industrial.panasonic.com/ww/products/inductors/automotive-inductors/automotive-inductors/models/ETQP6M150KLC" u="1"/>
        <s v="https://industrial.panasonic.com/ww/products/inductors/automotive-inductors/automotive-inductors/models/ETQP5M150YFC" u="1"/>
        <s v="https://industrial.panasonic.com/ww/products/inductors/automotive-inductors/automotive-inductors/models/ETQP5M150YFK" u="1"/>
        <s v="https://industrial.panasonic.com/ww/products/inductors/automotive-inductors/automotive-inductors/models/ETQP3M150KVN" u="1"/>
        <s v="https://industrial.panasonic.com/ww/products/inductors/automotive-inductors/automotive-inductors/models/ETQP4M150KVK" u="1"/>
        <s v="https://industrial.panasonic.com/ww/products/inductors/automotive-inductors/automotive-inductors/models/ETQP4M150KVC" u="1"/>
        <s v="https://industrial.panasonic.com/ww/products/inductors/automotive-inductors/automotive-inductors/models/ETQP4M150KFN" u="1"/>
        <s v="https://industrial.panasonic.com/ww/products/inductors/automotive-inductors/automotive-inductors/models/ETQP4M150KFM" u="1"/>
        <s v="https://industrial.panasonic.com/ww/products/inductors/automotive-inductors/automotive-inductors/models/ETQP4M220YFN" u="1"/>
        <s v="https://industrial.panasonic.com/ww/products/inductors/automotive-inductors/automotive-inductors/models/ETQP4M220YFP" u="1"/>
        <s v="https://industrial.panasonic.com/ww/products/inductors/automotive-inductors/automotive-inductors/models/ETQP5M220YFC" u="1"/>
        <s v="https://industrial.panasonic.com/ww/products/inductors/automotive-inductors/automotive-inductors/models/ETQP5M220YFK" u="1"/>
        <s v="https://industrial.panasonic.com/ww/products/inductors/automotive-inductors/automotive-inductors/models/ETQP5M220YFM" u="1"/>
        <s v="https://industrial.panasonic.com/ww/products/inductors/automotive-inductors/automotive-inductors/models/ETQP3M220KVN" u="1"/>
        <s v="https://industrial.panasonic.com/ww/products/inductors/automotive-inductors/automotive-inductors/models/ETQP4M220KVK" u="1"/>
        <s v="https://industrial.panasonic.com/ww/products/inductors/automotive-inductors/automotive-inductors/models/ETQP4M220KVC" u="1"/>
        <s v="https://industrial.panasonic.com/ww/products/inductors/automotive-inductors/automotive-inductors/models/ETQP3M220HFN" u="1"/>
        <s v="https://industrial.panasonic.com/ww/products/inductors/automotive-inductors/automotive-inductors/models/ETQP4M220KFM" u="1"/>
        <s v="https://industrial.panasonic.com/ww/products/inductors/automotive-inductors/automotive-inductors/models/ETQP4M220KFN" u="1"/>
        <s v="https://industrial.panasonic.com/ww/products/inductors/automotive-inductors/automotive-inductors/models/ETQP4M330YFN" u="1"/>
        <s v="https://industrial.panasonic.com/ww/products/inductors/automotive-inductors/automotive-inductors/models/ETQP5M330YFC" u="1"/>
        <s v="https://industrial.panasonic.com/ww/products/inductors/automotive-inductors/automotive-inductors/models/ETQP5M330YFM" u="1"/>
        <s v="https://industrial.panasonic.com/ww/products/inductors/automotive-inductors/automotive-inductors/models/ETQP3M330KVN" u="1"/>
        <s v="https://industrial.panasonic.com/ww/products/inductors/automotive-inductors/automotive-inductors/models/ETQP4M330KVK" u="1"/>
        <s v="https://industrial.panasonic.com/ww/products/inductors/automotive-inductors/automotive-inductors/models/ETQP4M330KVC" u="1"/>
        <s v="https://industrial.panasonic.com/ww/products/inductors/automotive-inductors/automotive-inductors/models/ETQP4M330KFM" u="1"/>
        <s v="https://industrial.panasonic.com/ww/products/inductors/automotive-inductors/automotive-inductors/models/ETQPDH240DTV" u="1"/>
        <s v="https://industrial.panasonic.com/ww/products/inductors/automotive-inductors/automotive-inductors/models/ETQP4M470YFN" u="1"/>
        <s v="https://industrial.panasonic.com/ww/products/inductors/automotive-inductors/automotive-inductors/models/ETQP5M470YFC" u="1"/>
        <s v="https://industrial.panasonic.com/ww/products/inductors/automotive-inductors/automotive-inductors/models/ETQP4M470KVC" u="1"/>
        <s v="https://industrial.panasonic.com/ww/products/inductors/automotive-inductors/automotive-inductors/models/ETQP4M470KFM" u="1"/>
        <s v="https://industrial.panasonic.com/ww/products/inductors/automotive-inductors/automotive-inductors/models/ETQP5M470YFK" u="1"/>
        <s v="https://industrial.panasonic.com/ww/products/inductors/automotive-inductors/automotive-inductors/models/ETQP5M470YFM" u="1"/>
        <s v="https://industrial.panasonic.com/ww/products/inductors/automotive-inductors/automotive-inductors/models/ETQP5M680YFC" u="1"/>
        <s v="https://industrial.panasonic.com/ww/products/inductors/automotive-inductors/automotive-inductors/models/ETQP5M680YFM" u="1"/>
        <s v="https://industrial.panasonic.com/ww/products/inductors/automotive-inductors/automotive-inductors/models/ETQP4M680KVC" u="1"/>
        <s v="https://industrial.panasonic.com/ww/products/inductors/automotive-inductors/automotive-inductors/models/ETQP5M820YGC" u="1"/>
        <s v="https://industrial.panasonic.com/ww/products/inductors/automotive-inductors/automotive-inductors/models/ETQP5M101YGM" u="1"/>
        <s v="https://industrial.panasonic.com/ww/products/inductors/automotive-inductors/automotive-inductors/models/ETQP5M101YGC" u="1"/>
        <s v="https://industrial.panasonic.com/ww/products/inductors/automotive-inductors/automotive-inductors/models/ETQP5M101YGK" u="1"/>
        <s v="https://industrial.panasonic.com/ww/products/inductors/automotive-inductors/automotive-inductors/models/ETQP4M101KVC" u="1"/>
        <s v="https://industrial.panasonic.com/ww/products/inductors/automotive-inductors/automotive-inductors/models/ETQP5M220YSC" u="1"/>
        <s v="https://industrial.panasonic.com/ww/products/inductors/automotive-inductors/automotive-inductors/models/ETQP5M470YSC" u="1"/>
        <s v="https://industrial.panasonic.com/ww/products/inductors/automotive-inductors/automotive-inductors/models/ETQP6M2R5YSC" u="1"/>
        <s v="https://industrial.panasonic.com/ww/products/inductors/automotive-inductors/automotive-inductors/models/ETQPAMR33JFW" u="1"/>
        <s v="https://industrial.panasonic.com/ww/products/inductors/automotive-inductors/automotive-inductors/models/ETQPAMR68JFW" u="1"/>
        <s v="https://industrial.panasonic.com/ww/products/inductors/automotive-inductors/automotive-inductors/models/ETQPAM1R0JFW" u="1"/>
        <s v="https://industrial.panasonic.com/ww/products/inductors/automotive-inductors/automotive-inductors/models/ETQPAM1R5JFW" u="1"/>
        <s v="https://industrial.panasonic.com/ww/products/inductors/automotive-inductors/automotive-inductors/models/ETQPAM2R5JFW" u="1"/>
        <s v="https://industrial.panasonic.com/ww/products/inductors/automotive-inductors/automotive-inductors/models/ETQPAM3R3JFW" u="1"/>
        <s v="https://industrial.panasonic.com/ww/products/inductors/automotive-inductors/automotive-inductors/models/ETQPAM4R7JFW" u="1"/>
        <s v="https://industrial.panasonic.com/ww/products/inductors/automotive-inductors/automotive-inductors/models/ETQP3M220KVP" u="1"/>
        <s v="https://industrial.panasonic.com/ww/products/inductors/automotive-inductors/automotive-inductors/models/ETQP5M2R5YTC" u="1"/>
        <s v="https://industrial.panasonic.com/ww/products/inductors/automotive-inductors/automotive-inductors/models/ETQP5M3R3YTC" u="1"/>
        <s v="https://industrial.panasonic.com/ww/products/inductors/automotive-inductors/automotive-inductors/models/ETQP3MR10KVP" u="1"/>
        <s v="https://industrial.panasonic.com/ww/products/inductors/automotive-inductors/automotive-inductors/models/ETQP4MR47KFM" u="1"/>
        <s v="https://industrial.panasonic.com/ww/products/inductors/automotive-inductors/automotive-inductors/models/ETQP4M100YFP" u="1"/>
        <s v="https://industrial.panasonic.com/ww/products/inductors/automotive-inductors/automotive-inductors/models/ETQP3MR47KVN" u="1"/>
        <s v="https://industrial.panasonic.com/ww/products/inductors/automotive-inductors/automotive-inductors/models/ETQP3M1R5YFN" u="1"/>
      </sharedItems>
    </cacheField>
    <cacheField name="Image URL" numFmtId="0">
      <sharedItems containsBlank="1"/>
    </cacheField>
    <cacheField name="add3" numFmtId="0">
      <sharedItems/>
    </cacheField>
    <cacheField name="add4" numFmtId="0">
      <sharedItems containsNonDate="0" containsString="0" containsBlank="1"/>
    </cacheField>
    <cacheField name="add5" numFmtId="0">
      <sharedItems containsNonDate="0" containsString="0" containsBlank="1"/>
    </cacheField>
  </cacheFields>
  <extLst>
    <ext xmlns:x14="http://schemas.microsoft.com/office/spreadsheetml/2009/9/main" uri="{725AE2AE-9491-48be-B2B4-4EB974FC3084}">
      <x14:pivotCacheDefinition pivotCacheId="11"/>
    </ext>
    <ext xmlns:xxpvi="http://schemas.microsoft.com/office/spreadsheetml/2022/pivotVersionInfo" uri="{9F748A41-CAEA-4470-BF7A-CE61E8FFA7F9}">
      <xxpvi:cacheVersionInfo>
        <xxpvi:lastRefreshFeature>RichData</xxpvi:lastRefreshFeature>
      </xxpvi:cacheVersionInfo>
    </ext>
    <ext xmlns:xprd="http://schemas.microsoft.com/office/spreadsheetml/2022/pivotRichData" uri="{2C874A73-7782-4A18-856F-96AC7E287872}">
      <xprd:richInfo pivotCacheGuid="{00000000-000A-0000-FFFF-FFFF1F000000}" pivotIgnoreInvalidCache="1" r:id="rId1"/>
    </ext>
  </extLst>
</pivotCacheDefinition>
</file>

<file path=xl/pivotCache/richPivot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0">
  <r>
    <n v="37"/>
    <s v="〇"/>
    <m/>
    <s v="OK"/>
    <m/>
    <x v="0"/>
    <x v="0"/>
    <s v="SMD"/>
    <s v="Metal Composite"/>
    <s v="PCC"/>
    <x v="0"/>
    <x v="0"/>
    <s v="PCC-M1050ML"/>
    <x v="0"/>
    <x v="0"/>
    <s v="R33"/>
    <x v="0"/>
    <s v="&lt;1"/>
    <x v="0"/>
    <x v="0"/>
    <x v="0"/>
    <x v="0"/>
    <n v="10"/>
    <x v="0"/>
    <x v="0"/>
    <x v="0"/>
    <x v="0"/>
    <n v="10.9"/>
    <n v="10"/>
    <x v="0"/>
    <n v="109"/>
    <x v="0"/>
    <x v="0"/>
    <x v="0"/>
    <n v="-40"/>
    <x v="0"/>
    <x v="0"/>
    <m/>
    <m/>
    <m/>
    <x v="0"/>
    <s v="-"/>
    <x v="0"/>
    <x v="0"/>
    <x v="0"/>
    <s v="https://industrial.panasonic.com/content/data/CC/pictures/lineup-Metal-core.gif"/>
    <s v="画像"/>
    <m/>
    <m/>
  </r>
  <r>
    <n v="45"/>
    <s v="〇"/>
    <s v="2023/3/10MP,  2022/5/27 UD扱いへ(誤記だったとのこと)。2022/1/12 MPカタログ扱いへ。2021/11/12カタログUD 扱い。2021/3/23追加。"/>
    <s v="OK"/>
    <m/>
    <x v="0"/>
    <x v="0"/>
    <s v="SMD"/>
    <s v="Metal Composite"/>
    <s v="PCC"/>
    <x v="1"/>
    <x v="1"/>
    <s v="PCC-M1280MF"/>
    <x v="0"/>
    <x v="1"/>
    <s v="R33"/>
    <x v="0"/>
    <s v="&lt;1"/>
    <x v="0"/>
    <x v="0"/>
    <x v="1"/>
    <x v="1"/>
    <n v="10"/>
    <x v="1"/>
    <x v="1"/>
    <x v="1"/>
    <x v="1"/>
    <n v="12.6"/>
    <n v="13.2"/>
    <x v="1"/>
    <n v="166.3"/>
    <x v="1"/>
    <x v="1"/>
    <x v="1"/>
    <n v="-40"/>
    <x v="1"/>
    <x v="1"/>
    <m/>
    <m/>
    <s v="15Gと聞いたがカタログは30G"/>
    <x v="0"/>
    <s v="-"/>
    <x v="0"/>
    <x v="0"/>
    <x v="1"/>
    <s v="https://industrial.panasonic.com/content/data/CC/pictures/lineup-Large%20current.gif"/>
    <s v="画像"/>
    <m/>
    <m/>
  </r>
  <r>
    <n v="106"/>
    <s v="〇"/>
    <m/>
    <s v="OK"/>
    <m/>
    <x v="0"/>
    <x v="0"/>
    <s v="SMD"/>
    <s v="Metal Composite"/>
    <s v="PCC"/>
    <x v="2"/>
    <x v="2"/>
    <s v="PCC-M0530M-LP"/>
    <x v="0"/>
    <x v="2"/>
    <s v="R33"/>
    <x v="0"/>
    <s v="&lt;1"/>
    <x v="0"/>
    <x v="0"/>
    <x v="2"/>
    <x v="2"/>
    <n v="10"/>
    <x v="2"/>
    <x v="2"/>
    <x v="2"/>
    <x v="2"/>
    <n v="5.5"/>
    <n v="5"/>
    <x v="2"/>
    <n v="27.5"/>
    <x v="2"/>
    <x v="2"/>
    <x v="2"/>
    <n v="-55"/>
    <x v="2"/>
    <x v="2"/>
    <m/>
    <m/>
    <m/>
    <x v="0"/>
    <s v="-"/>
    <x v="0"/>
    <x v="0"/>
    <x v="2"/>
    <s v="https://industrial.panasonic.com/content/data/CC/pictures/lineup-LP.gif"/>
    <s v="画像"/>
    <m/>
    <m/>
  </r>
  <r>
    <n v="116"/>
    <s v="〇"/>
    <d v="2022-04-26T00:00:00"/>
    <s v="OK"/>
    <m/>
    <x v="0"/>
    <x v="0"/>
    <s v="SMD"/>
    <s v="Metal Composite"/>
    <s v="PCC"/>
    <x v="2"/>
    <x v="2"/>
    <s v="PCC-M0530M-LP"/>
    <x v="0"/>
    <x v="3"/>
    <s v="R47"/>
    <x v="1"/>
    <s v="&lt;1"/>
    <x v="1"/>
    <x v="0"/>
    <x v="3"/>
    <x v="3"/>
    <n v="10"/>
    <x v="3"/>
    <x v="3"/>
    <x v="3"/>
    <x v="3"/>
    <n v="5.5"/>
    <n v="5"/>
    <x v="2"/>
    <n v="27.5"/>
    <x v="2"/>
    <x v="2"/>
    <x v="2"/>
    <n v="-55"/>
    <x v="2"/>
    <x v="2"/>
    <m/>
    <m/>
    <m/>
    <x v="0"/>
    <s v="-"/>
    <x v="0"/>
    <x v="0"/>
    <x v="3"/>
    <s v="https://industrial.panasonic.com/content/data/CC/pictures/lineup-LP.gif"/>
    <s v="画像"/>
    <m/>
    <m/>
  </r>
  <r>
    <n v="119"/>
    <s v="〇"/>
    <s v="2022/6/30カタログ追加"/>
    <s v="OK"/>
    <m/>
    <x v="0"/>
    <x v="0"/>
    <s v="SMD"/>
    <s v="Metal Composite"/>
    <s v="PCC"/>
    <x v="0"/>
    <x v="3"/>
    <s v="PCC-M1040ML"/>
    <x v="0"/>
    <x v="4"/>
    <s v="R47"/>
    <x v="1"/>
    <s v="&lt;1"/>
    <x v="1"/>
    <x v="0"/>
    <x v="4"/>
    <x v="4"/>
    <n v="10"/>
    <x v="4"/>
    <x v="4"/>
    <x v="4"/>
    <x v="4"/>
    <n v="10.9"/>
    <n v="10"/>
    <x v="3"/>
    <n v="109"/>
    <x v="0"/>
    <x v="0"/>
    <x v="3"/>
    <n v="-40"/>
    <x v="0"/>
    <x v="0"/>
    <m/>
    <m/>
    <m/>
    <x v="0"/>
    <s v="-"/>
    <x v="0"/>
    <x v="0"/>
    <x v="4"/>
    <s v="https://industrial.panasonic.com/content/data/CC/pictures/lineup-Metal-core.gif"/>
    <s v="画像"/>
    <m/>
    <m/>
  </r>
  <r>
    <n v="1"/>
    <s v="〇"/>
    <m/>
    <s v="OK"/>
    <m/>
    <x v="0"/>
    <x v="0"/>
    <s v="SMD"/>
    <s v="Metal Composite"/>
    <s v="PCC"/>
    <x v="0"/>
    <x v="4"/>
    <s v="PCC-M0630M"/>
    <x v="0"/>
    <x v="5"/>
    <s v="R68"/>
    <x v="2"/>
    <s v="&lt;1"/>
    <x v="2"/>
    <x v="0"/>
    <x v="5"/>
    <x v="5"/>
    <n v="10"/>
    <x v="5"/>
    <x v="5"/>
    <x v="5"/>
    <x v="5"/>
    <n v="6.5"/>
    <n v="6"/>
    <x v="2"/>
    <n v="39"/>
    <x v="3"/>
    <x v="3"/>
    <x v="2"/>
    <n v="-40"/>
    <x v="0"/>
    <x v="0"/>
    <m/>
    <m/>
    <m/>
    <x v="0"/>
    <s v="-"/>
    <x v="0"/>
    <x v="0"/>
    <x v="5"/>
    <s v="https://industrial.panasonic.com/content/data/CC/pictures/lineup-Metal-core.gif"/>
    <s v="画像"/>
    <m/>
    <m/>
  </r>
  <r>
    <n v="38"/>
    <s v="〇"/>
    <m/>
    <s v="OK"/>
    <m/>
    <x v="0"/>
    <x v="0"/>
    <s v="SMD"/>
    <s v="Metal Composite"/>
    <s v="PCC"/>
    <x v="0"/>
    <x v="0"/>
    <s v="PCC-M1050ML"/>
    <x v="0"/>
    <x v="6"/>
    <s v="R68"/>
    <x v="2"/>
    <s v="&lt;1"/>
    <x v="2"/>
    <x v="0"/>
    <x v="6"/>
    <x v="6"/>
    <n v="10"/>
    <x v="6"/>
    <x v="6"/>
    <x v="6"/>
    <x v="6"/>
    <n v="10.9"/>
    <n v="10"/>
    <x v="0"/>
    <n v="109"/>
    <x v="0"/>
    <x v="0"/>
    <x v="0"/>
    <n v="-40"/>
    <x v="0"/>
    <x v="0"/>
    <m/>
    <m/>
    <m/>
    <x v="0"/>
    <s v="-"/>
    <x v="0"/>
    <x v="0"/>
    <x v="6"/>
    <s v="https://industrial.panasonic.com/content/data/CC/pictures/lineup-Metal-core.gif"/>
    <s v="画像"/>
    <m/>
    <m/>
  </r>
  <r>
    <n v="46"/>
    <s v="〇"/>
    <m/>
    <s v="OK"/>
    <m/>
    <x v="0"/>
    <x v="0"/>
    <s v="SMD"/>
    <s v="Metal Composite"/>
    <s v="PCC"/>
    <x v="1"/>
    <x v="1"/>
    <s v="PCC-M1280MF"/>
    <x v="0"/>
    <x v="7"/>
    <s v="R68"/>
    <x v="2"/>
    <s v="&lt;1"/>
    <x v="2"/>
    <x v="0"/>
    <x v="0"/>
    <x v="0"/>
    <n v="10"/>
    <x v="7"/>
    <x v="7"/>
    <x v="7"/>
    <x v="7"/>
    <n v="12.6"/>
    <n v="13.2"/>
    <x v="1"/>
    <n v="166.3"/>
    <x v="1"/>
    <x v="1"/>
    <x v="1"/>
    <n v="-40"/>
    <x v="1"/>
    <x v="1"/>
    <m/>
    <m/>
    <s v="15Gと聞いたがカタログは30G"/>
    <x v="0"/>
    <s v="-"/>
    <x v="0"/>
    <x v="0"/>
    <x v="7"/>
    <s v="https://industrial.panasonic.com/content/data/CC/pictures/lineup-Large%20current.gif"/>
    <s v="画像"/>
    <m/>
    <m/>
  </r>
  <r>
    <n v="59"/>
    <s v="〇"/>
    <m/>
    <s v="OK"/>
    <m/>
    <x v="0"/>
    <x v="0"/>
    <s v="SMD"/>
    <s v="Metal Composite"/>
    <s v="PCC"/>
    <x v="2"/>
    <x v="2"/>
    <s v="PCC-M0530M-LP"/>
    <x v="0"/>
    <x v="8"/>
    <s v="R68"/>
    <x v="2"/>
    <s v="&lt;1"/>
    <x v="2"/>
    <x v="0"/>
    <x v="7"/>
    <x v="7"/>
    <n v="10"/>
    <x v="8"/>
    <x v="8"/>
    <x v="8"/>
    <x v="8"/>
    <n v="5.5"/>
    <n v="5"/>
    <x v="2"/>
    <n v="27.5"/>
    <x v="2"/>
    <x v="2"/>
    <x v="2"/>
    <n v="-55"/>
    <x v="2"/>
    <x v="2"/>
    <m/>
    <m/>
    <m/>
    <x v="0"/>
    <s v="-"/>
    <x v="0"/>
    <x v="0"/>
    <x v="8"/>
    <s v="https://industrial.panasonic.com/content/data/CC/pictures/lineup-LP.gif"/>
    <s v="画像"/>
    <m/>
    <m/>
  </r>
  <r>
    <n v="70"/>
    <s v="〇"/>
    <m/>
    <s v="OK"/>
    <m/>
    <x v="0"/>
    <x v="0"/>
    <s v="SMD"/>
    <s v="Metal Composite"/>
    <s v="PCC"/>
    <x v="2"/>
    <x v="5"/>
    <s v="PCC-M0630M-LP"/>
    <x v="0"/>
    <x v="9"/>
    <s v="R68"/>
    <x v="2"/>
    <s v="&lt;1"/>
    <x v="2"/>
    <x v="0"/>
    <x v="8"/>
    <x v="8"/>
    <n v="10"/>
    <x v="9"/>
    <x v="9"/>
    <x v="9"/>
    <x v="9"/>
    <n v="6.4"/>
    <n v="6"/>
    <x v="2"/>
    <n v="38.4"/>
    <x v="4"/>
    <x v="3"/>
    <x v="2"/>
    <n v="-55"/>
    <x v="2"/>
    <x v="2"/>
    <m/>
    <m/>
    <m/>
    <x v="0"/>
    <s v="-"/>
    <x v="0"/>
    <x v="0"/>
    <x v="9"/>
    <s v="https://industrial.panasonic.com/content/data/CC/pictures/lineup-LP.gif"/>
    <s v="画像"/>
    <m/>
    <m/>
  </r>
  <r>
    <n v="81"/>
    <s v="〇"/>
    <m/>
    <s v="OK"/>
    <m/>
    <x v="0"/>
    <x v="0"/>
    <s v="SMD"/>
    <s v="Metal Composite"/>
    <s v="PCC"/>
    <x v="2"/>
    <x v="6"/>
    <s v="PCC-M0840M-LP"/>
    <x v="0"/>
    <x v="10"/>
    <s v="R68"/>
    <x v="2"/>
    <s v="&lt;1"/>
    <x v="2"/>
    <x v="0"/>
    <x v="9"/>
    <x v="9"/>
    <n v="10"/>
    <x v="10"/>
    <x v="10"/>
    <x v="10"/>
    <x v="10"/>
    <n v="8.4"/>
    <n v="8"/>
    <x v="3"/>
    <n v="67.2"/>
    <x v="5"/>
    <x v="4"/>
    <x v="3"/>
    <n v="-55"/>
    <x v="2"/>
    <x v="2"/>
    <m/>
    <m/>
    <m/>
    <x v="0"/>
    <s v="-"/>
    <x v="0"/>
    <x v="0"/>
    <x v="10"/>
    <s v="https://industrial.panasonic.com/content/data/CC/pictures/lineup-LP.gif"/>
    <s v="画像"/>
    <m/>
    <m/>
  </r>
  <r>
    <n v="96"/>
    <s v="〇"/>
    <m/>
    <s v="OK"/>
    <m/>
    <x v="0"/>
    <x v="0"/>
    <s v="SMD"/>
    <s v="Metal Composite"/>
    <s v="PCC"/>
    <x v="3"/>
    <x v="7"/>
    <s v="PCC-M1050MS"/>
    <x v="0"/>
    <x v="11"/>
    <s v="R68"/>
    <x v="2"/>
    <s v="&lt;1"/>
    <x v="2"/>
    <x v="0"/>
    <x v="10"/>
    <x v="10"/>
    <n v="10"/>
    <x v="11"/>
    <x v="11"/>
    <x v="6"/>
    <x v="11"/>
    <n v="10.9"/>
    <n v="10"/>
    <x v="0"/>
    <n v="109"/>
    <x v="0"/>
    <x v="0"/>
    <x v="0"/>
    <n v="-40"/>
    <x v="0"/>
    <x v="0"/>
    <m/>
    <m/>
    <m/>
    <x v="0"/>
    <s v="-"/>
    <x v="0"/>
    <x v="0"/>
    <x v="11"/>
    <s v="https://industrial.panasonic.com/content/data/CC/pictures/lineup-High%20Vibration%20Acceleration.gif"/>
    <s v="画像"/>
    <m/>
    <m/>
  </r>
  <r>
    <n v="2"/>
    <s v="〇"/>
    <m/>
    <s v="OK"/>
    <m/>
    <x v="0"/>
    <x v="0"/>
    <s v="SMD"/>
    <s v="Metal Composite"/>
    <s v="PCC"/>
    <x v="0"/>
    <x v="4"/>
    <s v="PCC-M0630M"/>
    <x v="0"/>
    <x v="12"/>
    <s v="1R0"/>
    <x v="3"/>
    <s v="&lt;10"/>
    <x v="3"/>
    <x v="0"/>
    <x v="11"/>
    <x v="11"/>
    <n v="10"/>
    <x v="12"/>
    <x v="12"/>
    <x v="11"/>
    <x v="12"/>
    <n v="6.5"/>
    <n v="6"/>
    <x v="2"/>
    <n v="39"/>
    <x v="3"/>
    <x v="3"/>
    <x v="2"/>
    <n v="-40"/>
    <x v="0"/>
    <x v="0"/>
    <m/>
    <m/>
    <m/>
    <x v="0"/>
    <s v="-"/>
    <x v="0"/>
    <x v="0"/>
    <x v="12"/>
    <s v="https://industrial.panasonic.com/content/data/CC/pictures/lineup-Metal-core.gif"/>
    <s v="画像"/>
    <m/>
    <m/>
  </r>
  <r>
    <n v="39"/>
    <s v="〇"/>
    <m/>
    <s v="OK"/>
    <m/>
    <x v="0"/>
    <x v="0"/>
    <s v="SMD"/>
    <s v="Metal Composite"/>
    <s v="PCC"/>
    <x v="0"/>
    <x v="0"/>
    <s v="PCC-M1050ML"/>
    <x v="0"/>
    <x v="13"/>
    <s v="1R0"/>
    <x v="3"/>
    <s v="&lt;10"/>
    <x v="3"/>
    <x v="0"/>
    <x v="12"/>
    <x v="12"/>
    <n v="10"/>
    <x v="13"/>
    <x v="13"/>
    <x v="12"/>
    <x v="13"/>
    <n v="10.9"/>
    <n v="10"/>
    <x v="0"/>
    <n v="109"/>
    <x v="0"/>
    <x v="0"/>
    <x v="0"/>
    <n v="-40"/>
    <x v="0"/>
    <x v="0"/>
    <m/>
    <m/>
    <m/>
    <x v="0"/>
    <s v="-"/>
    <x v="0"/>
    <x v="0"/>
    <x v="13"/>
    <s v="https://industrial.panasonic.com/content/data/CC/pictures/lineup-Metal-core.gif"/>
    <s v="画像"/>
    <m/>
    <m/>
  </r>
  <r>
    <n v="47"/>
    <s v="〇"/>
    <m/>
    <s v="OK"/>
    <m/>
    <x v="0"/>
    <x v="0"/>
    <s v="SMD"/>
    <s v="Metal Composite"/>
    <s v="PCC"/>
    <x v="1"/>
    <x v="1"/>
    <s v="PCC-M1280MF"/>
    <x v="0"/>
    <x v="14"/>
    <s v="1R0"/>
    <x v="3"/>
    <s v="&lt;10"/>
    <x v="3"/>
    <x v="0"/>
    <x v="13"/>
    <x v="13"/>
    <n v="10"/>
    <x v="14"/>
    <x v="14"/>
    <x v="13"/>
    <x v="14"/>
    <n v="12.6"/>
    <n v="13.2"/>
    <x v="1"/>
    <n v="166.3"/>
    <x v="1"/>
    <x v="1"/>
    <x v="1"/>
    <n v="-40"/>
    <x v="1"/>
    <x v="1"/>
    <m/>
    <m/>
    <s v="15Gと聞いたがカタログは30G"/>
    <x v="0"/>
    <s v="-"/>
    <x v="0"/>
    <x v="0"/>
    <x v="14"/>
    <s v="https://industrial.panasonic.com/content/data/CC/pictures/lineup-Large%20current.gif"/>
    <s v="画像"/>
    <m/>
    <m/>
  </r>
  <r>
    <n v="58"/>
    <s v="〇"/>
    <m/>
    <s v="OK"/>
    <m/>
    <x v="0"/>
    <x v="0"/>
    <s v="SMD"/>
    <s v="Metal Composite"/>
    <s v="PCC"/>
    <x v="2"/>
    <x v="2"/>
    <s v="PCC-M0530M-LP"/>
    <x v="0"/>
    <x v="15"/>
    <s v="1R0"/>
    <x v="3"/>
    <s v="&lt;10"/>
    <x v="3"/>
    <x v="0"/>
    <x v="14"/>
    <x v="14"/>
    <n v="10"/>
    <x v="15"/>
    <x v="15"/>
    <x v="14"/>
    <x v="8"/>
    <n v="5.5"/>
    <n v="5"/>
    <x v="2"/>
    <n v="27.5"/>
    <x v="2"/>
    <x v="2"/>
    <x v="2"/>
    <n v="-55"/>
    <x v="2"/>
    <x v="2"/>
    <m/>
    <m/>
    <m/>
    <x v="0"/>
    <s v="-"/>
    <x v="0"/>
    <x v="0"/>
    <x v="15"/>
    <s v="https://industrial.panasonic.com/content/data/CC/pictures/lineup-LP.gif"/>
    <s v="画像"/>
    <m/>
    <m/>
  </r>
  <r>
    <n v="69"/>
    <s v="〇"/>
    <m/>
    <s v="OK"/>
    <m/>
    <x v="0"/>
    <x v="0"/>
    <s v="SMD"/>
    <s v="Metal Composite"/>
    <s v="PCC"/>
    <x v="2"/>
    <x v="5"/>
    <s v="PCC-M0630M-LP"/>
    <x v="0"/>
    <x v="16"/>
    <s v="1R0"/>
    <x v="3"/>
    <s v="&lt;10"/>
    <x v="3"/>
    <x v="0"/>
    <x v="15"/>
    <x v="15"/>
    <n v="10"/>
    <x v="16"/>
    <x v="16"/>
    <x v="15"/>
    <x v="15"/>
    <n v="6.4"/>
    <n v="6"/>
    <x v="2"/>
    <n v="38.4"/>
    <x v="4"/>
    <x v="3"/>
    <x v="2"/>
    <n v="-55"/>
    <x v="2"/>
    <x v="2"/>
    <m/>
    <m/>
    <m/>
    <x v="0"/>
    <s v="-"/>
    <x v="0"/>
    <x v="0"/>
    <x v="16"/>
    <s v="https://industrial.panasonic.com/content/data/CC/pictures/lineup-LP.gif"/>
    <s v="画像"/>
    <m/>
    <m/>
  </r>
  <r>
    <n v="80"/>
    <s v="〇"/>
    <m/>
    <s v="OK"/>
    <m/>
    <x v="0"/>
    <x v="0"/>
    <s v="SMD"/>
    <s v="Metal Composite"/>
    <s v="PCC"/>
    <x v="2"/>
    <x v="6"/>
    <s v="PCC-M0840M-LP"/>
    <x v="0"/>
    <x v="17"/>
    <s v="1R0"/>
    <x v="3"/>
    <s v="&lt;10"/>
    <x v="3"/>
    <x v="0"/>
    <x v="16"/>
    <x v="16"/>
    <n v="10"/>
    <x v="17"/>
    <x v="17"/>
    <x v="16"/>
    <x v="16"/>
    <n v="8.4"/>
    <n v="8"/>
    <x v="3"/>
    <n v="67.2"/>
    <x v="5"/>
    <x v="4"/>
    <x v="3"/>
    <n v="-55"/>
    <x v="2"/>
    <x v="2"/>
    <m/>
    <m/>
    <m/>
    <x v="0"/>
    <s v="-"/>
    <x v="0"/>
    <x v="0"/>
    <x v="17"/>
    <s v="https://industrial.panasonic.com/content/data/CC/pictures/lineup-LP.gif"/>
    <s v="画像"/>
    <m/>
    <m/>
  </r>
  <r>
    <n v="92"/>
    <s v="〇"/>
    <m/>
    <s v="OK"/>
    <m/>
    <x v="0"/>
    <x v="0"/>
    <s v="SMD"/>
    <s v="Metal Composite"/>
    <s v="PCC"/>
    <x v="2"/>
    <x v="8"/>
    <s v="PCC-M1040M-LP"/>
    <x v="0"/>
    <x v="18"/>
    <s v="1R0"/>
    <x v="3"/>
    <s v="&lt;10"/>
    <x v="3"/>
    <x v="0"/>
    <x v="17"/>
    <x v="17"/>
    <n v="10"/>
    <x v="18"/>
    <x v="18"/>
    <x v="17"/>
    <x v="17"/>
    <n v="10.7"/>
    <n v="10"/>
    <x v="3"/>
    <n v="107"/>
    <x v="6"/>
    <x v="0"/>
    <x v="3"/>
    <n v="-55"/>
    <x v="2"/>
    <x v="2"/>
    <m/>
    <m/>
    <m/>
    <x v="0"/>
    <s v="-"/>
    <x v="0"/>
    <x v="0"/>
    <x v="18"/>
    <s v="https://industrial.panasonic.com/content/data/CC/pictures/lineup-LP.gif"/>
    <s v="画像"/>
    <m/>
    <m/>
  </r>
  <r>
    <n v="13"/>
    <s v="〇"/>
    <m/>
    <s v="OK"/>
    <m/>
    <x v="0"/>
    <x v="0"/>
    <s v="SMD"/>
    <s v="Metal Composite"/>
    <s v="PCC"/>
    <x v="0"/>
    <x v="9"/>
    <s v="PCC-M1054M"/>
    <x v="0"/>
    <x v="19"/>
    <s v="1R5"/>
    <x v="4"/>
    <s v="&lt;10"/>
    <x v="4"/>
    <x v="0"/>
    <x v="18"/>
    <x v="18"/>
    <n v="10"/>
    <x v="19"/>
    <x v="19"/>
    <x v="18"/>
    <x v="18"/>
    <n v="10.7"/>
    <n v="10"/>
    <x v="4"/>
    <n v="107"/>
    <x v="6"/>
    <x v="0"/>
    <x v="4"/>
    <n v="-40"/>
    <x v="0"/>
    <x v="0"/>
    <m/>
    <m/>
    <m/>
    <x v="0"/>
    <s v="-"/>
    <x v="0"/>
    <x v="0"/>
    <x v="19"/>
    <s v="https://industrial.panasonic.com/content/data/CC/pictures/lineup-Metal-core.gif"/>
    <s v="画像"/>
    <m/>
    <m/>
  </r>
  <r>
    <n v="41"/>
    <s v="〇"/>
    <m/>
    <s v="OK"/>
    <m/>
    <x v="0"/>
    <x v="0"/>
    <s v="SMD"/>
    <s v="Metal Composite"/>
    <s v="PCC"/>
    <x v="0"/>
    <x v="10"/>
    <s v="PCC-M1060ML"/>
    <x v="0"/>
    <x v="20"/>
    <s v="1R5"/>
    <x v="4"/>
    <s v="&lt;10"/>
    <x v="4"/>
    <x v="0"/>
    <x v="19"/>
    <x v="19"/>
    <n v="10"/>
    <x v="20"/>
    <x v="20"/>
    <x v="19"/>
    <x v="19"/>
    <n v="10.9"/>
    <n v="10"/>
    <x v="5"/>
    <n v="109"/>
    <x v="0"/>
    <x v="0"/>
    <x v="4"/>
    <n v="-40"/>
    <x v="0"/>
    <x v="0"/>
    <m/>
    <m/>
    <m/>
    <x v="0"/>
    <s v="-"/>
    <x v="0"/>
    <x v="0"/>
    <x v="20"/>
    <s v="https://industrial.panasonic.com/content/data/CC/pictures/lineup-Metal-core.gif"/>
    <s v="画像"/>
    <m/>
    <m/>
  </r>
  <r>
    <n v="48"/>
    <s v="〇"/>
    <m/>
    <s v="OK"/>
    <m/>
    <x v="0"/>
    <x v="0"/>
    <s v="SMD"/>
    <s v="Metal Composite"/>
    <s v="PCC"/>
    <x v="1"/>
    <x v="1"/>
    <s v="PCC-M1280MF"/>
    <x v="0"/>
    <x v="21"/>
    <s v="1R5"/>
    <x v="4"/>
    <s v="&lt;10"/>
    <x v="4"/>
    <x v="0"/>
    <x v="20"/>
    <x v="20"/>
    <n v="10"/>
    <x v="21"/>
    <x v="21"/>
    <x v="20"/>
    <x v="20"/>
    <n v="12.6"/>
    <n v="13.2"/>
    <x v="1"/>
    <n v="166.3"/>
    <x v="1"/>
    <x v="1"/>
    <x v="1"/>
    <n v="-40"/>
    <x v="1"/>
    <x v="1"/>
    <m/>
    <m/>
    <s v="15Gと聞いたがカタログは30G"/>
    <x v="0"/>
    <s v="-"/>
    <x v="0"/>
    <x v="0"/>
    <x v="21"/>
    <s v="https://industrial.panasonic.com/content/data/CC/pictures/lineup-Large%20current.gif"/>
    <s v="画像"/>
    <m/>
    <m/>
  </r>
  <r>
    <n v="57"/>
    <s v="〇"/>
    <m/>
    <s v="OK"/>
    <m/>
    <x v="0"/>
    <x v="0"/>
    <s v="SMD"/>
    <s v="Metal Composite"/>
    <s v="PCC"/>
    <x v="2"/>
    <x v="2"/>
    <s v="PCC-M0530M-LP"/>
    <x v="0"/>
    <x v="22"/>
    <s v="1R5"/>
    <x v="4"/>
    <s v="&lt;10"/>
    <x v="4"/>
    <x v="0"/>
    <x v="21"/>
    <x v="21"/>
    <n v="10"/>
    <x v="22"/>
    <x v="22"/>
    <x v="21"/>
    <x v="21"/>
    <n v="5.5"/>
    <n v="5"/>
    <x v="2"/>
    <n v="27.5"/>
    <x v="2"/>
    <x v="2"/>
    <x v="2"/>
    <n v="-55"/>
    <x v="2"/>
    <x v="2"/>
    <m/>
    <m/>
    <m/>
    <x v="0"/>
    <s v="-"/>
    <x v="0"/>
    <x v="0"/>
    <x v="22"/>
    <s v="https://industrial.panasonic.com/content/data/CC/pictures/lineup-LP.gif"/>
    <s v="画像"/>
    <m/>
    <m/>
  </r>
  <r>
    <n v="68"/>
    <s v="〇"/>
    <m/>
    <s v="OK"/>
    <m/>
    <x v="0"/>
    <x v="0"/>
    <s v="SMD"/>
    <s v="Metal Composite"/>
    <s v="PCC"/>
    <x v="2"/>
    <x v="5"/>
    <s v="PCC-M0630M-LP"/>
    <x v="0"/>
    <x v="23"/>
    <s v="1R5"/>
    <x v="4"/>
    <s v="&lt;10"/>
    <x v="4"/>
    <x v="0"/>
    <x v="22"/>
    <x v="22"/>
    <n v="10"/>
    <x v="23"/>
    <x v="23"/>
    <x v="22"/>
    <x v="22"/>
    <n v="6.4"/>
    <n v="6"/>
    <x v="2"/>
    <n v="38.4"/>
    <x v="4"/>
    <x v="3"/>
    <x v="2"/>
    <n v="-55"/>
    <x v="2"/>
    <x v="2"/>
    <m/>
    <m/>
    <m/>
    <x v="0"/>
    <s v="-"/>
    <x v="0"/>
    <x v="0"/>
    <x v="23"/>
    <s v="https://industrial.panasonic.com/content/data/CC/pictures/lineup-LP.gif"/>
    <s v="画像"/>
    <m/>
    <m/>
  </r>
  <r>
    <n v="79"/>
    <s v="〇"/>
    <m/>
    <s v="OK"/>
    <m/>
    <x v="0"/>
    <x v="0"/>
    <s v="SMD"/>
    <s v="Metal Composite"/>
    <s v="PCC"/>
    <x v="2"/>
    <x v="6"/>
    <s v="PCC-M0840M-LP"/>
    <x v="0"/>
    <x v="24"/>
    <s v="1R5"/>
    <x v="4"/>
    <s v="&lt;10"/>
    <x v="4"/>
    <x v="0"/>
    <x v="23"/>
    <x v="23"/>
    <n v="10"/>
    <x v="24"/>
    <x v="24"/>
    <x v="23"/>
    <x v="23"/>
    <n v="8.4"/>
    <n v="8"/>
    <x v="3"/>
    <n v="67.2"/>
    <x v="5"/>
    <x v="4"/>
    <x v="3"/>
    <n v="-55"/>
    <x v="2"/>
    <x v="2"/>
    <m/>
    <m/>
    <m/>
    <x v="0"/>
    <s v="-"/>
    <x v="0"/>
    <x v="0"/>
    <x v="24"/>
    <s v="https://industrial.panasonic.com/content/data/CC/pictures/lineup-LP.gif"/>
    <s v="画像"/>
    <m/>
    <m/>
  </r>
  <r>
    <n v="91"/>
    <s v="〇"/>
    <m/>
    <s v="OK"/>
    <m/>
    <x v="0"/>
    <x v="0"/>
    <s v="SMD"/>
    <s v="Metal Composite"/>
    <s v="PCC"/>
    <x v="2"/>
    <x v="8"/>
    <s v="PCC-M1040M-LP"/>
    <x v="0"/>
    <x v="25"/>
    <s v="1R5"/>
    <x v="4"/>
    <s v="&lt;10"/>
    <x v="4"/>
    <x v="0"/>
    <x v="23"/>
    <x v="23"/>
    <n v="10"/>
    <x v="25"/>
    <x v="25"/>
    <x v="24"/>
    <x v="24"/>
    <n v="10.7"/>
    <n v="10"/>
    <x v="3"/>
    <n v="107"/>
    <x v="6"/>
    <x v="0"/>
    <x v="3"/>
    <n v="-55"/>
    <x v="2"/>
    <x v="2"/>
    <m/>
    <m/>
    <m/>
    <x v="0"/>
    <s v="-"/>
    <x v="0"/>
    <x v="0"/>
    <x v="25"/>
    <s v="https://industrial.panasonic.com/content/data/CC/pictures/lineup-LP.gif"/>
    <s v="画像"/>
    <m/>
    <m/>
  </r>
  <r>
    <n v="113"/>
    <s v="〇"/>
    <s v="2021/11/12 カタログ追加。2021/3/23追加。"/>
    <s v="OK"/>
    <m/>
    <x v="0"/>
    <x v="0"/>
    <s v="SMD"/>
    <s v="Metal Composite"/>
    <s v="PCC"/>
    <x v="3"/>
    <x v="7"/>
    <s v="PCC-M1050MS"/>
    <x v="0"/>
    <x v="26"/>
    <s v="2R0"/>
    <x v="5"/>
    <s v="&lt;10"/>
    <x v="4"/>
    <x v="0"/>
    <x v="24"/>
    <x v="24"/>
    <n v="10"/>
    <x v="26"/>
    <x v="26"/>
    <x v="25"/>
    <x v="25"/>
    <n v="10.9"/>
    <n v="10"/>
    <x v="0"/>
    <n v="109"/>
    <x v="0"/>
    <x v="0"/>
    <x v="0"/>
    <n v="-40"/>
    <x v="0"/>
    <x v="0"/>
    <m/>
    <m/>
    <m/>
    <x v="0"/>
    <s v="-"/>
    <x v="0"/>
    <x v="0"/>
    <x v="26"/>
    <s v="https://industrial.panasonic.com/content/data/CC/pictures/lineup-Metal-core.gif"/>
    <s v="画像"/>
    <m/>
    <m/>
  </r>
  <r>
    <n v="40"/>
    <s v="〇"/>
    <m/>
    <s v="OK"/>
    <m/>
    <x v="0"/>
    <x v="0"/>
    <s v="SMD"/>
    <s v="Metal Composite"/>
    <s v="PCC"/>
    <x v="0"/>
    <x v="0"/>
    <s v="PCC-M1050ML"/>
    <x v="0"/>
    <x v="27"/>
    <s v="2R0"/>
    <x v="6"/>
    <s v="&lt;10"/>
    <x v="4"/>
    <x v="0"/>
    <x v="25"/>
    <x v="25"/>
    <n v="10"/>
    <x v="27"/>
    <x v="27"/>
    <x v="26"/>
    <x v="26"/>
    <n v="10.9"/>
    <n v="10"/>
    <x v="0"/>
    <n v="109"/>
    <x v="0"/>
    <x v="0"/>
    <x v="0"/>
    <n v="-40"/>
    <x v="0"/>
    <x v="0"/>
    <m/>
    <m/>
    <m/>
    <x v="0"/>
    <s v="-"/>
    <x v="0"/>
    <x v="0"/>
    <x v="27"/>
    <s v="https://industrial.panasonic.com/content/data/CC/pictures/lineup-Metal-core.gif"/>
    <s v="画像"/>
    <m/>
    <m/>
  </r>
  <r>
    <n v="9"/>
    <s v="〇"/>
    <m/>
    <s v="OK"/>
    <m/>
    <x v="0"/>
    <x v="0"/>
    <s v="SMD"/>
    <s v="Metal Composite"/>
    <s v="PCC"/>
    <x v="0"/>
    <x v="11"/>
    <s v="PCC-M0530M"/>
    <x v="0"/>
    <x v="28"/>
    <s v="2R2"/>
    <x v="7"/>
    <s v="&lt;10"/>
    <x v="5"/>
    <x v="0"/>
    <x v="26"/>
    <x v="26"/>
    <n v="10"/>
    <x v="28"/>
    <x v="28"/>
    <x v="27"/>
    <x v="27"/>
    <n v="5.5"/>
    <n v="5"/>
    <x v="2"/>
    <n v="27.5"/>
    <x v="2"/>
    <x v="2"/>
    <x v="2"/>
    <n v="-40"/>
    <x v="0"/>
    <x v="0"/>
    <m/>
    <m/>
    <m/>
    <x v="0"/>
    <s v="-"/>
    <x v="0"/>
    <x v="0"/>
    <x v="28"/>
    <s v="https://industrial.panasonic.com/content/data/CC/pictures/lineup-Metal-core.gif"/>
    <s v="画像"/>
    <m/>
    <m/>
  </r>
  <r>
    <n v="56"/>
    <s v="〇"/>
    <m/>
    <s v="OK"/>
    <m/>
    <x v="0"/>
    <x v="0"/>
    <s v="SMD"/>
    <s v="Metal Composite"/>
    <s v="PCC"/>
    <x v="2"/>
    <x v="2"/>
    <s v="PCC-M0530M-LP"/>
    <x v="0"/>
    <x v="29"/>
    <s v="2R2"/>
    <x v="7"/>
    <s v="&lt;10"/>
    <x v="5"/>
    <x v="0"/>
    <x v="27"/>
    <x v="27"/>
    <n v="10"/>
    <x v="29"/>
    <x v="29"/>
    <x v="28"/>
    <x v="28"/>
    <n v="5.5"/>
    <n v="5"/>
    <x v="2"/>
    <n v="27.5"/>
    <x v="2"/>
    <x v="2"/>
    <x v="2"/>
    <n v="-55"/>
    <x v="2"/>
    <x v="2"/>
    <m/>
    <m/>
    <m/>
    <x v="0"/>
    <s v="-"/>
    <x v="0"/>
    <x v="0"/>
    <x v="29"/>
    <s v="https://industrial.panasonic.com/content/data/CC/pictures/lineup-LP.gif"/>
    <s v="画像"/>
    <m/>
    <m/>
  </r>
  <r>
    <n v="67"/>
    <s v="〇"/>
    <m/>
    <s v="OK"/>
    <m/>
    <x v="0"/>
    <x v="0"/>
    <s v="SMD"/>
    <s v="Metal Composite"/>
    <s v="PCC"/>
    <x v="2"/>
    <x v="5"/>
    <s v="PCC-M0630M-LP"/>
    <x v="0"/>
    <x v="30"/>
    <s v="2R2"/>
    <x v="7"/>
    <s v="&lt;10"/>
    <x v="5"/>
    <x v="0"/>
    <x v="28"/>
    <x v="28"/>
    <n v="10"/>
    <x v="30"/>
    <x v="30"/>
    <x v="29"/>
    <x v="29"/>
    <n v="6.4"/>
    <n v="6"/>
    <x v="2"/>
    <n v="38.4"/>
    <x v="4"/>
    <x v="3"/>
    <x v="2"/>
    <n v="-55"/>
    <x v="2"/>
    <x v="2"/>
    <m/>
    <m/>
    <m/>
    <x v="0"/>
    <s v="-"/>
    <x v="0"/>
    <x v="0"/>
    <x v="30"/>
    <s v="https://industrial.panasonic.com/content/data/CC/pictures/lineup-LP.gif"/>
    <s v="画像"/>
    <m/>
    <m/>
  </r>
  <r>
    <n v="78"/>
    <s v="〇"/>
    <m/>
    <s v="OK"/>
    <m/>
    <x v="0"/>
    <x v="0"/>
    <s v="SMD"/>
    <s v="Metal Composite"/>
    <s v="PCC"/>
    <x v="2"/>
    <x v="6"/>
    <s v="PCC-M0840M-LP"/>
    <x v="0"/>
    <x v="31"/>
    <s v="2R2"/>
    <x v="7"/>
    <s v="&lt;10"/>
    <x v="5"/>
    <x v="0"/>
    <x v="29"/>
    <x v="29"/>
    <n v="10"/>
    <x v="31"/>
    <x v="5"/>
    <x v="30"/>
    <x v="30"/>
    <n v="8.4"/>
    <n v="8"/>
    <x v="3"/>
    <n v="67.2"/>
    <x v="5"/>
    <x v="4"/>
    <x v="3"/>
    <n v="-55"/>
    <x v="2"/>
    <x v="2"/>
    <m/>
    <m/>
    <m/>
    <x v="0"/>
    <s v="-"/>
    <x v="0"/>
    <x v="0"/>
    <x v="31"/>
    <s v="https://industrial.panasonic.com/content/data/CC/pictures/lineup-LP.gif"/>
    <s v="画像"/>
    <m/>
    <m/>
  </r>
  <r>
    <n v="90"/>
    <s v="〇"/>
    <m/>
    <s v="OK"/>
    <m/>
    <x v="0"/>
    <x v="0"/>
    <s v="SMD"/>
    <s v="Metal Composite"/>
    <s v="PCC"/>
    <x v="2"/>
    <x v="8"/>
    <s v="PCC-M1040M-LP"/>
    <x v="0"/>
    <x v="32"/>
    <s v="2R2"/>
    <x v="7"/>
    <s v="&lt;10"/>
    <x v="5"/>
    <x v="0"/>
    <x v="30"/>
    <x v="30"/>
    <n v="10"/>
    <x v="32"/>
    <x v="31"/>
    <x v="31"/>
    <x v="31"/>
    <n v="10.7"/>
    <n v="10"/>
    <x v="3"/>
    <n v="107"/>
    <x v="6"/>
    <x v="0"/>
    <x v="3"/>
    <n v="-55"/>
    <x v="2"/>
    <x v="2"/>
    <m/>
    <m/>
    <m/>
    <x v="0"/>
    <s v="-"/>
    <x v="0"/>
    <x v="0"/>
    <x v="32"/>
    <s v="https://industrial.panasonic.com/content/data/CC/pictures/lineup-LP.gif"/>
    <s v="画像"/>
    <m/>
    <m/>
  </r>
  <r>
    <n v="93"/>
    <s v="〇"/>
    <m/>
    <s v="OK"/>
    <m/>
    <x v="0"/>
    <x v="0"/>
    <s v="SMD"/>
    <s v="Metal Composite"/>
    <s v="PCC"/>
    <x v="4"/>
    <x v="12"/>
    <s v="PCC-M0530M-H"/>
    <x v="0"/>
    <x v="33"/>
    <s v="2R2"/>
    <x v="7"/>
    <s v="&lt;10"/>
    <x v="5"/>
    <x v="0"/>
    <x v="31"/>
    <x v="31"/>
    <n v="20"/>
    <x v="29"/>
    <x v="29"/>
    <x v="32"/>
    <x v="32"/>
    <n v="5.5"/>
    <n v="5"/>
    <x v="2"/>
    <n v="27.5"/>
    <x v="2"/>
    <x v="2"/>
    <x v="2"/>
    <n v="-40"/>
    <x v="0"/>
    <x v="0"/>
    <m/>
    <m/>
    <m/>
    <x v="0"/>
    <s v="-"/>
    <x v="0"/>
    <x v="0"/>
    <x v="33"/>
    <s v="https://industrial.panasonic.com/content/data/CC/pictures/lineup-H.gif"/>
    <s v="画像"/>
    <m/>
    <m/>
  </r>
  <r>
    <n v="107"/>
    <s v="〇"/>
    <m/>
    <s v="OK"/>
    <m/>
    <x v="0"/>
    <x v="0"/>
    <s v="SMD"/>
    <s v="Metal Composite"/>
    <s v="PCC"/>
    <x v="0"/>
    <x v="13"/>
    <s v="PCC-M0645M"/>
    <x v="0"/>
    <x v="34"/>
    <s v="2R2"/>
    <x v="7"/>
    <s v="&lt;10"/>
    <x v="5"/>
    <x v="0"/>
    <x v="32"/>
    <x v="32"/>
    <n v="10"/>
    <x v="8"/>
    <x v="32"/>
    <x v="33"/>
    <x v="33"/>
    <n v="6.5"/>
    <n v="6"/>
    <x v="6"/>
    <n v="39"/>
    <x v="3"/>
    <x v="3"/>
    <x v="0"/>
    <n v="-40"/>
    <x v="0"/>
    <x v="0"/>
    <m/>
    <m/>
    <m/>
    <x v="0"/>
    <s v="-"/>
    <x v="0"/>
    <x v="0"/>
    <x v="34"/>
    <s v="https://industrial.panasonic.com/content/data/CC/pictures/lineup-Metal-core.gif"/>
    <s v="画像"/>
    <m/>
    <m/>
  </r>
  <r>
    <n v="105"/>
    <s v="〇"/>
    <m/>
    <s v="OK"/>
    <m/>
    <x v="0"/>
    <x v="0"/>
    <s v="SMD"/>
    <s v="Metal Composite"/>
    <s v="PCC"/>
    <x v="3"/>
    <x v="14"/>
    <s v="PCC-M0854MS"/>
    <x v="0"/>
    <x v="35"/>
    <s v="2R5"/>
    <x v="8"/>
    <s v="&lt;10"/>
    <x v="5"/>
    <x v="0"/>
    <x v="33"/>
    <x v="33"/>
    <n v="10"/>
    <x v="33"/>
    <x v="33"/>
    <x v="34"/>
    <x v="34"/>
    <n v="8.5"/>
    <n v="8"/>
    <x v="4"/>
    <n v="68"/>
    <x v="7"/>
    <x v="4"/>
    <x v="4"/>
    <n v="-40"/>
    <x v="0"/>
    <x v="0"/>
    <m/>
    <m/>
    <m/>
    <x v="0"/>
    <s v="-"/>
    <x v="0"/>
    <x v="0"/>
    <x v="35"/>
    <s v="https://industrial.panasonic.com/content/data/CC/pictures/lineup-High%20Vibration%20Acceleration.gif"/>
    <s v="画像"/>
    <m/>
    <m/>
  </r>
  <r>
    <n v="14"/>
    <s v="〇"/>
    <m/>
    <s v="OK"/>
    <m/>
    <x v="0"/>
    <x v="0"/>
    <s v="SMD"/>
    <s v="Metal Composite"/>
    <s v="PCC"/>
    <x v="0"/>
    <x v="9"/>
    <s v="PCC-M1054M"/>
    <x v="0"/>
    <x v="36"/>
    <s v="2R5"/>
    <x v="9"/>
    <s v="&lt;10"/>
    <x v="5"/>
    <x v="0"/>
    <x v="34"/>
    <x v="34"/>
    <n v="10"/>
    <x v="34"/>
    <x v="34"/>
    <x v="35"/>
    <x v="35"/>
    <n v="10.7"/>
    <n v="10"/>
    <x v="4"/>
    <n v="107"/>
    <x v="6"/>
    <x v="0"/>
    <x v="4"/>
    <n v="-40"/>
    <x v="0"/>
    <x v="0"/>
    <m/>
    <m/>
    <m/>
    <x v="0"/>
    <s v="-"/>
    <x v="0"/>
    <x v="0"/>
    <x v="36"/>
    <s v="https://industrial.panasonic.com/content/data/CC/pictures/lineup-Metal-core.gif"/>
    <s v="画像"/>
    <m/>
    <m/>
  </r>
  <r>
    <n v="24"/>
    <s v="〇"/>
    <m/>
    <s v="OK"/>
    <m/>
    <x v="0"/>
    <x v="0"/>
    <s v="SMD"/>
    <s v="Metal Composite"/>
    <s v="PCC"/>
    <x v="0"/>
    <x v="15"/>
    <s v="PCC-M0854M"/>
    <x v="0"/>
    <x v="37"/>
    <s v="2R5"/>
    <x v="9"/>
    <s v="&lt;10"/>
    <x v="5"/>
    <x v="0"/>
    <x v="7"/>
    <x v="7"/>
    <n v="10"/>
    <x v="35"/>
    <x v="35"/>
    <x v="36"/>
    <x v="36"/>
    <n v="8.5"/>
    <n v="8"/>
    <x v="4"/>
    <n v="68"/>
    <x v="7"/>
    <x v="4"/>
    <x v="4"/>
    <n v="-40"/>
    <x v="0"/>
    <x v="0"/>
    <m/>
    <m/>
    <m/>
    <x v="0"/>
    <s v="-"/>
    <x v="0"/>
    <x v="0"/>
    <x v="37"/>
    <s v="https://industrial.panasonic.com/content/data/CC/pictures/lineup-Metal-core.gif"/>
    <s v="画像"/>
    <m/>
    <m/>
  </r>
  <r>
    <n v="42"/>
    <s v="〇"/>
    <m/>
    <s v="OK"/>
    <m/>
    <x v="0"/>
    <x v="0"/>
    <s v="SMD"/>
    <s v="Metal Composite"/>
    <s v="PCC"/>
    <x v="0"/>
    <x v="10"/>
    <s v="PCC-M1060ML"/>
    <x v="0"/>
    <x v="38"/>
    <s v="2R5"/>
    <x v="9"/>
    <s v="&lt;10"/>
    <x v="5"/>
    <x v="0"/>
    <x v="35"/>
    <x v="35"/>
    <n v="10"/>
    <x v="36"/>
    <x v="36"/>
    <x v="37"/>
    <x v="37"/>
    <n v="10.9"/>
    <n v="10"/>
    <x v="5"/>
    <n v="109"/>
    <x v="0"/>
    <x v="0"/>
    <x v="4"/>
    <n v="-40"/>
    <x v="0"/>
    <x v="0"/>
    <m/>
    <m/>
    <m/>
    <x v="0"/>
    <s v="-"/>
    <x v="0"/>
    <x v="0"/>
    <x v="38"/>
    <s v="https://industrial.panasonic.com/content/data/CC/pictures/lineup-Metal-core.gif"/>
    <s v="画像"/>
    <m/>
    <m/>
  </r>
  <r>
    <n v="49"/>
    <s v="〇"/>
    <m/>
    <s v="OK"/>
    <m/>
    <x v="0"/>
    <x v="0"/>
    <s v="SMD"/>
    <s v="Metal Composite"/>
    <s v="PCC"/>
    <x v="1"/>
    <x v="1"/>
    <s v="PCC-M1280MF"/>
    <x v="0"/>
    <x v="39"/>
    <s v="2R5"/>
    <x v="9"/>
    <s v="&lt;10"/>
    <x v="5"/>
    <x v="0"/>
    <x v="17"/>
    <x v="17"/>
    <n v="10"/>
    <x v="37"/>
    <x v="13"/>
    <x v="38"/>
    <x v="38"/>
    <n v="12.6"/>
    <n v="13.2"/>
    <x v="1"/>
    <n v="166.3"/>
    <x v="1"/>
    <x v="1"/>
    <x v="1"/>
    <n v="-40"/>
    <x v="1"/>
    <x v="1"/>
    <m/>
    <m/>
    <s v="15Gと聞いたがカタログは30G"/>
    <x v="0"/>
    <s v="-"/>
    <x v="0"/>
    <x v="0"/>
    <x v="39"/>
    <s v="https://industrial.panasonic.com/content/data/CC/pictures/lineup-Large%20current.gif"/>
    <s v="画像"/>
    <m/>
    <m/>
  </r>
  <r>
    <n v="3"/>
    <s v="〇"/>
    <m/>
    <s v="OK"/>
    <m/>
    <x v="0"/>
    <x v="0"/>
    <s v="SMD"/>
    <s v="Metal Composite"/>
    <s v="PCC"/>
    <x v="0"/>
    <x v="13"/>
    <s v="PCC-M0645M"/>
    <x v="0"/>
    <x v="40"/>
    <s v="3R3"/>
    <x v="10"/>
    <s v="&lt;10"/>
    <x v="6"/>
    <x v="0"/>
    <x v="36"/>
    <x v="36"/>
    <n v="10"/>
    <x v="38"/>
    <x v="37"/>
    <x v="39"/>
    <x v="39"/>
    <n v="6.5"/>
    <n v="6"/>
    <x v="6"/>
    <n v="39"/>
    <x v="3"/>
    <x v="3"/>
    <x v="0"/>
    <n v="-40"/>
    <x v="0"/>
    <x v="0"/>
    <m/>
    <m/>
    <m/>
    <x v="0"/>
    <s v="-"/>
    <x v="0"/>
    <x v="0"/>
    <x v="40"/>
    <s v="https://industrial.panasonic.com/content/data/CC/pictures/lineup-Metal-core.gif"/>
    <s v="画像"/>
    <m/>
    <m/>
  </r>
  <r>
    <n v="10"/>
    <s v="〇"/>
    <m/>
    <s v="OK"/>
    <m/>
    <x v="0"/>
    <x v="0"/>
    <s v="SMD"/>
    <s v="Metal Composite"/>
    <s v="PCC"/>
    <x v="0"/>
    <x v="11"/>
    <s v="PCC-M0530M"/>
    <x v="0"/>
    <x v="41"/>
    <s v="3R3"/>
    <x v="10"/>
    <s v="&lt;10"/>
    <x v="6"/>
    <x v="0"/>
    <x v="37"/>
    <x v="37"/>
    <n v="10"/>
    <x v="39"/>
    <x v="38"/>
    <x v="40"/>
    <x v="40"/>
    <n v="5.5"/>
    <n v="5"/>
    <x v="2"/>
    <n v="27.5"/>
    <x v="2"/>
    <x v="2"/>
    <x v="2"/>
    <n v="-40"/>
    <x v="0"/>
    <x v="0"/>
    <m/>
    <m/>
    <m/>
    <x v="0"/>
    <s v="-"/>
    <x v="0"/>
    <x v="0"/>
    <x v="41"/>
    <s v="https://industrial.panasonic.com/content/data/CC/pictures/lineup-Metal-core.gif"/>
    <s v="画像"/>
    <m/>
    <m/>
  </r>
  <r>
    <n v="15"/>
    <s v="〇"/>
    <m/>
    <s v="OK"/>
    <m/>
    <x v="0"/>
    <x v="0"/>
    <s v="SMD"/>
    <s v="Metal Composite"/>
    <s v="PCC"/>
    <x v="0"/>
    <x v="9"/>
    <s v="PCC-M1054M"/>
    <x v="0"/>
    <x v="42"/>
    <s v="3R3"/>
    <x v="10"/>
    <s v="&lt;10"/>
    <x v="6"/>
    <x v="0"/>
    <x v="38"/>
    <x v="38"/>
    <n v="10"/>
    <x v="40"/>
    <x v="39"/>
    <x v="41"/>
    <x v="41"/>
    <n v="10.7"/>
    <n v="10"/>
    <x v="4"/>
    <n v="107"/>
    <x v="6"/>
    <x v="0"/>
    <x v="4"/>
    <n v="-40"/>
    <x v="0"/>
    <x v="0"/>
    <m/>
    <m/>
    <m/>
    <x v="0"/>
    <s v="-"/>
    <x v="0"/>
    <x v="0"/>
    <x v="42"/>
    <s v="https://industrial.panasonic.com/content/data/CC/pictures/lineup-Metal-core.gif"/>
    <s v="画像"/>
    <m/>
    <m/>
  </r>
  <r>
    <n v="43"/>
    <s v="〇"/>
    <m/>
    <s v="OK"/>
    <m/>
    <x v="0"/>
    <x v="0"/>
    <s v="SMD"/>
    <s v="Metal Composite"/>
    <s v="PCC"/>
    <x v="0"/>
    <x v="10"/>
    <s v="PCC-M1060ML"/>
    <x v="0"/>
    <x v="43"/>
    <s v="3R3"/>
    <x v="10"/>
    <s v="&lt;10"/>
    <x v="6"/>
    <x v="0"/>
    <x v="39"/>
    <x v="39"/>
    <n v="10"/>
    <x v="41"/>
    <x v="40"/>
    <x v="42"/>
    <x v="42"/>
    <n v="10.9"/>
    <n v="10"/>
    <x v="5"/>
    <n v="109"/>
    <x v="0"/>
    <x v="0"/>
    <x v="4"/>
    <n v="-40"/>
    <x v="0"/>
    <x v="0"/>
    <m/>
    <m/>
    <m/>
    <x v="0"/>
    <s v="-"/>
    <x v="0"/>
    <x v="0"/>
    <x v="43"/>
    <s v="https://industrial.panasonic.com/content/data/CC/pictures/lineup-Metal-core.gif"/>
    <s v="画像"/>
    <m/>
    <m/>
  </r>
  <r>
    <n v="50"/>
    <s v="〇"/>
    <m/>
    <s v="OK"/>
    <m/>
    <x v="0"/>
    <x v="0"/>
    <s v="SMD"/>
    <s v="Metal Composite"/>
    <s v="PCC"/>
    <x v="1"/>
    <x v="1"/>
    <s v="PCC-M1280MF"/>
    <x v="0"/>
    <x v="44"/>
    <s v="3R3"/>
    <x v="10"/>
    <s v="&lt;10"/>
    <x v="6"/>
    <x v="0"/>
    <x v="40"/>
    <x v="40"/>
    <n v="10"/>
    <x v="42"/>
    <x v="18"/>
    <x v="43"/>
    <x v="43"/>
    <n v="12.6"/>
    <n v="13.1"/>
    <x v="1"/>
    <n v="165.1"/>
    <x v="8"/>
    <x v="1"/>
    <x v="1"/>
    <n v="-40"/>
    <x v="1"/>
    <x v="1"/>
    <m/>
    <m/>
    <s v="15Gと聞いたがカタログは30G"/>
    <x v="0"/>
    <s v="-"/>
    <x v="0"/>
    <x v="0"/>
    <x v="44"/>
    <s v="https://industrial.panasonic.com/content/data/CC/pictures/lineup-Large%20current.gif"/>
    <s v="画像"/>
    <m/>
    <m/>
  </r>
  <r>
    <n v="55"/>
    <s v="〇"/>
    <m/>
    <s v="OK"/>
    <m/>
    <x v="0"/>
    <x v="0"/>
    <s v="SMD"/>
    <s v="Metal Composite"/>
    <s v="PCC"/>
    <x v="2"/>
    <x v="2"/>
    <s v="PCC-M0530M-LP"/>
    <x v="0"/>
    <x v="45"/>
    <s v="3R3"/>
    <x v="10"/>
    <s v="&lt;10"/>
    <x v="6"/>
    <x v="0"/>
    <x v="41"/>
    <x v="41"/>
    <n v="10"/>
    <x v="43"/>
    <x v="41"/>
    <x v="44"/>
    <x v="44"/>
    <n v="5.5"/>
    <n v="5"/>
    <x v="2"/>
    <n v="27.5"/>
    <x v="2"/>
    <x v="2"/>
    <x v="2"/>
    <n v="-55"/>
    <x v="2"/>
    <x v="2"/>
    <m/>
    <m/>
    <m/>
    <x v="0"/>
    <s v="-"/>
    <x v="0"/>
    <x v="0"/>
    <x v="45"/>
    <s v="https://industrial.panasonic.com/content/data/CC/pictures/lineup-LP.gif"/>
    <s v="画像"/>
    <m/>
    <m/>
  </r>
  <r>
    <n v="66"/>
    <s v="〇"/>
    <m/>
    <s v="OK"/>
    <m/>
    <x v="0"/>
    <x v="0"/>
    <s v="SMD"/>
    <s v="Metal Composite"/>
    <s v="PCC"/>
    <x v="2"/>
    <x v="5"/>
    <s v="PCC-M0630M-LP"/>
    <x v="0"/>
    <x v="46"/>
    <s v="3R3"/>
    <x v="10"/>
    <s v="&lt;10"/>
    <x v="6"/>
    <x v="0"/>
    <x v="42"/>
    <x v="42"/>
    <n v="10"/>
    <x v="44"/>
    <x v="42"/>
    <x v="45"/>
    <x v="45"/>
    <n v="6.4"/>
    <n v="6"/>
    <x v="2"/>
    <n v="38.4"/>
    <x v="4"/>
    <x v="3"/>
    <x v="2"/>
    <n v="-55"/>
    <x v="2"/>
    <x v="2"/>
    <m/>
    <m/>
    <m/>
    <x v="0"/>
    <s v="-"/>
    <x v="0"/>
    <x v="0"/>
    <x v="46"/>
    <s v="https://industrial.panasonic.com/content/data/CC/pictures/lineup-LP.gif"/>
    <s v="画像"/>
    <m/>
    <m/>
  </r>
  <r>
    <n v="77"/>
    <s v="〇"/>
    <m/>
    <s v="OK"/>
    <m/>
    <x v="0"/>
    <x v="0"/>
    <s v="SMD"/>
    <s v="Metal Composite"/>
    <s v="PCC"/>
    <x v="2"/>
    <x v="6"/>
    <s v="PCC-M0840M-LP"/>
    <x v="0"/>
    <x v="47"/>
    <s v="3R3"/>
    <x v="10"/>
    <s v="&lt;10"/>
    <x v="6"/>
    <x v="0"/>
    <x v="43"/>
    <x v="43"/>
    <n v="10"/>
    <x v="45"/>
    <x v="43"/>
    <x v="46"/>
    <x v="46"/>
    <n v="8.4"/>
    <n v="8"/>
    <x v="3"/>
    <n v="67.2"/>
    <x v="5"/>
    <x v="4"/>
    <x v="3"/>
    <n v="-55"/>
    <x v="2"/>
    <x v="2"/>
    <m/>
    <m/>
    <m/>
    <x v="0"/>
    <s v="-"/>
    <x v="0"/>
    <x v="0"/>
    <x v="47"/>
    <s v="https://industrial.panasonic.com/content/data/CC/pictures/lineup-LP.gif"/>
    <s v="画像"/>
    <m/>
    <m/>
  </r>
  <r>
    <n v="89"/>
    <s v="〇"/>
    <m/>
    <s v="OK"/>
    <m/>
    <x v="0"/>
    <x v="0"/>
    <s v="SMD"/>
    <s v="Metal Composite"/>
    <s v="PCC"/>
    <x v="2"/>
    <x v="8"/>
    <s v="PCC-M1040M-LP"/>
    <x v="0"/>
    <x v="48"/>
    <s v="3R3"/>
    <x v="10"/>
    <s v="&lt;10"/>
    <x v="6"/>
    <x v="0"/>
    <x v="44"/>
    <x v="44"/>
    <n v="10"/>
    <x v="46"/>
    <x v="44"/>
    <x v="47"/>
    <x v="47"/>
    <n v="10.7"/>
    <n v="10"/>
    <x v="3"/>
    <n v="107"/>
    <x v="6"/>
    <x v="0"/>
    <x v="3"/>
    <n v="-55"/>
    <x v="2"/>
    <x v="2"/>
    <m/>
    <m/>
    <m/>
    <x v="0"/>
    <s v="-"/>
    <x v="0"/>
    <x v="0"/>
    <x v="48"/>
    <s v="https://industrial.panasonic.com/content/data/CC/pictures/lineup-LP.gif"/>
    <s v="画像"/>
    <m/>
    <m/>
  </r>
  <r>
    <n v="97"/>
    <s v="〇"/>
    <m/>
    <s v="OK"/>
    <m/>
    <x v="0"/>
    <x v="0"/>
    <s v="SMD"/>
    <s v="Metal Composite"/>
    <s v="PCC"/>
    <x v="5"/>
    <x v="16"/>
    <s v="PCC-M0648M-LE"/>
    <x v="0"/>
    <x v="49"/>
    <s v="3R3"/>
    <x v="10"/>
    <s v="&lt;10"/>
    <x v="6"/>
    <x v="0"/>
    <x v="45"/>
    <x v="45"/>
    <n v="10"/>
    <x v="47"/>
    <x v="45"/>
    <x v="21"/>
    <x v="29"/>
    <n v="6.4"/>
    <n v="6"/>
    <x v="7"/>
    <n v="38.4"/>
    <x v="4"/>
    <x v="3"/>
    <x v="0"/>
    <n v="-40"/>
    <x v="0"/>
    <x v="0"/>
    <m/>
    <m/>
    <m/>
    <x v="0"/>
    <s v="-"/>
    <x v="0"/>
    <x v="0"/>
    <x v="49"/>
    <s v="https://industrial.panasonic.com/content/data/CC/pictures/lineup-LE.gif"/>
    <s v="画像"/>
    <m/>
    <m/>
  </r>
  <r>
    <n v="109"/>
    <s v="〇"/>
    <m/>
    <s v="OK"/>
    <m/>
    <x v="0"/>
    <x v="0"/>
    <s v="SMD"/>
    <s v="Metal Composite"/>
    <s v="PCC"/>
    <x v="0"/>
    <x v="17"/>
    <s v="PCC-M0754M"/>
    <x v="0"/>
    <x v="50"/>
    <s v="3R3"/>
    <x v="10"/>
    <s v="&lt;10"/>
    <x v="6"/>
    <x v="0"/>
    <x v="46"/>
    <x v="46"/>
    <n v="10"/>
    <x v="48"/>
    <x v="46"/>
    <x v="33"/>
    <x v="48"/>
    <n v="7.5"/>
    <n v="7"/>
    <x v="4"/>
    <n v="52.5"/>
    <x v="9"/>
    <x v="5"/>
    <x v="4"/>
    <n v="-40"/>
    <x v="0"/>
    <x v="0"/>
    <m/>
    <m/>
    <m/>
    <x v="0"/>
    <s v="-"/>
    <x v="0"/>
    <x v="0"/>
    <x v="50"/>
    <s v="https://industrial.panasonic.com/content/data/CC/pictures/lineup-Metal-core.gif"/>
    <s v="画像"/>
    <m/>
    <m/>
  </r>
  <r>
    <n v="110"/>
    <s v="〇"/>
    <m/>
    <s v="OK"/>
    <m/>
    <x v="0"/>
    <x v="0"/>
    <s v="SMD"/>
    <s v="Metal Composite"/>
    <s v="PCC"/>
    <x v="0"/>
    <x v="15"/>
    <s v="PCC-M0854M"/>
    <x v="0"/>
    <x v="51"/>
    <s v="3R3"/>
    <x v="10"/>
    <s v="&lt;10"/>
    <x v="6"/>
    <x v="0"/>
    <x v="47"/>
    <x v="47"/>
    <n v="10"/>
    <x v="49"/>
    <x v="47"/>
    <x v="3"/>
    <x v="49"/>
    <n v="8.5"/>
    <n v="8"/>
    <x v="4"/>
    <n v="68"/>
    <x v="7"/>
    <x v="4"/>
    <x v="4"/>
    <n v="-40"/>
    <x v="0"/>
    <x v="0"/>
    <m/>
    <m/>
    <m/>
    <x v="0"/>
    <s v="-"/>
    <x v="0"/>
    <x v="0"/>
    <x v="51"/>
    <s v="https://industrial.panasonic.com/content/data/CC/pictures/lineup-Metal-core.gif"/>
    <s v="画像"/>
    <m/>
    <m/>
  </r>
  <r>
    <n v="111"/>
    <s v="〇"/>
    <m/>
    <s v="OK"/>
    <m/>
    <x v="0"/>
    <x v="0"/>
    <s v="SMD"/>
    <s v="Metal Composite"/>
    <s v="PCC"/>
    <x v="0"/>
    <x v="18"/>
    <s v="PCC-M1050M"/>
    <x v="0"/>
    <x v="52"/>
    <s v="3R3"/>
    <x v="10"/>
    <s v="&lt;10"/>
    <x v="6"/>
    <x v="0"/>
    <x v="38"/>
    <x v="38"/>
    <n v="10"/>
    <x v="50"/>
    <x v="48"/>
    <x v="48"/>
    <x v="50"/>
    <n v="10.7"/>
    <n v="10"/>
    <x v="0"/>
    <n v="107"/>
    <x v="6"/>
    <x v="0"/>
    <x v="0"/>
    <n v="-40"/>
    <x v="0"/>
    <x v="0"/>
    <m/>
    <m/>
    <m/>
    <x v="0"/>
    <s v="-"/>
    <x v="0"/>
    <x v="0"/>
    <x v="52"/>
    <s v="https://industrial.panasonic.com/content/data/CC/pictures/lineup-Metal-core.gif"/>
    <s v="画像"/>
    <m/>
    <m/>
  </r>
  <r>
    <n v="11"/>
    <s v="〇"/>
    <m/>
    <s v="OK"/>
    <m/>
    <x v="0"/>
    <x v="0"/>
    <s v="SMD"/>
    <s v="Metal Composite"/>
    <s v="PCC"/>
    <x v="0"/>
    <x v="19"/>
    <s v="PCC-M0540M"/>
    <x v="0"/>
    <x v="53"/>
    <s v="4R7"/>
    <x v="11"/>
    <s v="&lt;10"/>
    <x v="7"/>
    <x v="0"/>
    <x v="48"/>
    <x v="48"/>
    <n v="10"/>
    <x v="51"/>
    <x v="49"/>
    <x v="49"/>
    <x v="51"/>
    <n v="5.5"/>
    <n v="5"/>
    <x v="3"/>
    <n v="27.5"/>
    <x v="2"/>
    <x v="2"/>
    <x v="3"/>
    <n v="-40"/>
    <x v="0"/>
    <x v="0"/>
    <m/>
    <m/>
    <m/>
    <x v="0"/>
    <s v="-"/>
    <x v="0"/>
    <x v="0"/>
    <x v="53"/>
    <s v="https://industrial.panasonic.com/content/data/CC/pictures/lineup-Metal-core.gif"/>
    <s v="画像"/>
    <m/>
    <m/>
  </r>
  <r>
    <n v="16"/>
    <s v="〇"/>
    <m/>
    <s v="OK"/>
    <m/>
    <x v="0"/>
    <x v="0"/>
    <s v="SMD"/>
    <s v="Metal Composite"/>
    <s v="PCC"/>
    <x v="0"/>
    <x v="9"/>
    <s v="PCC-M1054M"/>
    <x v="0"/>
    <x v="54"/>
    <s v="4R7"/>
    <x v="11"/>
    <s v="&lt;10"/>
    <x v="7"/>
    <x v="0"/>
    <x v="49"/>
    <x v="49"/>
    <n v="10"/>
    <x v="52"/>
    <x v="50"/>
    <x v="11"/>
    <x v="52"/>
    <n v="10.7"/>
    <n v="10"/>
    <x v="4"/>
    <n v="107"/>
    <x v="6"/>
    <x v="0"/>
    <x v="4"/>
    <n v="-40"/>
    <x v="0"/>
    <x v="0"/>
    <m/>
    <m/>
    <m/>
    <x v="0"/>
    <s v="-"/>
    <x v="0"/>
    <x v="0"/>
    <x v="54"/>
    <s v="https://industrial.panasonic.com/content/data/CC/pictures/lineup-Metal-core.gif"/>
    <s v="画像"/>
    <m/>
    <m/>
  </r>
  <r>
    <n v="30"/>
    <s v="〇"/>
    <m/>
    <s v="OK"/>
    <m/>
    <x v="0"/>
    <x v="0"/>
    <s v="SMD"/>
    <s v="Metal Composite"/>
    <s v="PCC"/>
    <x v="0"/>
    <x v="17"/>
    <s v="PCC-M0754M"/>
    <x v="0"/>
    <x v="55"/>
    <s v="4R7"/>
    <x v="11"/>
    <s v="&lt;10"/>
    <x v="7"/>
    <x v="0"/>
    <x v="50"/>
    <x v="50"/>
    <n v="10"/>
    <x v="53"/>
    <x v="51"/>
    <x v="50"/>
    <x v="53"/>
    <n v="7.5"/>
    <n v="7"/>
    <x v="4"/>
    <n v="52.5"/>
    <x v="9"/>
    <x v="5"/>
    <x v="4"/>
    <n v="-40"/>
    <x v="0"/>
    <x v="0"/>
    <m/>
    <m/>
    <m/>
    <x v="0"/>
    <s v="-"/>
    <x v="0"/>
    <x v="0"/>
    <x v="55"/>
    <s v="https://industrial.panasonic.com/content/data/CC/pictures/lineup-Metal-core.gif"/>
    <s v="画像"/>
    <m/>
    <m/>
  </r>
  <r>
    <n v="44"/>
    <s v="〇"/>
    <m/>
    <s v="OK"/>
    <m/>
    <x v="0"/>
    <x v="0"/>
    <s v="SMD"/>
    <s v="Metal Composite"/>
    <s v="PCC"/>
    <x v="0"/>
    <x v="10"/>
    <s v="PCC-M1060ML"/>
    <x v="0"/>
    <x v="56"/>
    <s v="4R7"/>
    <x v="11"/>
    <s v="&lt;10"/>
    <x v="7"/>
    <x v="0"/>
    <x v="51"/>
    <x v="51"/>
    <n v="10"/>
    <x v="33"/>
    <x v="48"/>
    <x v="23"/>
    <x v="54"/>
    <n v="10.9"/>
    <n v="10"/>
    <x v="5"/>
    <n v="109"/>
    <x v="0"/>
    <x v="0"/>
    <x v="4"/>
    <n v="-40"/>
    <x v="0"/>
    <x v="0"/>
    <m/>
    <m/>
    <m/>
    <x v="0"/>
    <s v="-"/>
    <x v="0"/>
    <x v="0"/>
    <x v="56"/>
    <s v="https://industrial.panasonic.com/content/data/CC/pictures/lineup-Metal-core.gif"/>
    <s v="画像"/>
    <m/>
    <m/>
  </r>
  <r>
    <n v="51"/>
    <s v="〇"/>
    <m/>
    <s v="OK"/>
    <m/>
    <x v="0"/>
    <x v="0"/>
    <s v="SMD"/>
    <s v="Metal Composite"/>
    <s v="PCC"/>
    <x v="1"/>
    <x v="1"/>
    <s v="PCC-M1280MF"/>
    <x v="0"/>
    <x v="57"/>
    <s v="4R7"/>
    <x v="11"/>
    <s v="&lt;10"/>
    <x v="7"/>
    <x v="0"/>
    <x v="23"/>
    <x v="52"/>
    <n v="10"/>
    <x v="54"/>
    <x v="52"/>
    <x v="51"/>
    <x v="55"/>
    <n v="12.6"/>
    <n v="13.1"/>
    <x v="1"/>
    <n v="165.1"/>
    <x v="8"/>
    <x v="1"/>
    <x v="1"/>
    <n v="-40"/>
    <x v="1"/>
    <x v="1"/>
    <m/>
    <m/>
    <s v="15Gと聞いたがカタログは30G"/>
    <x v="0"/>
    <s v="-"/>
    <x v="0"/>
    <x v="0"/>
    <x v="57"/>
    <s v="https://industrial.panasonic.com/content/data/CC/pictures/lineup-Large%20current.gif"/>
    <s v="画像"/>
    <m/>
    <m/>
  </r>
  <r>
    <n v="54"/>
    <s v="〇"/>
    <m/>
    <s v="OK"/>
    <m/>
    <x v="0"/>
    <x v="0"/>
    <s v="SMD"/>
    <s v="Metal Composite"/>
    <s v="PCC"/>
    <x v="2"/>
    <x v="2"/>
    <s v="PCC-M0530M-LP"/>
    <x v="0"/>
    <x v="58"/>
    <s v="4R7"/>
    <x v="11"/>
    <s v="&lt;10"/>
    <x v="7"/>
    <x v="0"/>
    <x v="52"/>
    <x v="53"/>
    <n v="10"/>
    <x v="55"/>
    <x v="53"/>
    <x v="52"/>
    <x v="56"/>
    <n v="5.5"/>
    <n v="5"/>
    <x v="2"/>
    <n v="27.5"/>
    <x v="2"/>
    <x v="2"/>
    <x v="2"/>
    <n v="-55"/>
    <x v="2"/>
    <x v="2"/>
    <m/>
    <m/>
    <m/>
    <x v="0"/>
    <s v="-"/>
    <x v="0"/>
    <x v="0"/>
    <x v="58"/>
    <s v="https://industrial.panasonic.com/content/data/CC/pictures/lineup-LP.gif"/>
    <s v="画像"/>
    <m/>
    <m/>
  </r>
  <r>
    <n v="65"/>
    <s v="〇"/>
    <m/>
    <s v="OK"/>
    <m/>
    <x v="0"/>
    <x v="0"/>
    <s v="SMD"/>
    <s v="Metal Composite"/>
    <s v="PCC"/>
    <x v="2"/>
    <x v="5"/>
    <s v="PCC-M0630M-LP"/>
    <x v="0"/>
    <x v="59"/>
    <s v="4R7"/>
    <x v="11"/>
    <s v="&lt;10"/>
    <x v="7"/>
    <x v="0"/>
    <x v="53"/>
    <x v="54"/>
    <n v="10"/>
    <x v="56"/>
    <x v="54"/>
    <x v="53"/>
    <x v="57"/>
    <n v="6.4"/>
    <n v="6"/>
    <x v="2"/>
    <n v="38.4"/>
    <x v="4"/>
    <x v="3"/>
    <x v="2"/>
    <n v="-55"/>
    <x v="2"/>
    <x v="2"/>
    <m/>
    <m/>
    <m/>
    <x v="0"/>
    <s v="-"/>
    <x v="0"/>
    <x v="0"/>
    <x v="59"/>
    <s v="https://industrial.panasonic.com/content/data/CC/pictures/lineup-LP.gif"/>
    <s v="画像"/>
    <m/>
    <m/>
  </r>
  <r>
    <n v="76"/>
    <s v="〇"/>
    <m/>
    <s v="OK"/>
    <m/>
    <x v="0"/>
    <x v="0"/>
    <s v="SMD"/>
    <s v="Metal Composite"/>
    <s v="PCC"/>
    <x v="2"/>
    <x v="6"/>
    <s v="PCC-M0840M-LP"/>
    <x v="0"/>
    <x v="60"/>
    <s v="4R7"/>
    <x v="11"/>
    <s v="&lt;10"/>
    <x v="7"/>
    <x v="0"/>
    <x v="36"/>
    <x v="36"/>
    <n v="10"/>
    <x v="57"/>
    <x v="55"/>
    <x v="54"/>
    <x v="58"/>
    <n v="8.4"/>
    <n v="8"/>
    <x v="3"/>
    <n v="67.2"/>
    <x v="5"/>
    <x v="4"/>
    <x v="3"/>
    <n v="-55"/>
    <x v="2"/>
    <x v="2"/>
    <m/>
    <m/>
    <m/>
    <x v="0"/>
    <s v="-"/>
    <x v="0"/>
    <x v="0"/>
    <x v="60"/>
    <s v="https://industrial.panasonic.com/content/data/CC/pictures/lineup-LP.gif"/>
    <s v="画像"/>
    <m/>
    <m/>
  </r>
  <r>
    <n v="88"/>
    <s v="〇"/>
    <m/>
    <s v="OK"/>
    <m/>
    <x v="0"/>
    <x v="0"/>
    <s v="SMD"/>
    <s v="Metal Composite"/>
    <s v="PCC"/>
    <x v="2"/>
    <x v="8"/>
    <s v="PCC-M1040M-LP"/>
    <x v="0"/>
    <x v="61"/>
    <s v="4R7"/>
    <x v="11"/>
    <s v="&lt;10"/>
    <x v="7"/>
    <x v="0"/>
    <x v="54"/>
    <x v="55"/>
    <n v="10"/>
    <x v="58"/>
    <x v="56"/>
    <x v="55"/>
    <x v="59"/>
    <n v="10.7"/>
    <n v="10"/>
    <x v="3"/>
    <n v="107"/>
    <x v="6"/>
    <x v="0"/>
    <x v="3"/>
    <n v="-55"/>
    <x v="2"/>
    <x v="2"/>
    <m/>
    <m/>
    <m/>
    <x v="0"/>
    <s v="-"/>
    <x v="0"/>
    <x v="0"/>
    <x v="61"/>
    <s v="https://industrial.panasonic.com/content/data/CC/pictures/lineup-LP.gif"/>
    <s v="画像"/>
    <m/>
    <m/>
  </r>
  <r>
    <n v="98"/>
    <s v="〇"/>
    <m/>
    <s v="OK"/>
    <m/>
    <x v="0"/>
    <x v="0"/>
    <s v="SMD"/>
    <s v="Metal Composite"/>
    <s v="PCC"/>
    <x v="5"/>
    <x v="16"/>
    <s v="PCC-M0648M-LE"/>
    <x v="0"/>
    <x v="62"/>
    <s v="4R7"/>
    <x v="11"/>
    <s v="&lt;10"/>
    <x v="7"/>
    <x v="0"/>
    <x v="55"/>
    <x v="56"/>
    <n v="10"/>
    <x v="59"/>
    <x v="57"/>
    <x v="56"/>
    <x v="60"/>
    <n v="6.4"/>
    <n v="6"/>
    <x v="7"/>
    <n v="38.4"/>
    <x v="4"/>
    <x v="3"/>
    <x v="0"/>
    <n v="-40"/>
    <x v="0"/>
    <x v="0"/>
    <m/>
    <m/>
    <m/>
    <x v="0"/>
    <s v="-"/>
    <x v="0"/>
    <x v="0"/>
    <x v="62"/>
    <s v="https://industrial.panasonic.com/content/data/CC/pictures/lineup-LE.gif"/>
    <s v="画像"/>
    <m/>
    <m/>
  </r>
  <r>
    <n v="101"/>
    <s v="〇"/>
    <m/>
    <s v="OK"/>
    <m/>
    <x v="0"/>
    <x v="0"/>
    <s v="SMD"/>
    <s v="Metal Composite"/>
    <s v="PCC"/>
    <x v="5"/>
    <x v="20"/>
    <s v="PCC-M0748M-LE"/>
    <x v="0"/>
    <x v="63"/>
    <s v="4R7"/>
    <x v="11"/>
    <s v="&lt;10"/>
    <x v="7"/>
    <x v="0"/>
    <x v="56"/>
    <x v="57"/>
    <n v="10"/>
    <x v="60"/>
    <x v="30"/>
    <x v="57"/>
    <x v="61"/>
    <n v="7.4"/>
    <n v="7"/>
    <x v="7"/>
    <n v="51.8"/>
    <x v="10"/>
    <x v="5"/>
    <x v="0"/>
    <n v="-40"/>
    <x v="0"/>
    <x v="0"/>
    <m/>
    <m/>
    <m/>
    <x v="0"/>
    <s v="-"/>
    <x v="0"/>
    <x v="0"/>
    <x v="63"/>
    <s v="https://industrial.panasonic.com/content/data/CC/pictures/lineup-LE.gif"/>
    <s v="画像"/>
    <m/>
    <m/>
  </r>
  <r>
    <n v="4"/>
    <s v="〇"/>
    <m/>
    <s v="OK"/>
    <m/>
    <x v="0"/>
    <x v="0"/>
    <s v="SMD"/>
    <s v="Metal Composite"/>
    <s v="PCC"/>
    <x v="0"/>
    <x v="13"/>
    <s v="PCC-M0645M"/>
    <x v="0"/>
    <x v="64"/>
    <s v="6R8"/>
    <x v="12"/>
    <s v="&lt;10"/>
    <x v="8"/>
    <x v="0"/>
    <x v="57"/>
    <x v="58"/>
    <n v="10"/>
    <x v="61"/>
    <x v="38"/>
    <x v="58"/>
    <x v="62"/>
    <n v="6.5"/>
    <n v="6"/>
    <x v="6"/>
    <n v="39"/>
    <x v="3"/>
    <x v="3"/>
    <x v="0"/>
    <n v="-40"/>
    <x v="0"/>
    <x v="0"/>
    <m/>
    <m/>
    <m/>
    <x v="0"/>
    <s v="-"/>
    <x v="0"/>
    <x v="0"/>
    <x v="64"/>
    <s v="https://industrial.panasonic.com/content/data/CC/pictures/lineup-Metal-core.gif"/>
    <s v="画像"/>
    <m/>
    <m/>
  </r>
  <r>
    <n v="31"/>
    <s v="〇"/>
    <m/>
    <s v="OK"/>
    <m/>
    <x v="0"/>
    <x v="0"/>
    <s v="SMD"/>
    <s v="Metal Composite"/>
    <s v="PCC"/>
    <x v="0"/>
    <x v="17"/>
    <s v="PCC-M0754M"/>
    <x v="0"/>
    <x v="65"/>
    <s v="6R8"/>
    <x v="12"/>
    <s v="&lt;10"/>
    <x v="8"/>
    <x v="0"/>
    <x v="58"/>
    <x v="59"/>
    <n v="10"/>
    <x v="62"/>
    <x v="58"/>
    <x v="59"/>
    <x v="63"/>
    <n v="7.5"/>
    <n v="7"/>
    <x v="4"/>
    <n v="52.5"/>
    <x v="9"/>
    <x v="5"/>
    <x v="4"/>
    <n v="-40"/>
    <x v="0"/>
    <x v="0"/>
    <m/>
    <m/>
    <m/>
    <x v="0"/>
    <s v="-"/>
    <x v="0"/>
    <x v="0"/>
    <x v="65"/>
    <s v="https://industrial.panasonic.com/content/data/CC/pictures/lineup-Metal-core.gif"/>
    <s v="画像"/>
    <m/>
    <m/>
  </r>
  <r>
    <n v="53"/>
    <s v="〇"/>
    <m/>
    <s v="OK"/>
    <m/>
    <x v="0"/>
    <x v="0"/>
    <s v="SMD"/>
    <s v="Metal Composite"/>
    <s v="PCC"/>
    <x v="2"/>
    <x v="2"/>
    <s v="PCC-M0530M-LP"/>
    <x v="0"/>
    <x v="66"/>
    <s v="6R8"/>
    <x v="12"/>
    <s v="&lt;10"/>
    <x v="8"/>
    <x v="0"/>
    <x v="59"/>
    <x v="60"/>
    <n v="10"/>
    <x v="63"/>
    <x v="59"/>
    <x v="60"/>
    <x v="64"/>
    <n v="5.5"/>
    <n v="5"/>
    <x v="2"/>
    <n v="27.5"/>
    <x v="2"/>
    <x v="2"/>
    <x v="2"/>
    <n v="-55"/>
    <x v="2"/>
    <x v="2"/>
    <m/>
    <m/>
    <m/>
    <x v="0"/>
    <s v="-"/>
    <x v="0"/>
    <x v="0"/>
    <x v="66"/>
    <s v="https://industrial.panasonic.com/content/data/CC/pictures/lineup-LP.gif"/>
    <s v="画像"/>
    <m/>
    <m/>
  </r>
  <r>
    <n v="64"/>
    <s v="〇"/>
    <m/>
    <s v="OK"/>
    <m/>
    <x v="0"/>
    <x v="0"/>
    <s v="SMD"/>
    <s v="Metal Composite"/>
    <s v="PCC"/>
    <x v="2"/>
    <x v="5"/>
    <s v="PCC-M0630M-LP"/>
    <x v="0"/>
    <x v="67"/>
    <s v="6R8"/>
    <x v="12"/>
    <s v="&lt;10"/>
    <x v="8"/>
    <x v="0"/>
    <x v="52"/>
    <x v="61"/>
    <n v="10"/>
    <x v="64"/>
    <x v="60"/>
    <x v="61"/>
    <x v="65"/>
    <n v="6.4"/>
    <n v="6"/>
    <x v="2"/>
    <n v="38.4"/>
    <x v="4"/>
    <x v="3"/>
    <x v="2"/>
    <n v="-55"/>
    <x v="2"/>
    <x v="2"/>
    <m/>
    <m/>
    <m/>
    <x v="0"/>
    <s v="-"/>
    <x v="0"/>
    <x v="0"/>
    <x v="67"/>
    <s v="https://industrial.panasonic.com/content/data/CC/pictures/lineup-LP.gif"/>
    <s v="画像"/>
    <m/>
    <m/>
  </r>
  <r>
    <n v="75"/>
    <s v="〇"/>
    <m/>
    <s v="OK"/>
    <m/>
    <x v="0"/>
    <x v="0"/>
    <s v="SMD"/>
    <s v="Metal Composite"/>
    <s v="PCC"/>
    <x v="2"/>
    <x v="6"/>
    <s v="PCC-M0840M-LP"/>
    <x v="0"/>
    <x v="68"/>
    <s v="6R8"/>
    <x v="12"/>
    <s v="&lt;10"/>
    <x v="8"/>
    <x v="0"/>
    <x v="60"/>
    <x v="62"/>
    <n v="10"/>
    <x v="62"/>
    <x v="61"/>
    <x v="62"/>
    <x v="66"/>
    <n v="8.4"/>
    <n v="8"/>
    <x v="3"/>
    <n v="67.2"/>
    <x v="5"/>
    <x v="4"/>
    <x v="3"/>
    <n v="-55"/>
    <x v="2"/>
    <x v="2"/>
    <m/>
    <m/>
    <m/>
    <x v="0"/>
    <s v="-"/>
    <x v="0"/>
    <x v="0"/>
    <x v="68"/>
    <s v="https://industrial.panasonic.com/content/data/CC/pictures/lineup-LP.gif"/>
    <s v="画像"/>
    <m/>
    <m/>
  </r>
  <r>
    <n v="87"/>
    <s v="〇"/>
    <m/>
    <s v="OK"/>
    <m/>
    <x v="0"/>
    <x v="0"/>
    <s v="SMD"/>
    <s v="Metal Composite"/>
    <s v="PCC"/>
    <x v="2"/>
    <x v="8"/>
    <s v="PCC-M1040M-LP"/>
    <x v="0"/>
    <x v="69"/>
    <s v="6R8"/>
    <x v="12"/>
    <s v="&lt;10"/>
    <x v="8"/>
    <x v="0"/>
    <x v="61"/>
    <x v="63"/>
    <n v="10"/>
    <x v="45"/>
    <x v="23"/>
    <x v="59"/>
    <x v="67"/>
    <n v="10.7"/>
    <n v="10"/>
    <x v="3"/>
    <n v="107"/>
    <x v="6"/>
    <x v="0"/>
    <x v="3"/>
    <n v="-55"/>
    <x v="2"/>
    <x v="2"/>
    <m/>
    <m/>
    <m/>
    <x v="0"/>
    <s v="-"/>
    <x v="0"/>
    <x v="0"/>
    <x v="69"/>
    <s v="https://industrial.panasonic.com/content/data/CC/pictures/lineup-LP.gif"/>
    <s v="画像"/>
    <m/>
    <m/>
  </r>
  <r>
    <n v="114"/>
    <s v="〇"/>
    <s v="2021/11/12 カタログ追加。2021/4/8追加。"/>
    <s v="OK"/>
    <m/>
    <x v="0"/>
    <x v="0"/>
    <s v="SMD"/>
    <s v="Metal Composite"/>
    <s v="PCC"/>
    <x v="5"/>
    <x v="16"/>
    <s v="PCC-M0648M-LE"/>
    <x v="0"/>
    <x v="70"/>
    <s v="6R8"/>
    <x v="12"/>
    <s v="&lt;10"/>
    <x v="8"/>
    <x v="0"/>
    <x v="62"/>
    <x v="64"/>
    <n v="10"/>
    <x v="65"/>
    <x v="54"/>
    <x v="63"/>
    <x v="68"/>
    <n v="6.4"/>
    <n v="6"/>
    <x v="7"/>
    <n v="38.4"/>
    <x v="4"/>
    <x v="3"/>
    <x v="0"/>
    <n v="-40"/>
    <x v="0"/>
    <x v="0"/>
    <m/>
    <m/>
    <m/>
    <x v="0"/>
    <s v="-"/>
    <x v="0"/>
    <x v="0"/>
    <x v="70"/>
    <s v="https://industrial.panasonic.com/content/data/CC/pictures/lineup-LE.gif"/>
    <s v="画像"/>
    <m/>
    <m/>
  </r>
  <r>
    <n v="5"/>
    <s v="〇"/>
    <m/>
    <s v="OK"/>
    <m/>
    <x v="0"/>
    <x v="0"/>
    <s v="SMD"/>
    <s v="Metal Composite"/>
    <s v="PCC"/>
    <x v="0"/>
    <x v="13"/>
    <s v="PCC-M0645M"/>
    <x v="0"/>
    <x v="71"/>
    <s v="100"/>
    <x v="13"/>
    <s v="&lt;100"/>
    <x v="9"/>
    <x v="0"/>
    <x v="63"/>
    <x v="65"/>
    <n v="10"/>
    <x v="64"/>
    <x v="62"/>
    <x v="64"/>
    <x v="69"/>
    <n v="6.5"/>
    <n v="6"/>
    <x v="6"/>
    <n v="39"/>
    <x v="3"/>
    <x v="3"/>
    <x v="0"/>
    <n v="-40"/>
    <x v="0"/>
    <x v="0"/>
    <m/>
    <m/>
    <m/>
    <x v="0"/>
    <s v="-"/>
    <x v="0"/>
    <x v="0"/>
    <x v="71"/>
    <s v="https://industrial.panasonic.com/content/data/CC/pictures/lineup-Metal-core.gif"/>
    <s v="画像"/>
    <m/>
    <m/>
  </r>
  <r>
    <n v="17"/>
    <s v="〇"/>
    <m/>
    <s v="OK"/>
    <m/>
    <x v="0"/>
    <x v="0"/>
    <s v="SMD"/>
    <s v="Metal Composite"/>
    <s v="PCC"/>
    <x v="0"/>
    <x v="9"/>
    <s v="PCC-M1054M"/>
    <x v="0"/>
    <x v="72"/>
    <s v="100"/>
    <x v="13"/>
    <s v="&lt;100"/>
    <x v="9"/>
    <x v="0"/>
    <x v="64"/>
    <x v="66"/>
    <n v="10"/>
    <x v="66"/>
    <x v="55"/>
    <x v="57"/>
    <x v="70"/>
    <n v="10.7"/>
    <n v="10"/>
    <x v="4"/>
    <n v="107"/>
    <x v="6"/>
    <x v="0"/>
    <x v="4"/>
    <n v="-40"/>
    <x v="0"/>
    <x v="0"/>
    <m/>
    <m/>
    <m/>
    <x v="0"/>
    <s v="-"/>
    <x v="0"/>
    <x v="0"/>
    <x v="72"/>
    <s v="https://industrial.panasonic.com/content/data/CC/pictures/lineup-Metal-core.gif"/>
    <s v="画像"/>
    <m/>
    <m/>
  </r>
  <r>
    <n v="25"/>
    <s v="〇"/>
    <m/>
    <s v="OK"/>
    <m/>
    <x v="0"/>
    <x v="0"/>
    <s v="SMD"/>
    <s v="Metal Composite"/>
    <s v="PCC"/>
    <x v="0"/>
    <x v="15"/>
    <s v="PCC-M0854M"/>
    <x v="0"/>
    <x v="73"/>
    <s v="100"/>
    <x v="13"/>
    <s v="&lt;100"/>
    <x v="9"/>
    <x v="0"/>
    <x v="65"/>
    <x v="67"/>
    <n v="10"/>
    <x v="67"/>
    <x v="57"/>
    <x v="65"/>
    <x v="71"/>
    <n v="8.5"/>
    <n v="8"/>
    <x v="4"/>
    <n v="68"/>
    <x v="7"/>
    <x v="4"/>
    <x v="4"/>
    <n v="-40"/>
    <x v="0"/>
    <x v="0"/>
    <m/>
    <m/>
    <m/>
    <x v="0"/>
    <s v="-"/>
    <x v="0"/>
    <x v="0"/>
    <x v="73"/>
    <s v="https://industrial.panasonic.com/content/data/CC/pictures/lineup-Metal-core.gif"/>
    <s v="画像"/>
    <m/>
    <m/>
  </r>
  <r>
    <n v="32"/>
    <s v="〇"/>
    <m/>
    <s v="OK"/>
    <m/>
    <x v="0"/>
    <x v="0"/>
    <s v="SMD"/>
    <s v="Metal Composite"/>
    <s v="PCC"/>
    <x v="0"/>
    <x v="17"/>
    <s v="PCC-M0754M"/>
    <x v="0"/>
    <x v="74"/>
    <s v="100"/>
    <x v="13"/>
    <s v="&lt;100"/>
    <x v="9"/>
    <x v="0"/>
    <x v="66"/>
    <x v="68"/>
    <n v="10"/>
    <x v="68"/>
    <x v="63"/>
    <x v="66"/>
    <x v="72"/>
    <n v="7.5"/>
    <n v="7"/>
    <x v="4"/>
    <n v="52.5"/>
    <x v="9"/>
    <x v="5"/>
    <x v="4"/>
    <n v="-40"/>
    <x v="0"/>
    <x v="0"/>
    <m/>
    <m/>
    <m/>
    <x v="0"/>
    <s v="-"/>
    <x v="0"/>
    <x v="0"/>
    <x v="74"/>
    <s v="https://industrial.panasonic.com/content/data/CC/pictures/lineup-Metal-core.gif"/>
    <s v="画像"/>
    <m/>
    <m/>
  </r>
  <r>
    <n v="52"/>
    <s v="〇"/>
    <m/>
    <s v="OK"/>
    <m/>
    <x v="0"/>
    <x v="0"/>
    <s v="SMD"/>
    <s v="Metal Composite"/>
    <s v="PCC"/>
    <x v="2"/>
    <x v="2"/>
    <s v="PCC-M0530M-LP"/>
    <x v="0"/>
    <x v="75"/>
    <s v="100"/>
    <x v="13"/>
    <s v="&lt;100"/>
    <x v="9"/>
    <x v="0"/>
    <x v="67"/>
    <x v="69"/>
    <n v="10"/>
    <x v="69"/>
    <x v="64"/>
    <x v="67"/>
    <x v="73"/>
    <n v="5.5"/>
    <n v="5"/>
    <x v="2"/>
    <n v="27.5"/>
    <x v="2"/>
    <x v="2"/>
    <x v="2"/>
    <n v="-55"/>
    <x v="2"/>
    <x v="2"/>
    <m/>
    <m/>
    <m/>
    <x v="0"/>
    <s v="-"/>
    <x v="0"/>
    <x v="0"/>
    <x v="75"/>
    <s v="https://industrial.panasonic.com/content/data/CC/pictures/lineup-LP.gif"/>
    <s v="画像"/>
    <m/>
    <m/>
  </r>
  <r>
    <n v="63"/>
    <s v="〇"/>
    <m/>
    <s v="OK"/>
    <m/>
    <x v="0"/>
    <x v="0"/>
    <s v="SMD"/>
    <s v="Metal Composite"/>
    <s v="PCC"/>
    <x v="2"/>
    <x v="5"/>
    <s v="PCC-M0630M-LP"/>
    <x v="0"/>
    <x v="76"/>
    <s v="100"/>
    <x v="13"/>
    <s v="&lt;100"/>
    <x v="9"/>
    <x v="0"/>
    <x v="68"/>
    <x v="70"/>
    <n v="10"/>
    <x v="70"/>
    <x v="59"/>
    <x v="68"/>
    <x v="74"/>
    <n v="6.4"/>
    <n v="6"/>
    <x v="2"/>
    <n v="38.4"/>
    <x v="4"/>
    <x v="3"/>
    <x v="2"/>
    <n v="-55"/>
    <x v="2"/>
    <x v="2"/>
    <m/>
    <m/>
    <m/>
    <x v="0"/>
    <s v="-"/>
    <x v="0"/>
    <x v="0"/>
    <x v="76"/>
    <s v="https://industrial.panasonic.com/content/data/CC/pictures/lineup-LP.gif"/>
    <s v="画像"/>
    <m/>
    <m/>
  </r>
  <r>
    <n v="74"/>
    <s v="〇"/>
    <m/>
    <s v="OK"/>
    <m/>
    <x v="0"/>
    <x v="0"/>
    <s v="SMD"/>
    <s v="Metal Composite"/>
    <s v="PCC"/>
    <x v="2"/>
    <x v="6"/>
    <s v="PCC-M0840M-LP"/>
    <x v="0"/>
    <x v="77"/>
    <s v="100"/>
    <x v="13"/>
    <s v="&lt;100"/>
    <x v="9"/>
    <x v="0"/>
    <x v="69"/>
    <x v="71"/>
    <n v="10"/>
    <x v="61"/>
    <x v="41"/>
    <x v="69"/>
    <x v="75"/>
    <n v="8.4"/>
    <n v="8"/>
    <x v="3"/>
    <n v="67.2"/>
    <x v="5"/>
    <x v="4"/>
    <x v="3"/>
    <n v="-55"/>
    <x v="2"/>
    <x v="2"/>
    <m/>
    <m/>
    <m/>
    <x v="0"/>
    <s v="-"/>
    <x v="0"/>
    <x v="0"/>
    <x v="77"/>
    <s v="https://industrial.panasonic.com/content/data/CC/pictures/lineup-LP.gif"/>
    <s v="画像"/>
    <m/>
    <m/>
  </r>
  <r>
    <n v="86"/>
    <s v="〇"/>
    <m/>
    <s v="OK"/>
    <m/>
    <x v="0"/>
    <x v="0"/>
    <s v="SMD"/>
    <s v="Metal Composite"/>
    <s v="PCC"/>
    <x v="2"/>
    <x v="8"/>
    <s v="PCC-M1040M-LP"/>
    <x v="0"/>
    <x v="78"/>
    <s v="100"/>
    <x v="13"/>
    <s v="&lt;100"/>
    <x v="9"/>
    <x v="0"/>
    <x v="70"/>
    <x v="72"/>
    <n v="10"/>
    <x v="71"/>
    <x v="51"/>
    <x v="70"/>
    <x v="76"/>
    <n v="10.7"/>
    <n v="10"/>
    <x v="3"/>
    <n v="107"/>
    <x v="6"/>
    <x v="0"/>
    <x v="3"/>
    <n v="-55"/>
    <x v="2"/>
    <x v="2"/>
    <m/>
    <m/>
    <m/>
    <x v="0"/>
    <s v="-"/>
    <x v="0"/>
    <x v="0"/>
    <x v="78"/>
    <s v="https://industrial.panasonic.com/content/data/CC/pictures/lineup-LP.gif"/>
    <s v="画像"/>
    <m/>
    <m/>
  </r>
  <r>
    <n v="94"/>
    <s v="〇"/>
    <m/>
    <s v="OK"/>
    <m/>
    <x v="0"/>
    <x v="0"/>
    <s v="SMD"/>
    <s v="Metal Composite"/>
    <s v="PCC"/>
    <x v="4"/>
    <x v="21"/>
    <s v="PCC-M0630M-H"/>
    <x v="0"/>
    <x v="79"/>
    <s v="100"/>
    <x v="13"/>
    <s v="&lt;100"/>
    <x v="9"/>
    <x v="0"/>
    <x v="71"/>
    <x v="73"/>
    <n v="20"/>
    <x v="72"/>
    <x v="65"/>
    <x v="71"/>
    <x v="77"/>
    <n v="6.5"/>
    <n v="6"/>
    <x v="2"/>
    <n v="39"/>
    <x v="3"/>
    <x v="3"/>
    <x v="2"/>
    <n v="-40"/>
    <x v="0"/>
    <x v="0"/>
    <m/>
    <m/>
    <m/>
    <x v="0"/>
    <s v="-"/>
    <x v="0"/>
    <x v="0"/>
    <x v="79"/>
    <s v="https://industrial.panasonic.com/content/data/CC/pictures/lineup-H.gif"/>
    <s v="画像"/>
    <m/>
    <m/>
  </r>
  <r>
    <n v="99"/>
    <s v="〇"/>
    <m/>
    <s v="OK"/>
    <m/>
    <x v="0"/>
    <x v="0"/>
    <s v="SMD"/>
    <s v="Metal Composite"/>
    <s v="PCC"/>
    <x v="5"/>
    <x v="16"/>
    <s v="PCC-M0648M-LE"/>
    <x v="0"/>
    <x v="80"/>
    <s v="100"/>
    <x v="13"/>
    <s v="&lt;100"/>
    <x v="9"/>
    <x v="0"/>
    <x v="72"/>
    <x v="74"/>
    <n v="10"/>
    <x v="61"/>
    <x v="38"/>
    <x v="61"/>
    <x v="78"/>
    <n v="6.4"/>
    <n v="6"/>
    <x v="7"/>
    <n v="38.4"/>
    <x v="4"/>
    <x v="3"/>
    <x v="0"/>
    <n v="-40"/>
    <x v="0"/>
    <x v="0"/>
    <m/>
    <m/>
    <m/>
    <x v="0"/>
    <s v="-"/>
    <x v="0"/>
    <x v="0"/>
    <x v="80"/>
    <s v="https://industrial.panasonic.com/content/data/CC/pictures/lineup-LE.gif"/>
    <s v="画像"/>
    <m/>
    <m/>
  </r>
  <r>
    <n v="102"/>
    <s v="〇"/>
    <m/>
    <s v="OK"/>
    <m/>
    <x v="0"/>
    <x v="0"/>
    <s v="SMD"/>
    <s v="Metal Composite"/>
    <s v="PCC"/>
    <x v="5"/>
    <x v="20"/>
    <s v="PCC-M0748M-LE"/>
    <x v="0"/>
    <x v="81"/>
    <s v="100"/>
    <x v="13"/>
    <s v="&lt;100"/>
    <x v="9"/>
    <x v="0"/>
    <x v="48"/>
    <x v="48"/>
    <n v="10"/>
    <x v="73"/>
    <x v="66"/>
    <x v="72"/>
    <x v="79"/>
    <n v="7.4"/>
    <n v="7"/>
    <x v="7"/>
    <n v="51.8"/>
    <x v="10"/>
    <x v="5"/>
    <x v="0"/>
    <n v="-40"/>
    <x v="0"/>
    <x v="0"/>
    <m/>
    <m/>
    <m/>
    <x v="0"/>
    <s v="-"/>
    <x v="0"/>
    <x v="0"/>
    <x v="81"/>
    <s v="https://industrial.panasonic.com/content/data/CC/pictures/lineup-LE.gif"/>
    <s v="画像"/>
    <m/>
    <m/>
  </r>
  <r>
    <n v="123"/>
    <s v="〇"/>
    <d v="2022-11-18T00:00:00"/>
    <s v="OK"/>
    <m/>
    <x v="0"/>
    <x v="0"/>
    <s v="SMD"/>
    <s v="Metal Composite"/>
    <s v="PCC"/>
    <x v="0"/>
    <x v="22"/>
    <s v="PCC-M0854M"/>
    <x v="0"/>
    <x v="82"/>
    <s v="100"/>
    <x v="13"/>
    <s v="&lt;100"/>
    <x v="9"/>
    <x v="0"/>
    <x v="73"/>
    <x v="75"/>
    <n v="10"/>
    <x v="62"/>
    <x v="61"/>
    <x v="73"/>
    <x v="61"/>
    <n v="8.5"/>
    <n v="8"/>
    <x v="4"/>
    <n v="68"/>
    <x v="7"/>
    <x v="4"/>
    <x v="4"/>
    <n v="-40"/>
    <x v="0"/>
    <x v="0"/>
    <m/>
    <m/>
    <m/>
    <x v="0"/>
    <s v="-"/>
    <x v="0"/>
    <x v="0"/>
    <x v="82"/>
    <s v="https://industrial.panasonic.com/content/data/CC/pictures/lineup-Metal-core.gif"/>
    <s v="画像"/>
    <m/>
    <m/>
  </r>
  <r>
    <n v="112"/>
    <s v="〇"/>
    <s v="2021/11/12 カタログ追加。2020/8/3追加"/>
    <s v="OK"/>
    <m/>
    <x v="0"/>
    <x v="0"/>
    <s v="SMD"/>
    <s v="Metal Composite"/>
    <s v="PCC"/>
    <x v="0"/>
    <x v="23"/>
    <s v="PCC-M1060ML"/>
    <x v="0"/>
    <x v="83"/>
    <s v="150"/>
    <x v="14"/>
    <s v="&lt;100"/>
    <x v="10"/>
    <x v="0"/>
    <x v="74"/>
    <x v="76"/>
    <n v="10"/>
    <x v="30"/>
    <x v="30"/>
    <x v="74"/>
    <x v="80"/>
    <n v="10.9"/>
    <n v="10"/>
    <x v="5"/>
    <n v="109"/>
    <x v="0"/>
    <x v="0"/>
    <x v="4"/>
    <n v="-40"/>
    <x v="0"/>
    <x v="0"/>
    <m/>
    <m/>
    <m/>
    <x v="0"/>
    <s v="-"/>
    <x v="0"/>
    <x v="0"/>
    <x v="83"/>
    <s v="https://industrial.panasonic.com/content/data/CC/pictures/lineup-Metal-core.gif"/>
    <s v="画像"/>
    <m/>
    <m/>
  </r>
  <r>
    <n v="18"/>
    <s v="〇"/>
    <m/>
    <s v="OK"/>
    <m/>
    <x v="0"/>
    <x v="0"/>
    <s v="SMD"/>
    <s v="Metal Composite"/>
    <s v="PCC"/>
    <x v="0"/>
    <x v="9"/>
    <s v="PCC-M1054M"/>
    <x v="0"/>
    <x v="84"/>
    <s v="150"/>
    <x v="15"/>
    <s v="&lt;100"/>
    <x v="10"/>
    <x v="0"/>
    <x v="75"/>
    <x v="77"/>
    <n v="10"/>
    <x v="74"/>
    <x v="67"/>
    <x v="21"/>
    <x v="81"/>
    <n v="10.7"/>
    <n v="10"/>
    <x v="4"/>
    <n v="107"/>
    <x v="6"/>
    <x v="0"/>
    <x v="4"/>
    <n v="-40"/>
    <x v="0"/>
    <x v="0"/>
    <m/>
    <m/>
    <m/>
    <x v="0"/>
    <s v="-"/>
    <x v="0"/>
    <x v="0"/>
    <x v="84"/>
    <s v="https://industrial.panasonic.com/content/data/CC/pictures/lineup-Metal-core.gif"/>
    <s v="画像"/>
    <m/>
    <m/>
  </r>
  <r>
    <n v="26"/>
    <s v="〇"/>
    <m/>
    <s v="OK"/>
    <m/>
    <x v="0"/>
    <x v="0"/>
    <s v="SMD"/>
    <s v="Metal Composite"/>
    <s v="PCC"/>
    <x v="0"/>
    <x v="15"/>
    <s v="PCC-M0854M"/>
    <x v="0"/>
    <x v="85"/>
    <s v="150"/>
    <x v="15"/>
    <s v="&lt;100"/>
    <x v="10"/>
    <x v="0"/>
    <x v="76"/>
    <x v="78"/>
    <n v="10"/>
    <x v="75"/>
    <x v="63"/>
    <x v="75"/>
    <x v="82"/>
    <n v="8.5"/>
    <n v="8"/>
    <x v="4"/>
    <n v="68"/>
    <x v="7"/>
    <x v="4"/>
    <x v="4"/>
    <n v="-40"/>
    <x v="0"/>
    <x v="0"/>
    <m/>
    <m/>
    <m/>
    <x v="0"/>
    <s v="-"/>
    <x v="0"/>
    <x v="0"/>
    <x v="85"/>
    <s v="https://industrial.panasonic.com/content/data/CC/pictures/lineup-Metal-core.gif"/>
    <s v="画像"/>
    <m/>
    <m/>
  </r>
  <r>
    <n v="62"/>
    <s v="〇"/>
    <m/>
    <s v="OK"/>
    <m/>
    <x v="0"/>
    <x v="0"/>
    <s v="SMD"/>
    <s v="Metal Composite"/>
    <s v="PCC"/>
    <x v="2"/>
    <x v="5"/>
    <s v="PCC-M0630M-LP"/>
    <x v="0"/>
    <x v="86"/>
    <s v="150"/>
    <x v="15"/>
    <s v="&lt;100"/>
    <x v="10"/>
    <x v="0"/>
    <x v="77"/>
    <x v="79"/>
    <n v="10"/>
    <x v="76"/>
    <x v="68"/>
    <x v="76"/>
    <x v="83"/>
    <n v="6.4"/>
    <n v="6"/>
    <x v="2"/>
    <n v="38.4"/>
    <x v="4"/>
    <x v="3"/>
    <x v="2"/>
    <n v="-55"/>
    <x v="2"/>
    <x v="2"/>
    <m/>
    <m/>
    <m/>
    <x v="0"/>
    <s v="-"/>
    <x v="0"/>
    <x v="0"/>
    <x v="86"/>
    <s v="https://industrial.panasonic.com/content/data/CC/pictures/lineup-LP.gif"/>
    <s v="画像"/>
    <m/>
    <m/>
  </r>
  <r>
    <n v="73"/>
    <s v="〇"/>
    <m/>
    <s v="OK"/>
    <m/>
    <x v="0"/>
    <x v="0"/>
    <s v="SMD"/>
    <s v="Metal Composite"/>
    <s v="PCC"/>
    <x v="2"/>
    <x v="6"/>
    <s v="PCC-M0840M-LP"/>
    <x v="0"/>
    <x v="87"/>
    <s v="150"/>
    <x v="15"/>
    <s v="&lt;100"/>
    <x v="10"/>
    <x v="0"/>
    <x v="78"/>
    <x v="80"/>
    <n v="10"/>
    <x v="64"/>
    <x v="69"/>
    <x v="77"/>
    <x v="84"/>
    <n v="8.4"/>
    <n v="8"/>
    <x v="3"/>
    <n v="67.2"/>
    <x v="5"/>
    <x v="4"/>
    <x v="3"/>
    <n v="-55"/>
    <x v="2"/>
    <x v="2"/>
    <m/>
    <m/>
    <m/>
    <x v="0"/>
    <s v="-"/>
    <x v="0"/>
    <x v="0"/>
    <x v="87"/>
    <s v="https://industrial.panasonic.com/content/data/CC/pictures/lineup-LP.gif"/>
    <s v="画像"/>
    <m/>
    <m/>
  </r>
  <r>
    <n v="85"/>
    <s v="〇"/>
    <m/>
    <s v="OK"/>
    <m/>
    <x v="0"/>
    <x v="0"/>
    <s v="SMD"/>
    <s v="Metal Composite"/>
    <s v="PCC"/>
    <x v="2"/>
    <x v="8"/>
    <s v="PCC-M1040M-LP"/>
    <x v="0"/>
    <x v="88"/>
    <s v="150"/>
    <x v="15"/>
    <s v="&lt;100"/>
    <x v="10"/>
    <x v="0"/>
    <x v="79"/>
    <x v="81"/>
    <n v="10"/>
    <x v="29"/>
    <x v="29"/>
    <x v="78"/>
    <x v="85"/>
    <n v="10.7"/>
    <n v="10"/>
    <x v="3"/>
    <n v="107"/>
    <x v="6"/>
    <x v="0"/>
    <x v="3"/>
    <n v="-55"/>
    <x v="2"/>
    <x v="2"/>
    <m/>
    <m/>
    <m/>
    <x v="0"/>
    <s v="-"/>
    <x v="0"/>
    <x v="0"/>
    <x v="88"/>
    <s v="https://industrial.panasonic.com/content/data/CC/pictures/lineup-LP.gif"/>
    <s v="画像"/>
    <m/>
    <m/>
  </r>
  <r>
    <n v="100"/>
    <s v="〇"/>
    <m/>
    <s v="OK"/>
    <m/>
    <x v="0"/>
    <x v="0"/>
    <s v="SMD"/>
    <s v="Metal Composite"/>
    <s v="PCC"/>
    <x v="5"/>
    <x v="16"/>
    <s v="PCC-M0648M-LE"/>
    <x v="0"/>
    <x v="89"/>
    <s v="150"/>
    <x v="15"/>
    <s v="&lt;100"/>
    <x v="10"/>
    <x v="0"/>
    <x v="80"/>
    <x v="82"/>
    <n v="10"/>
    <x v="77"/>
    <x v="70"/>
    <x v="52"/>
    <x v="86"/>
    <n v="6.4"/>
    <n v="6"/>
    <x v="7"/>
    <n v="38.4"/>
    <x v="4"/>
    <x v="3"/>
    <x v="0"/>
    <n v="-40"/>
    <x v="0"/>
    <x v="0"/>
    <m/>
    <m/>
    <m/>
    <x v="0"/>
    <s v="-"/>
    <x v="0"/>
    <x v="0"/>
    <x v="89"/>
    <s v="https://industrial.panasonic.com/content/data/CC/pictures/lineup-LE.gif"/>
    <s v="画像"/>
    <m/>
    <m/>
  </r>
  <r>
    <n v="122"/>
    <s v="〇"/>
    <d v="2022-11-18T00:00:00"/>
    <s v="OK"/>
    <m/>
    <x v="0"/>
    <x v="0"/>
    <s v="SMD"/>
    <s v="Metal Composite"/>
    <s v="PCC"/>
    <x v="5"/>
    <x v="20"/>
    <s v="PCC-M0748M-LE"/>
    <x v="0"/>
    <x v="90"/>
    <s v="150"/>
    <x v="15"/>
    <s v="&lt;100"/>
    <x v="10"/>
    <x v="0"/>
    <x v="81"/>
    <x v="83"/>
    <n v="10"/>
    <x v="78"/>
    <x v="53"/>
    <x v="75"/>
    <x v="87"/>
    <n v="7.4"/>
    <n v="7"/>
    <x v="7"/>
    <n v="51.8"/>
    <x v="10"/>
    <x v="5"/>
    <x v="0"/>
    <n v="-40"/>
    <x v="0"/>
    <x v="0"/>
    <m/>
    <m/>
    <m/>
    <x v="0"/>
    <s v="-"/>
    <x v="0"/>
    <x v="0"/>
    <x v="90"/>
    <s v="https://industrial.panasonic.com/content/data/CC/pictures/lineup-LE.gif"/>
    <s v="画像"/>
    <m/>
    <m/>
  </r>
  <r>
    <n v="6"/>
    <s v="〇"/>
    <m/>
    <s v="OK"/>
    <m/>
    <x v="0"/>
    <x v="0"/>
    <s v="SMD"/>
    <s v="Metal Composite"/>
    <s v="PCC"/>
    <x v="0"/>
    <x v="13"/>
    <s v="PCC-M0645M"/>
    <x v="0"/>
    <x v="91"/>
    <s v="220"/>
    <x v="16"/>
    <s v="&lt;100"/>
    <x v="11"/>
    <x v="0"/>
    <x v="82"/>
    <x v="84"/>
    <n v="10"/>
    <x v="69"/>
    <x v="71"/>
    <x v="79"/>
    <x v="88"/>
    <n v="6.5"/>
    <n v="6"/>
    <x v="6"/>
    <n v="39"/>
    <x v="3"/>
    <x v="3"/>
    <x v="0"/>
    <n v="-40"/>
    <x v="0"/>
    <x v="0"/>
    <m/>
    <m/>
    <m/>
    <x v="0"/>
    <s v="-"/>
    <x v="0"/>
    <x v="0"/>
    <x v="91"/>
    <s v="https://industrial.panasonic.com/content/data/CC/pictures/lineup-Metal-core.gif"/>
    <s v="画像"/>
    <m/>
    <m/>
  </r>
  <r>
    <n v="12"/>
    <s v="〇"/>
    <m/>
    <s v="OK"/>
    <m/>
    <x v="0"/>
    <x v="0"/>
    <s v="SMD"/>
    <s v="Metal Composite"/>
    <s v="PCC"/>
    <x v="0"/>
    <x v="19"/>
    <s v="PCC-M0540M"/>
    <x v="0"/>
    <x v="92"/>
    <s v="220"/>
    <x v="16"/>
    <s v="&lt;100"/>
    <x v="11"/>
    <x v="0"/>
    <x v="83"/>
    <x v="85"/>
    <n v="10"/>
    <x v="79"/>
    <x v="72"/>
    <x v="80"/>
    <x v="89"/>
    <n v="5.5"/>
    <n v="5"/>
    <x v="3"/>
    <n v="27.5"/>
    <x v="2"/>
    <x v="2"/>
    <x v="3"/>
    <n v="-40"/>
    <x v="0"/>
    <x v="0"/>
    <m/>
    <m/>
    <m/>
    <x v="0"/>
    <s v="-"/>
    <x v="0"/>
    <x v="0"/>
    <x v="92"/>
    <s v="https://industrial.panasonic.com/content/data/CC/pictures/lineup-Metal-core.gif"/>
    <s v="画像"/>
    <m/>
    <m/>
  </r>
  <r>
    <n v="19"/>
    <s v="〇"/>
    <m/>
    <s v="OK"/>
    <m/>
    <x v="0"/>
    <x v="0"/>
    <s v="SMD"/>
    <s v="Metal Composite"/>
    <s v="PCC"/>
    <x v="0"/>
    <x v="9"/>
    <s v="PCC-M1054M"/>
    <x v="0"/>
    <x v="93"/>
    <s v="220"/>
    <x v="16"/>
    <s v="&lt;100"/>
    <x v="11"/>
    <x v="0"/>
    <x v="84"/>
    <x v="86"/>
    <n v="10"/>
    <x v="80"/>
    <x v="29"/>
    <x v="78"/>
    <x v="90"/>
    <n v="10.7"/>
    <n v="10"/>
    <x v="4"/>
    <n v="107"/>
    <x v="6"/>
    <x v="0"/>
    <x v="4"/>
    <n v="-40"/>
    <x v="0"/>
    <x v="0"/>
    <m/>
    <m/>
    <m/>
    <x v="0"/>
    <s v="-"/>
    <x v="0"/>
    <x v="0"/>
    <x v="93"/>
    <s v="https://industrial.panasonic.com/content/data/CC/pictures/lineup-Metal-core.gif"/>
    <s v="画像"/>
    <m/>
    <m/>
  </r>
  <r>
    <n v="27"/>
    <s v="〇"/>
    <m/>
    <s v="OK"/>
    <m/>
    <x v="0"/>
    <x v="0"/>
    <s v="SMD"/>
    <s v="Metal Composite"/>
    <s v="PCC"/>
    <x v="0"/>
    <x v="15"/>
    <s v="PCC-M0854M"/>
    <x v="0"/>
    <x v="94"/>
    <s v="220"/>
    <x v="16"/>
    <s v="&lt;100"/>
    <x v="11"/>
    <x v="0"/>
    <x v="85"/>
    <x v="87"/>
    <n v="10"/>
    <x v="51"/>
    <x v="38"/>
    <x v="81"/>
    <x v="91"/>
    <n v="8.5"/>
    <n v="8"/>
    <x v="4"/>
    <n v="68"/>
    <x v="7"/>
    <x v="4"/>
    <x v="4"/>
    <n v="-40"/>
    <x v="0"/>
    <x v="0"/>
    <m/>
    <m/>
    <m/>
    <x v="0"/>
    <s v="-"/>
    <x v="0"/>
    <x v="0"/>
    <x v="94"/>
    <s v="https://industrial.panasonic.com/content/data/CC/pictures/lineup-Metal-core.gif"/>
    <s v="画像"/>
    <m/>
    <m/>
  </r>
  <r>
    <n v="33"/>
    <s v="〇"/>
    <m/>
    <s v="OK"/>
    <m/>
    <x v="0"/>
    <x v="0"/>
    <s v="SMD"/>
    <s v="Metal Composite"/>
    <s v="PCC"/>
    <x v="0"/>
    <x v="17"/>
    <s v="PCC-M0754M"/>
    <x v="0"/>
    <x v="95"/>
    <s v="220"/>
    <x v="16"/>
    <s v="&lt;100"/>
    <x v="11"/>
    <x v="0"/>
    <x v="86"/>
    <x v="88"/>
    <n v="10"/>
    <x v="72"/>
    <x v="65"/>
    <x v="68"/>
    <x v="92"/>
    <n v="7.5"/>
    <n v="7"/>
    <x v="4"/>
    <n v="52.5"/>
    <x v="9"/>
    <x v="5"/>
    <x v="4"/>
    <n v="-40"/>
    <x v="0"/>
    <x v="0"/>
    <m/>
    <m/>
    <m/>
    <x v="0"/>
    <s v="-"/>
    <x v="0"/>
    <x v="0"/>
    <x v="95"/>
    <s v="https://industrial.panasonic.com/content/data/CC/pictures/lineup-Metal-core.gif"/>
    <s v="画像"/>
    <m/>
    <m/>
  </r>
  <r>
    <n v="61"/>
    <s v="〇"/>
    <m/>
    <s v="OK"/>
    <m/>
    <x v="0"/>
    <x v="0"/>
    <s v="SMD"/>
    <s v="Metal Composite"/>
    <s v="PCC"/>
    <x v="2"/>
    <x v="5"/>
    <s v="PCC-M0630M-LP"/>
    <x v="0"/>
    <x v="96"/>
    <s v="220"/>
    <x v="16"/>
    <s v="&lt;100"/>
    <x v="11"/>
    <x v="0"/>
    <x v="87"/>
    <x v="89"/>
    <n v="10"/>
    <x v="81"/>
    <x v="73"/>
    <x v="82"/>
    <x v="93"/>
    <n v="6.4"/>
    <n v="6"/>
    <x v="2"/>
    <n v="38.4"/>
    <x v="4"/>
    <x v="3"/>
    <x v="2"/>
    <n v="-55"/>
    <x v="2"/>
    <x v="2"/>
    <m/>
    <m/>
    <m/>
    <x v="0"/>
    <s v="-"/>
    <x v="0"/>
    <x v="0"/>
    <x v="96"/>
    <s v="https://industrial.panasonic.com/content/data/CC/pictures/lineup-LP.gif"/>
    <s v="画像"/>
    <m/>
    <m/>
  </r>
  <r>
    <n v="72"/>
    <s v="〇"/>
    <m/>
    <s v="OK"/>
    <m/>
    <x v="0"/>
    <x v="0"/>
    <s v="SMD"/>
    <s v="Metal Composite"/>
    <s v="PCC"/>
    <x v="2"/>
    <x v="6"/>
    <s v="PCC-M0840M-LP"/>
    <x v="0"/>
    <x v="97"/>
    <s v="220"/>
    <x v="16"/>
    <s v="&lt;100"/>
    <x v="11"/>
    <x v="0"/>
    <x v="88"/>
    <x v="90"/>
    <n v="10"/>
    <x v="82"/>
    <x v="74"/>
    <x v="79"/>
    <x v="86"/>
    <n v="8.4"/>
    <n v="8"/>
    <x v="3"/>
    <n v="67.2"/>
    <x v="5"/>
    <x v="4"/>
    <x v="3"/>
    <n v="-55"/>
    <x v="2"/>
    <x v="2"/>
    <m/>
    <m/>
    <m/>
    <x v="0"/>
    <s v="-"/>
    <x v="0"/>
    <x v="0"/>
    <x v="97"/>
    <s v="https://industrial.panasonic.com/content/data/CC/pictures/lineup-LP.gif"/>
    <s v="画像"/>
    <m/>
    <m/>
  </r>
  <r>
    <n v="84"/>
    <s v="〇"/>
    <m/>
    <s v="OK"/>
    <m/>
    <x v="0"/>
    <x v="0"/>
    <s v="SMD"/>
    <s v="Metal Composite"/>
    <s v="PCC"/>
    <x v="2"/>
    <x v="8"/>
    <s v="PCC-M1040M-LP"/>
    <x v="0"/>
    <x v="98"/>
    <s v="220"/>
    <x v="16"/>
    <s v="&lt;100"/>
    <x v="11"/>
    <x v="0"/>
    <x v="89"/>
    <x v="91"/>
    <n v="10"/>
    <x v="39"/>
    <x v="38"/>
    <x v="83"/>
    <x v="94"/>
    <n v="10.7"/>
    <n v="10"/>
    <x v="3"/>
    <n v="107"/>
    <x v="6"/>
    <x v="0"/>
    <x v="3"/>
    <n v="-55"/>
    <x v="2"/>
    <x v="2"/>
    <m/>
    <m/>
    <m/>
    <x v="0"/>
    <s v="-"/>
    <x v="0"/>
    <x v="0"/>
    <x v="98"/>
    <s v="https://industrial.panasonic.com/content/data/CC/pictures/lineup-LP.gif"/>
    <s v="画像"/>
    <m/>
    <m/>
  </r>
  <r>
    <n v="95"/>
    <s v="〇"/>
    <m/>
    <s v="OK"/>
    <m/>
    <x v="0"/>
    <x v="0"/>
    <s v="SMD"/>
    <s v="Metal Composite"/>
    <s v="PCC"/>
    <x v="4"/>
    <x v="21"/>
    <s v="PCC-M0630M-H"/>
    <x v="0"/>
    <x v="99"/>
    <s v="220"/>
    <x v="16"/>
    <s v="&lt;100"/>
    <x v="11"/>
    <x v="0"/>
    <x v="90"/>
    <x v="92"/>
    <n v="20"/>
    <x v="83"/>
    <x v="75"/>
    <x v="84"/>
    <x v="95"/>
    <n v="6.5"/>
    <n v="6"/>
    <x v="2"/>
    <n v="39"/>
    <x v="3"/>
    <x v="3"/>
    <x v="2"/>
    <n v="-40"/>
    <x v="0"/>
    <x v="0"/>
    <m/>
    <m/>
    <m/>
    <x v="0"/>
    <s v="-"/>
    <x v="0"/>
    <x v="0"/>
    <x v="99"/>
    <s v="https://industrial.panasonic.com/content/data/CC/pictures/lineup-H.gif"/>
    <s v="画像"/>
    <m/>
    <m/>
  </r>
  <r>
    <n v="103"/>
    <s v="〇"/>
    <m/>
    <s v="OK"/>
    <m/>
    <x v="0"/>
    <x v="0"/>
    <s v="SMD"/>
    <s v="Metal Composite"/>
    <s v="PCC"/>
    <x v="5"/>
    <x v="20"/>
    <s v="PCC-M0748M-LE"/>
    <x v="0"/>
    <x v="100"/>
    <s v="220"/>
    <x v="16"/>
    <s v="&lt;100"/>
    <x v="11"/>
    <x v="0"/>
    <x v="91"/>
    <x v="93"/>
    <n v="10"/>
    <x v="84"/>
    <x v="59"/>
    <x v="85"/>
    <x v="96"/>
    <n v="7.4"/>
    <n v="7"/>
    <x v="7"/>
    <n v="51.8"/>
    <x v="10"/>
    <x v="5"/>
    <x v="0"/>
    <n v="-40"/>
    <x v="0"/>
    <x v="0"/>
    <m/>
    <m/>
    <m/>
    <x v="0"/>
    <s v="-"/>
    <x v="0"/>
    <x v="0"/>
    <x v="100"/>
    <s v="https://industrial.panasonic.com/content/data/CC/pictures/lineup-LE.gif"/>
    <s v="画像"/>
    <m/>
    <m/>
  </r>
  <r>
    <n v="121"/>
    <s v="〇"/>
    <d v="2022-11-18T00:00:00"/>
    <s v="OK"/>
    <m/>
    <x v="0"/>
    <x v="0"/>
    <s v="SMD"/>
    <s v="Metal Composite"/>
    <s v="PCC"/>
    <x v="5"/>
    <x v="20"/>
    <s v="PCC-M0648M-LE"/>
    <x v="0"/>
    <x v="101"/>
    <s v="220"/>
    <x v="16"/>
    <s v="&lt;100"/>
    <x v="11"/>
    <x v="0"/>
    <x v="92"/>
    <x v="94"/>
    <n v="10"/>
    <x v="85"/>
    <x v="64"/>
    <x v="86"/>
    <x v="95"/>
    <n v="6.4"/>
    <n v="6"/>
    <x v="7"/>
    <n v="38.4"/>
    <x v="4"/>
    <x v="3"/>
    <x v="0"/>
    <n v="-40"/>
    <x v="0"/>
    <x v="0"/>
    <m/>
    <m/>
    <m/>
    <x v="0"/>
    <s v="-"/>
    <x v="0"/>
    <x v="0"/>
    <x v="101"/>
    <s v="https://industrial.panasonic.com/content/data/CC/pictures/lineup-LE.gif"/>
    <s v="画像"/>
    <m/>
    <m/>
  </r>
  <r>
    <n v="7"/>
    <s v="〇"/>
    <m/>
    <s v="OK"/>
    <m/>
    <x v="0"/>
    <x v="0"/>
    <s v="SMD"/>
    <s v="Metal Composite"/>
    <s v="PCC"/>
    <x v="0"/>
    <x v="13"/>
    <s v="PCC-M0645M"/>
    <x v="0"/>
    <x v="102"/>
    <s v="330"/>
    <x v="17"/>
    <s v="&lt;100"/>
    <x v="12"/>
    <x v="0"/>
    <x v="93"/>
    <x v="95"/>
    <n v="10"/>
    <x v="83"/>
    <x v="76"/>
    <x v="86"/>
    <x v="97"/>
    <n v="6.5"/>
    <n v="6"/>
    <x v="6"/>
    <n v="39"/>
    <x v="3"/>
    <x v="3"/>
    <x v="0"/>
    <n v="-40"/>
    <x v="0"/>
    <x v="0"/>
    <m/>
    <m/>
    <m/>
    <x v="0"/>
    <s v="-"/>
    <x v="0"/>
    <x v="0"/>
    <x v="102"/>
    <s v="https://industrial.panasonic.com/content/data/CC/pictures/lineup-Metal-core.gif"/>
    <s v="画像"/>
    <m/>
    <m/>
  </r>
  <r>
    <n v="20"/>
    <s v="〇"/>
    <m/>
    <s v="OK"/>
    <m/>
    <x v="0"/>
    <x v="0"/>
    <s v="SMD"/>
    <s v="Metal Composite"/>
    <s v="PCC"/>
    <x v="0"/>
    <x v="9"/>
    <s v="PCC-M1054M"/>
    <x v="0"/>
    <x v="103"/>
    <s v="330"/>
    <x v="17"/>
    <s v="&lt;100"/>
    <x v="12"/>
    <x v="0"/>
    <x v="94"/>
    <x v="96"/>
    <n v="10"/>
    <x v="39"/>
    <x v="77"/>
    <x v="77"/>
    <x v="65"/>
    <n v="10.7"/>
    <n v="10"/>
    <x v="4"/>
    <n v="107"/>
    <x v="6"/>
    <x v="0"/>
    <x v="4"/>
    <n v="-40"/>
    <x v="0"/>
    <x v="0"/>
    <m/>
    <m/>
    <m/>
    <x v="0"/>
    <s v="-"/>
    <x v="0"/>
    <x v="0"/>
    <x v="103"/>
    <s v="https://industrial.panasonic.com/content/data/CC/pictures/lineup-Metal-core.gif"/>
    <s v="画像"/>
    <m/>
    <m/>
  </r>
  <r>
    <n v="34"/>
    <s v="〇"/>
    <m/>
    <s v="OK"/>
    <m/>
    <x v="0"/>
    <x v="0"/>
    <s v="SMD"/>
    <s v="Metal Composite"/>
    <s v="PCC"/>
    <x v="0"/>
    <x v="17"/>
    <s v="PCC-M0754M"/>
    <x v="0"/>
    <x v="104"/>
    <s v="330"/>
    <x v="17"/>
    <s v="&lt;100"/>
    <x v="12"/>
    <x v="0"/>
    <x v="95"/>
    <x v="97"/>
    <n v="10"/>
    <x v="86"/>
    <x v="78"/>
    <x v="87"/>
    <x v="98"/>
    <n v="7.5"/>
    <n v="7"/>
    <x v="4"/>
    <n v="52.5"/>
    <x v="9"/>
    <x v="5"/>
    <x v="4"/>
    <n v="-40"/>
    <x v="0"/>
    <x v="0"/>
    <m/>
    <m/>
    <m/>
    <x v="0"/>
    <s v="-"/>
    <x v="0"/>
    <x v="0"/>
    <x v="104"/>
    <s v="https://industrial.panasonic.com/content/data/CC/pictures/lineup-Metal-core.gif"/>
    <s v="画像"/>
    <m/>
    <m/>
  </r>
  <r>
    <n v="60"/>
    <s v="〇"/>
    <m/>
    <s v="OK"/>
    <m/>
    <x v="0"/>
    <x v="0"/>
    <s v="SMD"/>
    <s v="Metal Composite"/>
    <s v="PCC"/>
    <x v="2"/>
    <x v="5"/>
    <s v="PCC-M0630M-LP"/>
    <x v="0"/>
    <x v="105"/>
    <s v="330"/>
    <x v="17"/>
    <s v="&lt;100"/>
    <x v="12"/>
    <x v="0"/>
    <x v="96"/>
    <x v="98"/>
    <n v="10"/>
    <x v="87"/>
    <x v="79"/>
    <x v="88"/>
    <x v="99"/>
    <n v="6.4"/>
    <n v="6"/>
    <x v="2"/>
    <n v="38.4"/>
    <x v="4"/>
    <x v="3"/>
    <x v="2"/>
    <n v="-55"/>
    <x v="2"/>
    <x v="2"/>
    <m/>
    <m/>
    <m/>
    <x v="0"/>
    <s v="-"/>
    <x v="0"/>
    <x v="0"/>
    <x v="105"/>
    <s v="https://industrial.panasonic.com/content/data/CC/pictures/lineup-LP.gif"/>
    <s v="画像"/>
    <m/>
    <m/>
  </r>
  <r>
    <n v="71"/>
    <s v="〇"/>
    <m/>
    <s v="OK"/>
    <m/>
    <x v="0"/>
    <x v="0"/>
    <s v="SMD"/>
    <s v="Metal Composite"/>
    <s v="PCC"/>
    <x v="2"/>
    <x v="6"/>
    <s v="PCC-M0840M-LP"/>
    <x v="0"/>
    <x v="106"/>
    <s v="330"/>
    <x v="17"/>
    <s v="&lt;100"/>
    <x v="12"/>
    <x v="0"/>
    <x v="97"/>
    <x v="99"/>
    <n v="10"/>
    <x v="85"/>
    <x v="78"/>
    <x v="89"/>
    <x v="100"/>
    <n v="8.4"/>
    <n v="8"/>
    <x v="3"/>
    <n v="67.2"/>
    <x v="5"/>
    <x v="4"/>
    <x v="3"/>
    <n v="-55"/>
    <x v="2"/>
    <x v="2"/>
    <m/>
    <m/>
    <m/>
    <x v="0"/>
    <s v="-"/>
    <x v="0"/>
    <x v="0"/>
    <x v="106"/>
    <s v="https://industrial.panasonic.com/content/data/CC/pictures/lineup-LP.gif"/>
    <s v="画像"/>
    <m/>
    <m/>
  </r>
  <r>
    <n v="83"/>
    <s v="〇"/>
    <m/>
    <s v="OK"/>
    <m/>
    <x v="0"/>
    <x v="0"/>
    <s v="SMD"/>
    <s v="Metal Composite"/>
    <s v="PCC"/>
    <x v="2"/>
    <x v="8"/>
    <s v="PCC-M1040M-LP"/>
    <x v="0"/>
    <x v="107"/>
    <s v="330"/>
    <x v="17"/>
    <s v="&lt;100"/>
    <x v="12"/>
    <x v="0"/>
    <x v="98"/>
    <x v="100"/>
    <n v="10"/>
    <x v="77"/>
    <x v="53"/>
    <x v="90"/>
    <x v="101"/>
    <n v="10.7"/>
    <n v="10"/>
    <x v="3"/>
    <n v="107"/>
    <x v="6"/>
    <x v="0"/>
    <x v="3"/>
    <n v="-55"/>
    <x v="2"/>
    <x v="2"/>
    <m/>
    <m/>
    <m/>
    <x v="0"/>
    <s v="-"/>
    <x v="0"/>
    <x v="0"/>
    <x v="107"/>
    <s v="https://industrial.panasonic.com/content/data/CC/pictures/lineup-LP.gif"/>
    <s v="画像"/>
    <m/>
    <m/>
  </r>
  <r>
    <n v="120"/>
    <s v="〇"/>
    <s v="2022/6/30カタログ追加"/>
    <s v="OK"/>
    <m/>
    <x v="0"/>
    <x v="0"/>
    <s v="SMD"/>
    <s v="Metal Composite"/>
    <s v="PCC"/>
    <x v="5"/>
    <x v="20"/>
    <s v="PCC-M0748M-LE"/>
    <x v="0"/>
    <x v="108"/>
    <s v="330"/>
    <x v="17"/>
    <s v="&lt;100"/>
    <x v="12"/>
    <x v="0"/>
    <x v="99"/>
    <x v="101"/>
    <n v="10"/>
    <x v="88"/>
    <x v="68"/>
    <x v="67"/>
    <x v="102"/>
    <n v="7.4"/>
    <n v="7"/>
    <x v="7"/>
    <n v="51.8"/>
    <x v="10"/>
    <x v="5"/>
    <x v="0"/>
    <n v="-40"/>
    <x v="0"/>
    <x v="0"/>
    <m/>
    <m/>
    <m/>
    <x v="0"/>
    <s v="-"/>
    <x v="0"/>
    <x v="0"/>
    <x v="108"/>
    <s v="https://industrial.panasonic.com/content/data/CC/pictures/lineup-LE.gif"/>
    <s v="画像"/>
    <m/>
    <m/>
  </r>
  <r>
    <n v="115"/>
    <s v="〇"/>
    <s v="2021/11/12 カタログMP扱い(一時期NRND扱いになり削除していた)。2017/6/1追加。"/>
    <m/>
    <m/>
    <x v="0"/>
    <x v="0"/>
    <s v="SMD"/>
    <s v="Dust"/>
    <s v="PCC"/>
    <x v="6"/>
    <x v="24"/>
    <s v="PCC-D1413H"/>
    <x v="0"/>
    <x v="109"/>
    <s v="240"/>
    <x v="18"/>
    <s v="&lt;100"/>
    <x v="12"/>
    <x v="1"/>
    <x v="100"/>
    <x v="102"/>
    <n v="10"/>
    <x v="89"/>
    <x v="80"/>
    <x v="91"/>
    <x v="103"/>
    <n v="14"/>
    <n v="14"/>
    <x v="8"/>
    <n v="196"/>
    <x v="11"/>
    <x v="6"/>
    <x v="5"/>
    <n v="-40"/>
    <x v="0"/>
    <x v="0"/>
    <m/>
    <m/>
    <m/>
    <x v="0"/>
    <s v="-"/>
    <x v="0"/>
    <x v="0"/>
    <x v="109"/>
    <s v="https://industrial.panasonic.com/content/data/CC/pictures/lineup-Dust-core.gif"/>
    <s v="画像"/>
    <m/>
    <m/>
  </r>
  <r>
    <n v="8"/>
    <s v="〇"/>
    <m/>
    <s v="OK"/>
    <m/>
    <x v="0"/>
    <x v="0"/>
    <s v="SMD"/>
    <s v="Metal Composite"/>
    <s v="PCC"/>
    <x v="0"/>
    <x v="13"/>
    <s v="PCC-M0645M"/>
    <x v="0"/>
    <x v="110"/>
    <s v="470"/>
    <x v="19"/>
    <s v="&lt;100"/>
    <x v="13"/>
    <x v="0"/>
    <x v="101"/>
    <x v="103"/>
    <n v="10"/>
    <x v="90"/>
    <x v="81"/>
    <x v="92"/>
    <x v="104"/>
    <n v="6.5"/>
    <n v="6"/>
    <x v="6"/>
    <n v="39"/>
    <x v="3"/>
    <x v="3"/>
    <x v="0"/>
    <n v="-40"/>
    <x v="0"/>
    <x v="0"/>
    <m/>
    <m/>
    <m/>
    <x v="0"/>
    <s v="-"/>
    <x v="0"/>
    <x v="0"/>
    <x v="110"/>
    <s v="https://industrial.panasonic.com/content/data/CC/pictures/lineup-Metal-core.gif"/>
    <s v="画像"/>
    <m/>
    <m/>
  </r>
  <r>
    <n v="21"/>
    <s v="〇"/>
    <m/>
    <s v="OK"/>
    <m/>
    <x v="0"/>
    <x v="0"/>
    <s v="SMD"/>
    <s v="Metal Composite"/>
    <s v="PCC"/>
    <x v="0"/>
    <x v="9"/>
    <s v="PCC-M1054M"/>
    <x v="0"/>
    <x v="111"/>
    <s v="470"/>
    <x v="19"/>
    <s v="&lt;100"/>
    <x v="13"/>
    <x v="0"/>
    <x v="102"/>
    <x v="104"/>
    <n v="10"/>
    <x v="77"/>
    <x v="62"/>
    <x v="93"/>
    <x v="105"/>
    <n v="10.7"/>
    <n v="10"/>
    <x v="4"/>
    <n v="107"/>
    <x v="6"/>
    <x v="0"/>
    <x v="4"/>
    <n v="-40"/>
    <x v="0"/>
    <x v="0"/>
    <m/>
    <m/>
    <m/>
    <x v="0"/>
    <s v="-"/>
    <x v="0"/>
    <x v="0"/>
    <x v="111"/>
    <s v="https://industrial.panasonic.com/content/data/CC/pictures/lineup-Metal-core.gif"/>
    <s v="画像"/>
    <m/>
    <m/>
  </r>
  <r>
    <n v="82"/>
    <s v="〇"/>
    <m/>
    <s v="OK"/>
    <m/>
    <x v="0"/>
    <x v="0"/>
    <s v="SMD"/>
    <s v="Metal Composite"/>
    <s v="PCC"/>
    <x v="2"/>
    <x v="8"/>
    <s v="PCC-M1040M-LP"/>
    <x v="0"/>
    <x v="112"/>
    <s v="470"/>
    <x v="19"/>
    <s v="&lt;100"/>
    <x v="13"/>
    <x v="0"/>
    <x v="103"/>
    <x v="105"/>
    <n v="10"/>
    <x v="88"/>
    <x v="82"/>
    <x v="89"/>
    <x v="106"/>
    <n v="10.7"/>
    <n v="10"/>
    <x v="3"/>
    <n v="107"/>
    <x v="6"/>
    <x v="0"/>
    <x v="3"/>
    <n v="-55"/>
    <x v="2"/>
    <x v="2"/>
    <m/>
    <m/>
    <m/>
    <x v="0"/>
    <s v="-"/>
    <x v="0"/>
    <x v="0"/>
    <x v="112"/>
    <s v="https://industrial.panasonic.com/content/data/CC/pictures/lineup-LP.gif"/>
    <s v="画像"/>
    <m/>
    <m/>
  </r>
  <r>
    <n v="104"/>
    <s v="〇"/>
    <s v="2025/12/19 MP"/>
    <s v="OK"/>
    <m/>
    <x v="0"/>
    <x v="0"/>
    <s v="SMD"/>
    <s v="Metal Composite"/>
    <s v="PCC"/>
    <x v="5"/>
    <x v="20"/>
    <s v="PCC-M0748M-LE"/>
    <x v="0"/>
    <x v="113"/>
    <s v="470"/>
    <x v="19"/>
    <s v="&lt;100"/>
    <x v="13"/>
    <x v="0"/>
    <x v="104"/>
    <x v="106"/>
    <n v="10"/>
    <x v="69"/>
    <x v="73"/>
    <x v="94"/>
    <x v="107"/>
    <n v="7.4"/>
    <n v="7"/>
    <x v="7"/>
    <n v="51.8"/>
    <x v="10"/>
    <x v="5"/>
    <x v="0"/>
    <n v="-40"/>
    <x v="0"/>
    <x v="0"/>
    <m/>
    <m/>
    <m/>
    <x v="0"/>
    <s v="-"/>
    <x v="0"/>
    <x v="0"/>
    <x v="113"/>
    <s v="https://industrial.panasonic.com/content/data/CC/pictures/lineup-LE.gif"/>
    <s v="画像"/>
    <m/>
    <m/>
  </r>
  <r>
    <n v="28"/>
    <s v="〇"/>
    <m/>
    <s v="OK"/>
    <m/>
    <x v="0"/>
    <x v="0"/>
    <s v="SMD"/>
    <s v="Metal Composite"/>
    <s v="PCC"/>
    <x v="0"/>
    <x v="15"/>
    <s v="PCC-M0854M"/>
    <x v="0"/>
    <x v="114"/>
    <s v="470"/>
    <x v="20"/>
    <s v="&lt;100"/>
    <x v="13"/>
    <x v="0"/>
    <x v="105"/>
    <x v="107"/>
    <n v="10"/>
    <x v="88"/>
    <x v="59"/>
    <x v="95"/>
    <x v="108"/>
    <n v="8.5"/>
    <n v="8"/>
    <x v="4"/>
    <n v="68"/>
    <x v="7"/>
    <x v="4"/>
    <x v="4"/>
    <n v="-40"/>
    <x v="0"/>
    <x v="0"/>
    <m/>
    <m/>
    <m/>
    <x v="0"/>
    <s v="-"/>
    <x v="0"/>
    <x v="0"/>
    <x v="114"/>
    <s v="https://industrial.panasonic.com/content/data/CC/pictures/lineup-Metal-core.gif"/>
    <s v="画像"/>
    <m/>
    <m/>
  </r>
  <r>
    <n v="35"/>
    <s v="〇"/>
    <m/>
    <s v="OK"/>
    <m/>
    <x v="0"/>
    <x v="0"/>
    <s v="SMD"/>
    <s v="Metal Composite"/>
    <s v="PCC"/>
    <x v="0"/>
    <x v="17"/>
    <s v="PCC-M0754M"/>
    <x v="0"/>
    <x v="115"/>
    <s v="470"/>
    <x v="20"/>
    <s v="&lt;100"/>
    <x v="13"/>
    <x v="0"/>
    <x v="106"/>
    <x v="108"/>
    <n v="10"/>
    <x v="69"/>
    <x v="71"/>
    <x v="86"/>
    <x v="109"/>
    <n v="7.5"/>
    <n v="7"/>
    <x v="4"/>
    <n v="52.5"/>
    <x v="9"/>
    <x v="5"/>
    <x v="4"/>
    <n v="-40"/>
    <x v="0"/>
    <x v="0"/>
    <m/>
    <m/>
    <m/>
    <x v="0"/>
    <s v="-"/>
    <x v="0"/>
    <x v="0"/>
    <x v="115"/>
    <s v="https://industrial.panasonic.com/content/data/CC/pictures/lineup-Metal-core.gif"/>
    <s v="画像"/>
    <m/>
    <m/>
  </r>
  <r>
    <n v="22"/>
    <s v="〇"/>
    <m/>
    <s v="OK"/>
    <m/>
    <x v="0"/>
    <x v="0"/>
    <s v="SMD"/>
    <s v="Metal Composite"/>
    <s v="PCC"/>
    <x v="0"/>
    <x v="9"/>
    <s v="PCC-M1054M"/>
    <x v="0"/>
    <x v="116"/>
    <s v="680"/>
    <x v="21"/>
    <s v="&lt;100"/>
    <x v="14"/>
    <x v="0"/>
    <x v="107"/>
    <x v="109"/>
    <n v="10"/>
    <x v="70"/>
    <x v="65"/>
    <x v="96"/>
    <x v="110"/>
    <n v="10.7"/>
    <n v="10"/>
    <x v="4"/>
    <n v="107"/>
    <x v="6"/>
    <x v="0"/>
    <x v="4"/>
    <n v="-40"/>
    <x v="0"/>
    <x v="0"/>
    <m/>
    <m/>
    <m/>
    <x v="0"/>
    <s v="-"/>
    <x v="0"/>
    <x v="0"/>
    <x v="116"/>
    <s v="https://industrial.panasonic.com/content/data/CC/pictures/lineup-Metal-core.gif"/>
    <s v="画像"/>
    <m/>
    <m/>
  </r>
  <r>
    <n v="108"/>
    <s v="〇"/>
    <s v="2022/*/* MP。2021/11/12 カタログUD扱い。2019/11/15追加"/>
    <s v="OK"/>
    <m/>
    <x v="0"/>
    <x v="0"/>
    <s v="SMD"/>
    <s v="Metal Composite"/>
    <s v="PCC"/>
    <x v="0"/>
    <x v="17"/>
    <s v="PCC-M0754M"/>
    <x v="0"/>
    <x v="117"/>
    <s v="680"/>
    <x v="22"/>
    <s v="&lt;100"/>
    <x v="14"/>
    <x v="0"/>
    <x v="108"/>
    <x v="110"/>
    <n v="10"/>
    <x v="79"/>
    <x v="72"/>
    <x v="97"/>
    <x v="111"/>
    <n v="7.5"/>
    <n v="7"/>
    <x v="4"/>
    <n v="52.5"/>
    <x v="9"/>
    <x v="5"/>
    <x v="4"/>
    <n v="-40"/>
    <x v="0"/>
    <x v="0"/>
    <m/>
    <m/>
    <m/>
    <x v="0"/>
    <s v="-"/>
    <x v="0"/>
    <x v="0"/>
    <x v="117"/>
    <s v="https://industrial.panasonic.com/content/data/CC/pictures/lineup-Metal-core.gif"/>
    <s v="画像"/>
    <m/>
    <m/>
  </r>
  <r>
    <n v="118"/>
    <s v="〇"/>
    <s v="2022/6/30カタログ追加"/>
    <s v="OK"/>
    <m/>
    <x v="0"/>
    <x v="0"/>
    <s v="SMD"/>
    <s v="Metal Composite"/>
    <s v="PCC"/>
    <x v="2"/>
    <x v="8"/>
    <s v="PCC-M1040M-LP"/>
    <x v="0"/>
    <x v="118"/>
    <s v="680"/>
    <x v="22"/>
    <s v="&lt;100"/>
    <x v="14"/>
    <x v="0"/>
    <x v="109"/>
    <x v="111"/>
    <n v="10"/>
    <x v="69"/>
    <x v="64"/>
    <x v="89"/>
    <x v="73"/>
    <n v="10.7"/>
    <n v="10"/>
    <x v="3"/>
    <n v="107"/>
    <x v="6"/>
    <x v="0"/>
    <x v="3"/>
    <n v="-55"/>
    <x v="2"/>
    <x v="2"/>
    <m/>
    <m/>
    <m/>
    <x v="0"/>
    <s v="-"/>
    <x v="0"/>
    <x v="0"/>
    <x v="118"/>
    <s v="https://industrial.panasonic.com/content/data/CC/pictures/lineup-LP.gif"/>
    <s v="画像"/>
    <m/>
    <m/>
  </r>
  <r>
    <n v="125"/>
    <s v="〇"/>
    <d v="2022-11-18T00:00:00"/>
    <s v="OK"/>
    <m/>
    <x v="0"/>
    <x v="0"/>
    <s v="SMD"/>
    <s v="Metal Composite"/>
    <s v="PCC"/>
    <x v="0"/>
    <x v="18"/>
    <s v="PCC-M1050M"/>
    <x v="0"/>
    <x v="119"/>
    <s v="820"/>
    <x v="23"/>
    <s v="&lt;100"/>
    <x v="15"/>
    <x v="0"/>
    <x v="110"/>
    <x v="112"/>
    <n v="10"/>
    <x v="91"/>
    <x v="73"/>
    <x v="82"/>
    <x v="102"/>
    <n v="10.7"/>
    <n v="10"/>
    <x v="0"/>
    <n v="107"/>
    <x v="6"/>
    <x v="0"/>
    <x v="0"/>
    <n v="-40"/>
    <x v="0"/>
    <x v="0"/>
    <m/>
    <m/>
    <m/>
    <x v="0"/>
    <s v="-"/>
    <x v="0"/>
    <x v="0"/>
    <x v="119"/>
    <s v="https://industrial.panasonic.com/content/data/CC/pictures/lineup-Metal-core.gif"/>
    <s v="画像"/>
    <m/>
    <m/>
  </r>
  <r>
    <n v="36"/>
    <s v="〇"/>
    <m/>
    <s v="OK"/>
    <m/>
    <x v="0"/>
    <x v="0"/>
    <s v="SMD"/>
    <s v="Metal Composite"/>
    <s v="PCC"/>
    <x v="0"/>
    <x v="25"/>
    <s v="PCC-M0750M"/>
    <x v="0"/>
    <x v="120"/>
    <s v="101"/>
    <x v="24"/>
    <s v="&lt;100"/>
    <x v="16"/>
    <x v="0"/>
    <x v="111"/>
    <x v="113"/>
    <n v="10"/>
    <x v="92"/>
    <x v="83"/>
    <x v="80"/>
    <x v="112"/>
    <n v="7.5"/>
    <n v="7"/>
    <x v="0"/>
    <n v="52.5"/>
    <x v="9"/>
    <x v="5"/>
    <x v="0"/>
    <n v="-40"/>
    <x v="0"/>
    <x v="0"/>
    <m/>
    <m/>
    <m/>
    <x v="0"/>
    <s v="-"/>
    <x v="0"/>
    <x v="0"/>
    <x v="120"/>
    <s v="https://industrial.panasonic.com/content/data/CC/pictures/lineup-Metal-core.gif"/>
    <s v="画像"/>
    <m/>
    <m/>
  </r>
  <r>
    <n v="23"/>
    <s v="〇"/>
    <m/>
    <s v="OK"/>
    <m/>
    <x v="0"/>
    <x v="0"/>
    <s v="SMD"/>
    <s v="Metal Composite"/>
    <s v="PCC"/>
    <x v="0"/>
    <x v="18"/>
    <s v="PCC-M1050M"/>
    <x v="0"/>
    <x v="121"/>
    <s v="101"/>
    <x v="25"/>
    <s v="&lt;100"/>
    <x v="16"/>
    <x v="0"/>
    <x v="112"/>
    <x v="114"/>
    <n v="10"/>
    <x v="81"/>
    <x v="73"/>
    <x v="88"/>
    <x v="113"/>
    <n v="10.7"/>
    <n v="10"/>
    <x v="0"/>
    <n v="107"/>
    <x v="6"/>
    <x v="0"/>
    <x v="0"/>
    <n v="-40"/>
    <x v="0"/>
    <x v="0"/>
    <m/>
    <m/>
    <m/>
    <x v="0"/>
    <s v="-"/>
    <x v="0"/>
    <x v="0"/>
    <x v="121"/>
    <s v="https://industrial.panasonic.com/content/data/CC/pictures/lineup-Metal-core.gif"/>
    <s v="画像"/>
    <m/>
    <m/>
  </r>
  <r>
    <n v="29"/>
    <s v="〇"/>
    <m/>
    <s v="OK"/>
    <m/>
    <x v="0"/>
    <x v="0"/>
    <s v="SMD"/>
    <s v="Metal Composite"/>
    <s v="PCC"/>
    <x v="0"/>
    <x v="26"/>
    <s v="PCC-M0850M"/>
    <x v="0"/>
    <x v="122"/>
    <s v="101"/>
    <x v="26"/>
    <s v="&lt;2000"/>
    <x v="16"/>
    <x v="0"/>
    <x v="113"/>
    <x v="115"/>
    <n v="10"/>
    <x v="87"/>
    <x v="79"/>
    <x v="88"/>
    <x v="114"/>
    <n v="8.5"/>
    <n v="8"/>
    <x v="0"/>
    <n v="68"/>
    <x v="7"/>
    <x v="4"/>
    <x v="0"/>
    <n v="-40"/>
    <x v="0"/>
    <x v="0"/>
    <m/>
    <m/>
    <m/>
    <x v="0"/>
    <s v="-"/>
    <x v="0"/>
    <x v="0"/>
    <x v="122"/>
    <s v="https://industrial.panasonic.com/content/data/CC/pictures/lineup-Metal-core.gif"/>
    <s v="画像"/>
    <m/>
    <m/>
  </r>
  <r>
    <n v="117"/>
    <s v="〇"/>
    <s v="2022/6/30カタログ追加"/>
    <s v="OK"/>
    <m/>
    <x v="0"/>
    <x v="0"/>
    <s v="SMD"/>
    <s v="Metal Composite"/>
    <s v="PCC"/>
    <x v="2"/>
    <x v="8"/>
    <s v="PCC-M1040M-LP"/>
    <x v="0"/>
    <x v="123"/>
    <s v="101"/>
    <x v="26"/>
    <s v="&lt;2000"/>
    <x v="16"/>
    <x v="0"/>
    <x v="114"/>
    <x v="116"/>
    <n v="10"/>
    <x v="83"/>
    <x v="76"/>
    <x v="98"/>
    <x v="115"/>
    <n v="10.7"/>
    <n v="10"/>
    <x v="3"/>
    <n v="107"/>
    <x v="6"/>
    <x v="0"/>
    <x v="3"/>
    <n v="-55"/>
    <x v="2"/>
    <x v="2"/>
    <m/>
    <m/>
    <m/>
    <x v="0"/>
    <s v="-"/>
    <x v="0"/>
    <x v="0"/>
    <x v="123"/>
    <s v="https://industrial.panasonic.com/content/data/CC/pictures/lineup-LP.gif"/>
    <s v="画像"/>
    <m/>
    <m/>
  </r>
  <r>
    <m/>
    <s v="〇"/>
    <s v="2024/6/7 UD→MPへ"/>
    <s v="OK"/>
    <m/>
    <x v="0"/>
    <x v="0"/>
    <s v="SMD"/>
    <s v="Metal Composite"/>
    <s v="PCC"/>
    <x v="3"/>
    <x v="7"/>
    <s v="PCC-M1056MS"/>
    <x v="0"/>
    <x v="124"/>
    <s v="220"/>
    <x v="27"/>
    <s v="&lt;100"/>
    <x v="10"/>
    <x v="0"/>
    <x v="115"/>
    <x v="117"/>
    <n v="10"/>
    <x v="80"/>
    <x v="29"/>
    <x v="99"/>
    <x v="116"/>
    <n v="10.9"/>
    <n v="10"/>
    <x v="9"/>
    <n v="109"/>
    <x v="0"/>
    <x v="0"/>
    <x v="4"/>
    <n v="-40"/>
    <x v="0"/>
    <x v="0"/>
    <m/>
    <m/>
    <m/>
    <x v="0"/>
    <s v="-"/>
    <x v="0"/>
    <x v="0"/>
    <x v="124"/>
    <s v="https://industrial.panasonic.com/content/data/CC/pictures/lineup-High%20Vibration%20Acceleration.gif"/>
    <s v="画像"/>
    <m/>
    <m/>
  </r>
  <r>
    <m/>
    <s v="〇"/>
    <s v="2024/6/7 UD→MPへ"/>
    <s v="OK"/>
    <m/>
    <x v="0"/>
    <x v="0"/>
    <s v="SMD"/>
    <s v="Metal Composite"/>
    <s v="PCC"/>
    <x v="3"/>
    <x v="7"/>
    <s v="PCC-M1054MS"/>
    <x v="0"/>
    <x v="125"/>
    <s v="470"/>
    <x v="28"/>
    <s v="&lt;100"/>
    <x v="13"/>
    <x v="0"/>
    <x v="116"/>
    <x v="118"/>
    <n v="10"/>
    <x v="55"/>
    <x v="53"/>
    <x v="90"/>
    <x v="117"/>
    <n v="10.9"/>
    <n v="10"/>
    <x v="4"/>
    <n v="109"/>
    <x v="0"/>
    <x v="0"/>
    <x v="4"/>
    <n v="-40"/>
    <x v="0"/>
    <x v="0"/>
    <m/>
    <m/>
    <m/>
    <x v="0"/>
    <s v="-"/>
    <x v="0"/>
    <x v="0"/>
    <x v="125"/>
    <s v="https://industrial.panasonic.com/content/data/CC/pictures/lineup-High%20Vibration%20Acceleration.gif"/>
    <s v="画像"/>
    <m/>
    <m/>
  </r>
  <r>
    <m/>
    <s v="〇"/>
    <s v="2023/10/31 MP"/>
    <s v="OK"/>
    <m/>
    <x v="0"/>
    <x v="0"/>
    <s v="SMD"/>
    <s v="Metal Composite"/>
    <s v="PCC"/>
    <x v="3"/>
    <x v="7"/>
    <s v="PCC-M1060MS"/>
    <x v="0"/>
    <x v="126"/>
    <s v="2R5"/>
    <x v="9"/>
    <s v="&lt;10"/>
    <x v="5"/>
    <x v="0"/>
    <x v="117"/>
    <x v="119"/>
    <n v="10"/>
    <x v="93"/>
    <x v="84"/>
    <x v="100"/>
    <x v="118"/>
    <n v="10.9"/>
    <n v="10"/>
    <x v="5"/>
    <n v="109"/>
    <x v="0"/>
    <x v="0"/>
    <x v="4"/>
    <n v="-40"/>
    <x v="0"/>
    <x v="0"/>
    <m/>
    <m/>
    <m/>
    <x v="0"/>
    <s v="-"/>
    <x v="0"/>
    <x v="0"/>
    <x v="126"/>
    <s v="https://industrial.panasonic.com/content/data/CC/pictures/lineup-High%20Vibration%20Acceleration.gif"/>
    <s v="画像"/>
    <m/>
    <m/>
  </r>
  <r>
    <m/>
    <s v="〇"/>
    <m/>
    <s v="OK"/>
    <m/>
    <x v="0"/>
    <x v="0"/>
    <s v="SMD"/>
    <s v="Metal Composite"/>
    <s v="PCC"/>
    <x v="1"/>
    <x v="27"/>
    <s v="PCC-M15A0MF"/>
    <x v="0"/>
    <x v="127"/>
    <s v="R33"/>
    <x v="0"/>
    <s v="&lt;1"/>
    <x v="0"/>
    <x v="0"/>
    <x v="118"/>
    <x v="120"/>
    <n v="10"/>
    <x v="94"/>
    <x v="85"/>
    <x v="101"/>
    <x v="119"/>
    <n v="15.6"/>
    <n v="17.2"/>
    <x v="10"/>
    <n v="268.3"/>
    <x v="12"/>
    <x v="7"/>
    <x v="6"/>
    <n v="-40"/>
    <x v="1"/>
    <x v="1"/>
    <m/>
    <m/>
    <m/>
    <x v="0"/>
    <s v="-"/>
    <x v="0"/>
    <x v="0"/>
    <x v="127"/>
    <s v="https://industrial.panasonic.com/content/data/CC/pictures/lineup-Large%20current.gif"/>
    <s v="画像"/>
    <m/>
    <m/>
  </r>
  <r>
    <m/>
    <s v="〇"/>
    <s v="2023/8/1 MP"/>
    <s v="OK"/>
    <m/>
    <x v="0"/>
    <x v="0"/>
    <s v="SMD"/>
    <s v="Metal Composite"/>
    <s v="PCC"/>
    <x v="1"/>
    <x v="27"/>
    <s v="PCC-M15A0MF"/>
    <x v="0"/>
    <x v="128"/>
    <s v="R68"/>
    <x v="2"/>
    <s v="&lt;1"/>
    <x v="2"/>
    <x v="0"/>
    <x v="1"/>
    <x v="1"/>
    <n v="10"/>
    <x v="95"/>
    <x v="86"/>
    <x v="102"/>
    <x v="120"/>
    <n v="15.6"/>
    <n v="17.2"/>
    <x v="10"/>
    <n v="268.3"/>
    <x v="12"/>
    <x v="7"/>
    <x v="6"/>
    <n v="-40"/>
    <x v="1"/>
    <x v="1"/>
    <m/>
    <m/>
    <m/>
    <x v="0"/>
    <s v="-"/>
    <x v="0"/>
    <x v="0"/>
    <x v="128"/>
    <s v="https://industrial.panasonic.com/content/data/CC/pictures/lineup-Large%20current.gif"/>
    <s v="画像"/>
    <m/>
    <m/>
  </r>
  <r>
    <m/>
    <s v="〇"/>
    <s v="2024/11/29 MP"/>
    <s v="OK"/>
    <m/>
    <x v="0"/>
    <x v="0"/>
    <s v="SMD"/>
    <s v="Metal Composite"/>
    <s v="PCC"/>
    <x v="1"/>
    <x v="27"/>
    <s v="PCC-M15A0MF"/>
    <x v="0"/>
    <x v="129"/>
    <s v="1R0"/>
    <x v="3"/>
    <s v="&lt;10"/>
    <x v="3"/>
    <x v="0"/>
    <x v="119"/>
    <x v="121"/>
    <n v="10"/>
    <x v="96"/>
    <x v="87"/>
    <x v="103"/>
    <x v="121"/>
    <n v="15.6"/>
    <n v="17.2"/>
    <x v="10"/>
    <n v="268.3"/>
    <x v="12"/>
    <x v="7"/>
    <x v="6"/>
    <n v="-40"/>
    <x v="1"/>
    <x v="1"/>
    <m/>
    <m/>
    <m/>
    <x v="0"/>
    <s v="-"/>
    <x v="0"/>
    <x v="0"/>
    <x v="129"/>
    <s v="https://industrial.panasonic.com/content/data/CC/pictures/lineup-Large%20current.gif"/>
    <s v="画像"/>
    <m/>
    <m/>
  </r>
  <r>
    <m/>
    <s v="〇"/>
    <s v="2025/7/10 UD→MP"/>
    <s v="OK"/>
    <m/>
    <x v="0"/>
    <x v="0"/>
    <s v="SMD"/>
    <s v="Metal Composite"/>
    <s v="PCC"/>
    <x v="1"/>
    <x v="27"/>
    <s v="PCC-M15A0MF"/>
    <x v="0"/>
    <x v="130"/>
    <s v="1R5"/>
    <x v="4"/>
    <s v="&lt;10"/>
    <x v="4"/>
    <x v="0"/>
    <x v="0"/>
    <x v="0"/>
    <n v="10"/>
    <x v="97"/>
    <x v="88"/>
    <x v="104"/>
    <x v="122"/>
    <n v="15.6"/>
    <n v="17.2"/>
    <x v="10"/>
    <n v="268.3"/>
    <x v="12"/>
    <x v="7"/>
    <x v="6"/>
    <n v="-40"/>
    <x v="1"/>
    <x v="1"/>
    <m/>
    <m/>
    <m/>
    <x v="0"/>
    <s v="-"/>
    <x v="0"/>
    <x v="0"/>
    <x v="130"/>
    <s v="https://industrial.panasonic.com/content/data/CC/pictures/lineup-Large%20current.gif"/>
    <s v="画像"/>
    <m/>
    <m/>
  </r>
  <r>
    <m/>
    <s v="〇"/>
    <s v="2025/7/10 UD→MP"/>
    <s v="OK"/>
    <m/>
    <x v="0"/>
    <x v="0"/>
    <s v="SMD"/>
    <s v="Metal Composite"/>
    <s v="PCC"/>
    <x v="1"/>
    <x v="27"/>
    <s v="PCC-M15A0MF"/>
    <x v="0"/>
    <x v="131"/>
    <s v="2R5"/>
    <x v="9"/>
    <s v="&lt;10"/>
    <x v="5"/>
    <x v="0"/>
    <x v="120"/>
    <x v="122"/>
    <n v="10"/>
    <x v="98"/>
    <x v="89"/>
    <x v="105"/>
    <x v="123"/>
    <n v="15.6"/>
    <n v="17.2"/>
    <x v="10"/>
    <n v="268.3"/>
    <x v="12"/>
    <x v="7"/>
    <x v="6"/>
    <n v="-40"/>
    <x v="1"/>
    <x v="1"/>
    <m/>
    <m/>
    <m/>
    <x v="0"/>
    <s v="-"/>
    <x v="0"/>
    <x v="0"/>
    <x v="131"/>
    <s v="https://industrial.panasonic.com/content/data/CC/pictures/lineup-Large%20current.gif"/>
    <s v="画像"/>
    <m/>
    <m/>
  </r>
  <r>
    <m/>
    <s v="〇"/>
    <s v="2025/3/28 UD→MPへ"/>
    <s v="OK"/>
    <m/>
    <x v="0"/>
    <x v="0"/>
    <s v="SMD"/>
    <s v="Metal Composite"/>
    <s v="PCC"/>
    <x v="1"/>
    <x v="27"/>
    <s v="PCC-M15A0MF"/>
    <x v="0"/>
    <x v="132"/>
    <s v="3R3"/>
    <x v="10"/>
    <s v="&lt;10"/>
    <x v="6"/>
    <x v="0"/>
    <x v="121"/>
    <x v="123"/>
    <n v="10"/>
    <x v="99"/>
    <x v="90"/>
    <x v="106"/>
    <x v="124"/>
    <n v="15.6"/>
    <n v="17.2"/>
    <x v="10"/>
    <n v="268.3"/>
    <x v="12"/>
    <x v="7"/>
    <x v="6"/>
    <n v="-40"/>
    <x v="1"/>
    <x v="1"/>
    <m/>
    <m/>
    <m/>
    <x v="0"/>
    <s v="-"/>
    <x v="0"/>
    <x v="0"/>
    <x v="132"/>
    <s v="https://industrial.panasonic.com/content/data/CC/pictures/lineup-Large%20current.gif"/>
    <s v="画像"/>
    <m/>
    <m/>
  </r>
  <r>
    <m/>
    <s v="〇"/>
    <s v="2025/3/28 UD→MPへ"/>
    <s v="OK"/>
    <m/>
    <x v="0"/>
    <x v="0"/>
    <s v="SMD"/>
    <s v="Metal Composite"/>
    <s v="PCC"/>
    <x v="1"/>
    <x v="27"/>
    <s v="PCC-M15A0MF"/>
    <x v="0"/>
    <x v="133"/>
    <s v="4R7"/>
    <x v="11"/>
    <s v="&lt;10"/>
    <x v="7"/>
    <x v="0"/>
    <x v="122"/>
    <x v="124"/>
    <n v="10"/>
    <x v="100"/>
    <x v="91"/>
    <x v="107"/>
    <x v="125"/>
    <n v="15.6"/>
    <n v="17.2"/>
    <x v="10"/>
    <n v="268.3"/>
    <x v="12"/>
    <x v="7"/>
    <x v="6"/>
    <n v="-40"/>
    <x v="1"/>
    <x v="1"/>
    <m/>
    <m/>
    <m/>
    <x v="0"/>
    <s v="-"/>
    <x v="0"/>
    <x v="0"/>
    <x v="133"/>
    <s v="https://industrial.panasonic.com/content/data/CC/pictures/lineup-Large%20current.gif"/>
    <s v="画像"/>
    <m/>
    <m/>
  </r>
  <r>
    <m/>
    <s v="〇"/>
    <d v="2023-05-11T00:00:00"/>
    <s v="OK"/>
    <m/>
    <x v="0"/>
    <x v="0"/>
    <s v="SMD"/>
    <s v="Metal Composite"/>
    <s v="PCC"/>
    <x v="2"/>
    <x v="2"/>
    <s v="PCC-M0530M-LP"/>
    <x v="0"/>
    <x v="134"/>
    <s v="220"/>
    <x v="16"/>
    <s v="&lt;100"/>
    <x v="11"/>
    <x v="0"/>
    <x v="123"/>
    <x v="125"/>
    <n v="10"/>
    <x v="90"/>
    <x v="81"/>
    <x v="108"/>
    <x v="126"/>
    <n v="5.5"/>
    <n v="5"/>
    <x v="2"/>
    <n v="27.5"/>
    <x v="2"/>
    <x v="2"/>
    <x v="2"/>
    <n v="-55"/>
    <x v="2"/>
    <x v="2"/>
    <m/>
    <m/>
    <m/>
    <x v="0"/>
    <s v="-"/>
    <x v="0"/>
    <x v="0"/>
    <x v="134"/>
    <s v="https://industrial.panasonic.com/content/data/CC/pictures/lineup-LP.gif"/>
    <s v="画像"/>
    <m/>
    <m/>
  </r>
  <r>
    <m/>
    <s v="〇"/>
    <s v="2025/7/10 UD→MP　2023/10/31 UD"/>
    <s v="OK"/>
    <m/>
    <x v="0"/>
    <x v="0"/>
    <s v="SMD"/>
    <s v="Metal Composite"/>
    <s v="PCC"/>
    <x v="7"/>
    <x v="28"/>
    <s v="PCC-M0750M-LL"/>
    <x v="0"/>
    <x v="135"/>
    <s v="R22"/>
    <x v="29"/>
    <s v="&lt;1"/>
    <x v="17"/>
    <x v="0"/>
    <x v="124"/>
    <x v="126"/>
    <n v="20"/>
    <x v="101"/>
    <x v="92"/>
    <x v="109"/>
    <x v="127"/>
    <n v="7.9"/>
    <n v="7"/>
    <x v="0"/>
    <n v="55.3"/>
    <x v="13"/>
    <x v="5"/>
    <x v="0"/>
    <n v="-55"/>
    <x v="2"/>
    <x v="2"/>
    <m/>
    <m/>
    <m/>
    <x v="0"/>
    <s v="-"/>
    <x v="0"/>
    <x v="0"/>
    <x v="134"/>
    <s v="https://industrial.panasonic.com/content/data/CC/pictures/lineup-LL.gif"/>
    <s v="画像"/>
    <m/>
    <m/>
  </r>
  <r>
    <m/>
    <s v="〇"/>
    <s v="2025/2/21 カタログ追加"/>
    <s v="OK"/>
    <m/>
    <x v="0"/>
    <x v="0"/>
    <s v="SMD"/>
    <s v="Metal Composite"/>
    <s v="PCC"/>
    <x v="3"/>
    <x v="29"/>
    <s v="PCC-M1054MS"/>
    <x v="0"/>
    <x v="136"/>
    <s v="2R5"/>
    <x v="9"/>
    <s v="&lt;10"/>
    <x v="5"/>
    <x v="0"/>
    <x v="34"/>
    <x v="127"/>
    <n v="10"/>
    <x v="34"/>
    <x v="34"/>
    <x v="35"/>
    <x v="128"/>
    <n v="10.9"/>
    <n v="10"/>
    <x v="4"/>
    <n v="109"/>
    <x v="0"/>
    <x v="0"/>
    <x v="4"/>
    <n v="-40"/>
    <x v="0"/>
    <x v="0"/>
    <m/>
    <m/>
    <m/>
    <x v="0"/>
    <s v="-"/>
    <x v="0"/>
    <x v="0"/>
    <x v="135"/>
    <s v="https://industrial.panasonic.com/content/data/CC/pictures/lineup-High%20Vibration%20Acceleration.gif"/>
    <s v="画像"/>
    <m/>
    <m/>
  </r>
  <r>
    <m/>
    <s v="〇"/>
    <s v="2025/2/21 カタログ追加"/>
    <s v="OK"/>
    <m/>
    <x v="0"/>
    <x v="0"/>
    <s v="SMD"/>
    <s v="Metal Composite"/>
    <s v="PCC"/>
    <x v="3"/>
    <x v="29"/>
    <s v="PCC-M1054MS"/>
    <x v="0"/>
    <x v="137"/>
    <s v="3R3"/>
    <x v="10"/>
    <s v="&lt;10"/>
    <x v="6"/>
    <x v="0"/>
    <x v="38"/>
    <x v="38"/>
    <n v="10"/>
    <x v="40"/>
    <x v="39"/>
    <x v="41"/>
    <x v="129"/>
    <n v="10.9"/>
    <n v="10"/>
    <x v="4"/>
    <n v="109"/>
    <x v="0"/>
    <x v="0"/>
    <x v="4"/>
    <n v="-40"/>
    <x v="0"/>
    <x v="0"/>
    <m/>
    <m/>
    <m/>
    <x v="0"/>
    <s v="-"/>
    <x v="0"/>
    <x v="0"/>
    <x v="136"/>
    <s v="https://industrial.panasonic.com/content/data/CC/pictures/lineup-High%20Vibration%20Acceleration.gif"/>
    <s v="画像"/>
    <m/>
    <m/>
  </r>
  <r>
    <m/>
    <s v="〇"/>
    <s v="2025/2/21 カタログ追加"/>
    <s v="OK"/>
    <m/>
    <x v="0"/>
    <x v="0"/>
    <s v="SMD"/>
    <s v="Metal Composite"/>
    <s v="PCC"/>
    <x v="2"/>
    <x v="2"/>
    <s v="PCC-M0530M-LP"/>
    <x v="0"/>
    <x v="138"/>
    <s v="R10"/>
    <x v="30"/>
    <s v="&lt;1"/>
    <x v="18"/>
    <x v="0"/>
    <x v="125"/>
    <x v="128"/>
    <n v="10"/>
    <x v="102"/>
    <x v="93"/>
    <x v="110"/>
    <x v="130"/>
    <n v="5.5"/>
    <n v="5"/>
    <x v="2"/>
    <n v="27.5"/>
    <x v="2"/>
    <x v="2"/>
    <x v="2"/>
    <n v="-55"/>
    <x v="2"/>
    <x v="2"/>
    <m/>
    <m/>
    <m/>
    <x v="0"/>
    <s v="-"/>
    <x v="0"/>
    <x v="0"/>
    <x v="137"/>
    <s v="https://industrial.panasonic.com/content/data/CC/pictures/lineup-LP.gif"/>
    <s v="画像"/>
    <m/>
    <m/>
  </r>
  <r>
    <m/>
    <s v="〇"/>
    <s v="2025/2/21 カタログ追加"/>
    <s v="OK"/>
    <m/>
    <x v="0"/>
    <x v="0"/>
    <s v="SMD"/>
    <s v="Metal Composite"/>
    <s v="PCC"/>
    <x v="5"/>
    <x v="20"/>
    <s v="PCC-M0748M-LE"/>
    <x v="0"/>
    <x v="139"/>
    <s v="R47"/>
    <x v="1"/>
    <s v="&lt;1"/>
    <x v="1"/>
    <x v="0"/>
    <x v="126"/>
    <x v="129"/>
    <n v="10"/>
    <x v="26"/>
    <x v="94"/>
    <x v="25"/>
    <x v="131"/>
    <n v="7.4"/>
    <n v="7"/>
    <x v="7"/>
    <n v="51.8"/>
    <x v="10"/>
    <x v="5"/>
    <x v="0"/>
    <n v="-40"/>
    <x v="0"/>
    <x v="0"/>
    <m/>
    <m/>
    <m/>
    <x v="0"/>
    <s v="-"/>
    <x v="0"/>
    <x v="0"/>
    <x v="138"/>
    <s v="https://industrial.panasonic.com/content/data/CC/pictures/lineup-LE.gif"/>
    <s v="画像"/>
    <m/>
    <m/>
  </r>
  <r>
    <m/>
    <s v="〇"/>
    <s v="2025/3/28 MP"/>
    <s v="OK"/>
    <m/>
    <x v="0"/>
    <x v="0"/>
    <s v="SMD"/>
    <s v="Metal Composite"/>
    <s v="PCC"/>
    <x v="0"/>
    <x v="19"/>
    <s v="PCC-M0540M"/>
    <x v="0"/>
    <x v="140"/>
    <s v="100"/>
    <x v="13"/>
    <s v="&lt;100"/>
    <x v="9"/>
    <x v="0"/>
    <x v="127"/>
    <x v="130"/>
    <n v="10"/>
    <x v="76"/>
    <x v="68"/>
    <x v="97"/>
    <x v="111"/>
    <n v="5.5"/>
    <n v="5"/>
    <x v="3"/>
    <n v="27.5"/>
    <x v="2"/>
    <x v="2"/>
    <x v="3"/>
    <n v="-40"/>
    <x v="0"/>
    <x v="0"/>
    <m/>
    <m/>
    <m/>
    <x v="0"/>
    <s v="-"/>
    <x v="0"/>
    <x v="0"/>
    <x v="139"/>
    <s v="https://industrial.panasonic.com/content/data/CC/pictures/lineup-Metal-core.gif"/>
    <s v="画像"/>
    <m/>
    <m/>
  </r>
  <r>
    <m/>
    <s v="〇"/>
    <s v="2025/4/25 MP"/>
    <s v="OK"/>
    <m/>
    <x v="0"/>
    <x v="0"/>
    <s v="SMD"/>
    <s v="Metal Composite"/>
    <s v="PCC"/>
    <x v="2"/>
    <x v="5"/>
    <s v="PCC-M0630M-LP"/>
    <x v="0"/>
    <x v="141"/>
    <s v="R47"/>
    <x v="1"/>
    <s v="&lt;1"/>
    <x v="1"/>
    <x v="0"/>
    <x v="16"/>
    <x v="16"/>
    <n v="10"/>
    <x v="40"/>
    <x v="24"/>
    <x v="11"/>
    <x v="132"/>
    <n v="6"/>
    <n v="6.4"/>
    <x v="2"/>
    <n v="38.4"/>
    <x v="14"/>
    <x v="3"/>
    <x v="2"/>
    <n v="-55"/>
    <x v="2"/>
    <x v="2"/>
    <m/>
    <m/>
    <m/>
    <x v="0"/>
    <s v="-"/>
    <x v="0"/>
    <x v="0"/>
    <x v="140"/>
    <s v="https://industrial.panasonic.com/content/data/CC/pictures/lineup-LP.gif"/>
    <s v="画像"/>
    <m/>
    <m/>
  </r>
  <r>
    <m/>
    <s v="〇"/>
    <s v="2025/10/3 MP"/>
    <s v="OK"/>
    <m/>
    <x v="0"/>
    <x v="0"/>
    <s v="SMD"/>
    <s v="Metal Composite"/>
    <s v="PCC"/>
    <x v="5"/>
    <x v="20"/>
    <s v="PCC-M078M-LE"/>
    <x v="0"/>
    <x v="142"/>
    <s v="1R2"/>
    <x v="31"/>
    <s v="&lt;10"/>
    <x v="4"/>
    <x v="0"/>
    <x v="128"/>
    <x v="131"/>
    <n v="10"/>
    <x v="35"/>
    <x v="95"/>
    <x v="111"/>
    <x v="133"/>
    <n v="7.4"/>
    <n v="7"/>
    <x v="7"/>
    <n v="51.8"/>
    <x v="10"/>
    <x v="5"/>
    <x v="0"/>
    <n v="-40"/>
    <x v="0"/>
    <x v="0"/>
    <m/>
    <m/>
    <m/>
    <x v="0"/>
    <s v="-"/>
    <x v="0"/>
    <x v="0"/>
    <x v="138"/>
    <s v="https://industrial.panasonic.com/content/data/CC/pictures/lineup-LE.gif"/>
    <s v="画像"/>
    <m/>
    <m/>
  </r>
  <r>
    <m/>
    <s v="〇"/>
    <s v="2025/10/3 MP"/>
    <s v="OK"/>
    <m/>
    <x v="0"/>
    <x v="0"/>
    <s v="SMD"/>
    <s v="Metal Composite"/>
    <s v="PCC"/>
    <x v="5"/>
    <x v="20"/>
    <s v="PCC-M078M-LE"/>
    <x v="0"/>
    <x v="143"/>
    <s v="1R5"/>
    <x v="4"/>
    <s v="&lt;10"/>
    <x v="4"/>
    <x v="0"/>
    <x v="129"/>
    <x v="132"/>
    <n v="10"/>
    <x v="46"/>
    <x v="96"/>
    <x v="112"/>
    <x v="134"/>
    <n v="7.4"/>
    <n v="7"/>
    <x v="7"/>
    <n v="51.8"/>
    <x v="10"/>
    <x v="5"/>
    <x v="0"/>
    <n v="-40"/>
    <x v="0"/>
    <x v="0"/>
    <m/>
    <m/>
    <m/>
    <x v="0"/>
    <s v="-"/>
    <x v="0"/>
    <x v="0"/>
    <x v="138"/>
    <s v="https://industrial.panasonic.com/content/data/CC/pictures/lineup-LE.gif"/>
    <s v="画像"/>
    <m/>
    <m/>
  </r>
  <r>
    <m/>
    <s v="〇"/>
    <s v="2025/10/3 MP"/>
    <s v="OK"/>
    <m/>
    <x v="0"/>
    <x v="0"/>
    <s v="SMD"/>
    <s v="Metal Composite"/>
    <s v="PCC"/>
    <x v="5"/>
    <x v="20"/>
    <s v="PCC-M078M-LE"/>
    <x v="0"/>
    <x v="144"/>
    <s v="2R2"/>
    <x v="7"/>
    <s v="&lt;10"/>
    <x v="5"/>
    <x v="0"/>
    <x v="47"/>
    <x v="133"/>
    <n v="10"/>
    <x v="103"/>
    <x v="97"/>
    <x v="113"/>
    <x v="135"/>
    <n v="7.4"/>
    <n v="7"/>
    <x v="7"/>
    <n v="51.8"/>
    <x v="10"/>
    <x v="5"/>
    <x v="0"/>
    <n v="-40"/>
    <x v="0"/>
    <x v="0"/>
    <m/>
    <m/>
    <m/>
    <x v="0"/>
    <s v="-"/>
    <x v="0"/>
    <x v="0"/>
    <x v="138"/>
    <s v="https://industrial.panasonic.com/content/data/CC/pictures/lineup-LE.gif"/>
    <s v="画像"/>
    <m/>
    <m/>
  </r>
  <r>
    <m/>
    <s v="〇"/>
    <s v="2025/10/3 MP"/>
    <s v="OK"/>
    <m/>
    <x v="0"/>
    <x v="0"/>
    <s v="SMD"/>
    <s v="Metal Composite"/>
    <s v="PCC"/>
    <x v="2"/>
    <x v="6"/>
    <s v="PCC-M0840M-LP"/>
    <x v="0"/>
    <x v="145"/>
    <s v="R47"/>
    <x v="1"/>
    <s v="&lt;1"/>
    <x v="1"/>
    <x v="0"/>
    <x v="130"/>
    <x v="134"/>
    <n v="10"/>
    <x v="104"/>
    <x v="98"/>
    <x v="114"/>
    <x v="136"/>
    <n v="8.4"/>
    <n v="8"/>
    <x v="3"/>
    <n v="67.2"/>
    <x v="5"/>
    <x v="5"/>
    <x v="3"/>
    <n v="-55"/>
    <x v="2"/>
    <x v="2"/>
    <m/>
    <m/>
    <m/>
    <x v="0"/>
    <s v="-"/>
    <x v="0"/>
    <x v="0"/>
    <x v="106"/>
    <s v="https://industrial.panasonic.com/content/data/CC/pictures/lineup-LP.gif"/>
    <s v="画像"/>
    <m/>
    <m/>
  </r>
  <r>
    <m/>
    <s v="〇"/>
    <s v="2025/12/19 MP"/>
    <s v="OK"/>
    <m/>
    <x v="0"/>
    <x v="0"/>
    <s v="SMD"/>
    <s v="Metal Composite"/>
    <s v="PCC"/>
    <x v="2"/>
    <x v="16"/>
    <s v="PCC-M0648M-LE"/>
    <x v="0"/>
    <x v="146"/>
    <s v="470"/>
    <x v="19"/>
    <s v="&lt;100"/>
    <x v="13"/>
    <x v="0"/>
    <x v="131"/>
    <x v="135"/>
    <n v="10"/>
    <x v="105"/>
    <x v="72"/>
    <x v="115"/>
    <x v="137"/>
    <n v="6.4"/>
    <n v="6"/>
    <x v="7"/>
    <n v="38.4"/>
    <x v="4"/>
    <x v="5"/>
    <x v="0"/>
    <n v="-55"/>
    <x v="0"/>
    <x v="3"/>
    <m/>
    <m/>
    <m/>
    <x v="0"/>
    <s v="-"/>
    <x v="0"/>
    <x v="0"/>
    <x v="141"/>
    <m/>
    <s v="#VALUE!"/>
    <m/>
    <m/>
  </r>
  <r>
    <m/>
    <s v="〇"/>
    <s v="2026/2/6 Catalog up"/>
    <s v="OK"/>
    <m/>
    <x v="0"/>
    <x v="0"/>
    <s v="SMD"/>
    <s v="Metal Composite"/>
    <s v="PCC"/>
    <x v="0"/>
    <x v="22"/>
    <s v="PCC-M0854M"/>
    <x v="0"/>
    <x v="147"/>
    <s v="6R8"/>
    <x v="12"/>
    <s v="&lt;10"/>
    <x v="8"/>
    <x v="0"/>
    <x v="132"/>
    <x v="136"/>
    <n v="10"/>
    <x v="23"/>
    <x v="99"/>
    <x v="29"/>
    <x v="138"/>
    <n v="8.5"/>
    <n v="8"/>
    <x v="4"/>
    <n v="68"/>
    <x v="7"/>
    <x v="4"/>
    <x v="4"/>
    <n v="-40"/>
    <x v="0"/>
    <x v="0"/>
    <m/>
    <m/>
    <m/>
    <x v="0"/>
    <s v="-"/>
    <x v="0"/>
    <x v="0"/>
    <x v="142"/>
    <m/>
    <s v="#VALUE!"/>
    <m/>
    <m/>
  </r>
  <r>
    <m/>
    <s v="〇"/>
    <s v="2026/2/6 Catalog up"/>
    <s v="OK"/>
    <m/>
    <x v="0"/>
    <x v="0"/>
    <s v="SMD"/>
    <s v="Metal Composite"/>
    <s v="PCC"/>
    <x v="0"/>
    <x v="3"/>
    <s v="PCC-M1040ML"/>
    <x v="0"/>
    <x v="148"/>
    <s v="R33"/>
    <x v="0"/>
    <s v="&lt;1"/>
    <x v="0"/>
    <x v="0"/>
    <x v="133"/>
    <x v="137"/>
    <n v="10"/>
    <x v="106"/>
    <x v="100"/>
    <x v="116"/>
    <x v="139"/>
    <n v="10.9"/>
    <n v="10"/>
    <x v="3"/>
    <n v="109"/>
    <x v="0"/>
    <x v="0"/>
    <x v="3"/>
    <n v="-40"/>
    <x v="0"/>
    <x v="0"/>
    <m/>
    <m/>
    <m/>
    <x v="0"/>
    <s v="-"/>
    <x v="0"/>
    <x v="0"/>
    <x v="143"/>
    <m/>
    <s v="#VALUE!"/>
    <m/>
    <m/>
  </r>
  <r>
    <m/>
    <s v="〇"/>
    <s v="2026/2/6 Catalog up"/>
    <s v="OK"/>
    <m/>
    <x v="0"/>
    <x v="0"/>
    <s v="SMD"/>
    <s v="Metal Composite"/>
    <s v="PCC"/>
    <x v="0"/>
    <x v="30"/>
    <s v="PCC-M1060ML"/>
    <x v="0"/>
    <x v="149"/>
    <s v="100"/>
    <x v="13"/>
    <s v="&lt;100"/>
    <x v="9"/>
    <x v="0"/>
    <x v="134"/>
    <x v="138"/>
    <n v="10"/>
    <x v="107"/>
    <x v="32"/>
    <x v="117"/>
    <x v="140"/>
    <n v="10.9"/>
    <n v="10"/>
    <x v="5"/>
    <n v="109"/>
    <x v="0"/>
    <x v="0"/>
    <x v="4"/>
    <n v="-40"/>
    <x v="0"/>
    <x v="0"/>
    <m/>
    <m/>
    <m/>
    <x v="0"/>
    <s v="-"/>
    <x v="0"/>
    <x v="0"/>
    <x v="144"/>
    <m/>
    <s v="#VALUE!"/>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ﾋﾟﾎﾞｯﾄﾃｰﾌﾞﾙ2" cacheId="0" applyNumberFormats="0" applyBorderFormats="0" applyFontFormats="0" applyPatternFormats="0" applyAlignmentFormats="0" applyWidthHeightFormats="1" dataCaption="値" updatedVersion="8" minRefreshableVersion="3" showDrill="0" enableDrill="0" rowGrandTotals="0" colGrandTotals="0" itemPrintTitles="1" createdVersion="4" indent="0" compact="0" compactData="0" multipleFieldFilters="0">
  <location ref="AN6:BB156" firstHeaderRow="1" firstDataRow="1" firstDataCol="15"/>
  <pivotFields count="49">
    <pivotField compact="0" outline="0" showAll="0"/>
    <pivotField compact="0" outline="0" showAll="0"/>
    <pivotField compact="0" outline="0" showAll="0"/>
    <pivotField compact="0" outline="0" showAll="0" defaultSubtotal="0"/>
    <pivotField compact="0" outline="0" showAll="0" defaultSubtotal="0"/>
    <pivotField axis="axisRow" compact="0" outline="0" showAll="0" defaultSubtotal="0">
      <items count="2">
        <item x="0"/>
        <item m="1" x="1"/>
      </items>
    </pivotField>
    <pivotField compact="0" outline="0" showAll="0" defaultSubtotal="0">
      <items count="2">
        <item x="0"/>
        <item m="1" x="1"/>
      </items>
    </pivotField>
    <pivotField compact="0" outline="0" showAll="0" defaultSubtotal="0"/>
    <pivotField compact="0" outline="0" showAll="0" defaultSubtotal="0"/>
    <pivotField compact="0" outline="0" showAll="0" defaultSubtotal="0"/>
    <pivotField compact="0" outline="0" showAll="0" defaultSubtotal="0">
      <items count="8">
        <item x="6"/>
        <item x="3"/>
        <item x="1"/>
        <item x="4"/>
        <item x="0"/>
        <item x="5"/>
        <item x="7"/>
        <item x="2"/>
      </items>
    </pivotField>
    <pivotField compact="0" outline="0" showAll="0" defaultSubtotal="0">
      <items count="33">
        <item x="4"/>
        <item x="13"/>
        <item x="11"/>
        <item x="19"/>
        <item x="9"/>
        <item x="18"/>
        <item x="15"/>
        <item x="26"/>
        <item x="17"/>
        <item x="25"/>
        <item x="0"/>
        <item x="10"/>
        <item x="1"/>
        <item x="2"/>
        <item x="5"/>
        <item x="6"/>
        <item x="8"/>
        <item x="12"/>
        <item x="21"/>
        <item x="7"/>
        <item x="16"/>
        <item x="20"/>
        <item x="14"/>
        <item x="23"/>
        <item x="24"/>
        <item x="3"/>
        <item x="22"/>
        <item m="1" x="32"/>
        <item m="1" x="31"/>
        <item x="27"/>
        <item x="28"/>
        <item x="29"/>
        <item x="30"/>
      </items>
    </pivotField>
    <pivotField compact="0" outline="0" showAll="0" defaultSubtotal="0"/>
    <pivotField axis="axisRow" compact="0" outline="0" showAll="0" defaultSubtotal="0">
      <items count="1">
        <item x="0"/>
      </items>
    </pivotField>
    <pivotField axis="axisRow" compact="0" outline="0" showAll="0" defaultSubtotal="0">
      <items count="151">
        <item x="65"/>
        <item x="120"/>
        <item x="85"/>
        <item x="36"/>
        <item x="111"/>
        <item x="116"/>
        <item x="27"/>
        <item x="20"/>
        <item x="56"/>
        <item x="7"/>
        <item x="57"/>
        <item x="75"/>
        <item x="15"/>
        <item x="76"/>
        <item x="67"/>
        <item x="60"/>
        <item x="1"/>
        <item x="14"/>
        <item x="21"/>
        <item x="39"/>
        <item x="44"/>
        <item x="66"/>
        <item x="58"/>
        <item x="45"/>
        <item x="29"/>
        <item x="22"/>
        <item x="8"/>
        <item x="96"/>
        <item x="86"/>
        <item x="59"/>
        <item x="46"/>
        <item x="30"/>
        <item x="23"/>
        <item x="16"/>
        <item x="9"/>
        <item x="106"/>
        <item x="97"/>
        <item x="87"/>
        <item x="77"/>
        <item x="68"/>
        <item x="47"/>
        <item x="31"/>
        <item x="24"/>
        <item x="17"/>
        <item x="10"/>
        <item x="112"/>
        <item x="107"/>
        <item x="98"/>
        <item x="88"/>
        <item x="78"/>
        <item x="69"/>
        <item x="61"/>
        <item x="48"/>
        <item x="32"/>
        <item x="25"/>
        <item x="18"/>
        <item x="79"/>
        <item x="33"/>
        <item x="5"/>
        <item x="12"/>
        <item x="64"/>
        <item x="71"/>
        <item x="110"/>
        <item x="28"/>
        <item x="41"/>
        <item x="53"/>
        <item x="92"/>
        <item x="19"/>
        <item x="42"/>
        <item x="54"/>
        <item x="72"/>
        <item x="93"/>
        <item x="103"/>
        <item x="121"/>
        <item x="37"/>
        <item x="73"/>
        <item x="94"/>
        <item x="114"/>
        <item x="122"/>
        <item x="55"/>
        <item x="74"/>
        <item x="95"/>
        <item x="104"/>
        <item x="115"/>
        <item x="6"/>
        <item x="13"/>
        <item x="38"/>
        <item x="43"/>
        <item x="40"/>
        <item x="91"/>
        <item x="102"/>
        <item x="84"/>
        <item x="0"/>
        <item x="105"/>
        <item x="99"/>
        <item x="11"/>
        <item x="49"/>
        <item x="62"/>
        <item x="80"/>
        <item x="89"/>
        <item x="63"/>
        <item x="81"/>
        <item x="100"/>
        <item x="113"/>
        <item x="35"/>
        <item x="2"/>
        <item x="34"/>
        <item x="117"/>
        <item x="50"/>
        <item x="51"/>
        <item x="52"/>
        <item x="83"/>
        <item x="26"/>
        <item x="70"/>
        <item x="109"/>
        <item x="3"/>
        <item x="123"/>
        <item x="118"/>
        <item x="4"/>
        <item x="108"/>
        <item x="101"/>
        <item x="90"/>
        <item x="82"/>
        <item m="1" x="150"/>
        <item x="119"/>
        <item x="124"/>
        <item x="125"/>
        <item x="126"/>
        <item x="127"/>
        <item x="128"/>
        <item x="129"/>
        <item x="130"/>
        <item x="131"/>
        <item x="132"/>
        <item x="133"/>
        <item x="134"/>
        <item x="135"/>
        <item x="136"/>
        <item x="137"/>
        <item x="138"/>
        <item x="139"/>
        <item x="140"/>
        <item x="141"/>
        <item x="142"/>
        <item x="143"/>
        <item x="144"/>
        <item x="145"/>
        <item x="146"/>
        <item x="147"/>
        <item x="148"/>
        <item x="149"/>
      </items>
    </pivotField>
    <pivotField compact="0" outline="0" showAll="0" defaultSubtotal="0"/>
    <pivotField name="(uH)" axis="axisRow" compact="0" outline="0" showAll="0" sortType="ascending" defaultSubtotal="0">
      <items count="32">
        <item x="30"/>
        <item x="29"/>
        <item x="0"/>
        <item x="1"/>
        <item x="2"/>
        <item x="3"/>
        <item x="31"/>
        <item x="4"/>
        <item x="5"/>
        <item x="6"/>
        <item x="7"/>
        <item x="8"/>
        <item x="9"/>
        <item x="10"/>
        <item x="11"/>
        <item x="12"/>
        <item x="13"/>
        <item x="14"/>
        <item x="15"/>
        <item x="27"/>
        <item x="16"/>
        <item x="17"/>
        <item x="18"/>
        <item x="28"/>
        <item x="19"/>
        <item x="20"/>
        <item x="21"/>
        <item x="22"/>
        <item x="23"/>
        <item x="24"/>
        <item x="25"/>
        <item x="26"/>
      </items>
    </pivotField>
    <pivotField compact="0" outline="0" showAll="0" defaultSubtotal="0"/>
    <pivotField compact="0" outline="0" showAll="0" defaultSubtotal="0">
      <items count="19">
        <item x="18"/>
        <item x="17"/>
        <item x="0"/>
        <item x="1"/>
        <item x="2"/>
        <item x="3"/>
        <item x="4"/>
        <item x="5"/>
        <item x="6"/>
        <item x="7"/>
        <item x="8"/>
        <item x="9"/>
        <item x="10"/>
        <item x="11"/>
        <item x="12"/>
        <item x="13"/>
        <item x="14"/>
        <item x="15"/>
        <item x="16"/>
      </items>
    </pivotField>
    <pivotField name="Tol. _x000a_(%)" axis="axisRow" compact="0" outline="0" showAll="0" defaultSubtotal="0">
      <items count="2">
        <item x="0"/>
        <item x="1"/>
      </items>
    </pivotField>
    <pivotField name="Typ (mOhm)" axis="axisRow" compact="0" outline="0" showAll="0" defaultSubtotal="0">
      <items count="139">
        <item x="1"/>
        <item x="0"/>
        <item x="23"/>
        <item x="34"/>
        <item x="7"/>
        <item x="22"/>
        <item x="27"/>
        <item x="58"/>
        <item x="111"/>
        <item x="76"/>
        <item x="102"/>
        <item x="107"/>
        <item x="25"/>
        <item x="19"/>
        <item x="51"/>
        <item x="67"/>
        <item x="14"/>
        <item x="68"/>
        <item x="52"/>
        <item x="36"/>
        <item x="13"/>
        <item x="20"/>
        <item x="17"/>
        <item x="40"/>
        <item x="59"/>
        <item x="41"/>
        <item x="21"/>
        <item x="87"/>
        <item x="77"/>
        <item x="53"/>
        <item x="42"/>
        <item x="28"/>
        <item x="15"/>
        <item x="8"/>
        <item x="97"/>
        <item x="78"/>
        <item x="69"/>
        <item x="60"/>
        <item x="29"/>
        <item x="16"/>
        <item x="103"/>
        <item x="98"/>
        <item x="89"/>
        <item x="79"/>
        <item x="70"/>
        <item x="44"/>
        <item x="30"/>
        <item x="71"/>
        <item x="31"/>
        <item x="5"/>
        <item x="11"/>
        <item x="57"/>
        <item x="63"/>
        <item x="101"/>
        <item x="26"/>
        <item x="48"/>
        <item x="83"/>
        <item x="18"/>
        <item x="38"/>
        <item x="49"/>
        <item x="64"/>
        <item x="84"/>
        <item x="94"/>
        <item x="112"/>
        <item x="85"/>
        <item x="105"/>
        <item x="113"/>
        <item x="66"/>
        <item x="86"/>
        <item x="95"/>
        <item x="106"/>
        <item x="6"/>
        <item x="12"/>
        <item x="35"/>
        <item x="39"/>
        <item x="82"/>
        <item x="93"/>
        <item x="75"/>
        <item x="96"/>
        <item x="90"/>
        <item x="10"/>
        <item x="45"/>
        <item x="55"/>
        <item x="72"/>
        <item x="80"/>
        <item x="56"/>
        <item x="91"/>
        <item x="104"/>
        <item x="37"/>
        <item x="88"/>
        <item x="43"/>
        <item x="9"/>
        <item x="61"/>
        <item x="33"/>
        <item x="2"/>
        <item x="32"/>
        <item x="108"/>
        <item x="46"/>
        <item x="47"/>
        <item x="74"/>
        <item x="24"/>
        <item x="62"/>
        <item x="100"/>
        <item x="3"/>
        <item x="114"/>
        <item x="109"/>
        <item x="4"/>
        <item x="99"/>
        <item x="65"/>
        <item x="50"/>
        <item x="54"/>
        <item x="92"/>
        <item x="81"/>
        <item x="73"/>
        <item x="110"/>
        <item x="115"/>
        <item x="116"/>
        <item x="117"/>
        <item x="118"/>
        <item m="1" x="135"/>
        <item m="1" x="136"/>
        <item x="120"/>
        <item m="1" x="137"/>
        <item m="1" x="138"/>
        <item x="123"/>
        <item x="124"/>
        <item x="119"/>
        <item x="121"/>
        <item x="122"/>
        <item x="125"/>
        <item x="126"/>
        <item x="127"/>
        <item x="128"/>
        <item x="129"/>
        <item x="130"/>
        <item x="131"/>
        <item x="132"/>
        <item x="133"/>
        <item x="134"/>
      </items>
    </pivotField>
    <pivotField name="Max (mOhm)" axis="axisRow" compact="0" outline="0" showAll="0" defaultSubtotal="0">
      <items count="145">
        <item x="1"/>
        <item x="7"/>
        <item x="22"/>
        <item x="27"/>
        <item x="59"/>
        <item x="113"/>
        <item x="78"/>
        <item x="34"/>
        <item x="104"/>
        <item x="109"/>
        <item x="25"/>
        <item x="19"/>
        <item x="51"/>
        <item x="0"/>
        <item x="52"/>
        <item x="69"/>
        <item x="14"/>
        <item x="70"/>
        <item x="61"/>
        <item x="36"/>
        <item x="20"/>
        <item x="17"/>
        <item x="40"/>
        <item x="60"/>
        <item x="53"/>
        <item x="41"/>
        <item x="21"/>
        <item x="89"/>
        <item x="79"/>
        <item x="54"/>
        <item x="42"/>
        <item x="28"/>
        <item x="15"/>
        <item x="8"/>
        <item x="99"/>
        <item x="80"/>
        <item x="71"/>
        <item x="62"/>
        <item x="29"/>
        <item x="23"/>
        <item x="16"/>
        <item x="105"/>
        <item x="100"/>
        <item x="91"/>
        <item x="81"/>
        <item x="72"/>
        <item x="44"/>
        <item x="30"/>
        <item x="73"/>
        <item x="31"/>
        <item x="5"/>
        <item x="11"/>
        <item x="58"/>
        <item x="65"/>
        <item x="103"/>
        <item x="37"/>
        <item x="48"/>
        <item x="18"/>
        <item x="97"/>
        <item x="12"/>
        <item x="39"/>
        <item x="84"/>
        <item x="95"/>
        <item x="77"/>
        <item x="98"/>
        <item x="92"/>
        <item x="10"/>
        <item x="45"/>
        <item x="56"/>
        <item x="74"/>
        <item x="82"/>
        <item x="57"/>
        <item x="93"/>
        <item x="106"/>
        <item x="26"/>
        <item x="85"/>
        <item m="1" x="143"/>
        <item x="49"/>
        <item x="66"/>
        <item x="86"/>
        <item x="96"/>
        <item x="114"/>
        <item x="87"/>
        <item x="107"/>
        <item x="115"/>
        <item x="68"/>
        <item x="88"/>
        <item x="108"/>
        <item x="6"/>
        <item x="35"/>
        <item x="13"/>
        <item x="90"/>
        <item x="43"/>
        <item x="9"/>
        <item x="63"/>
        <item x="33"/>
        <item x="2"/>
        <item x="32"/>
        <item x="110"/>
        <item x="46"/>
        <item x="47"/>
        <item x="38"/>
        <item x="76"/>
        <item x="24"/>
        <item x="64"/>
        <item x="102"/>
        <item x="3"/>
        <item x="116"/>
        <item x="111"/>
        <item x="4"/>
        <item x="101"/>
        <item x="67"/>
        <item x="50"/>
        <item x="55"/>
        <item x="94"/>
        <item x="83"/>
        <item x="75"/>
        <item m="1" x="144"/>
        <item x="112"/>
        <item x="117"/>
        <item x="118"/>
        <item x="119"/>
        <item x="120"/>
        <item m="1" x="139"/>
        <item m="1" x="140"/>
        <item x="122"/>
        <item m="1" x="141"/>
        <item m="1" x="142"/>
        <item x="125"/>
        <item x="126"/>
        <item x="121"/>
        <item x="123"/>
        <item x="124"/>
        <item x="127"/>
        <item x="128"/>
        <item x="129"/>
        <item x="130"/>
        <item x="131"/>
        <item x="132"/>
        <item x="133"/>
        <item x="134"/>
        <item x="135"/>
        <item x="136"/>
        <item x="137"/>
        <item x="138"/>
      </items>
    </pivotField>
    <pivotField compact="0" outline="0" showAll="0" defaultSubtotal="0"/>
    <pivotField name="Method B typ (A)" axis="axisRow" compact="0" outline="0" showAll="0" defaultSubtotal="0">
      <items count="113">
        <item x="5"/>
        <item x="12"/>
        <item x="38"/>
        <item x="61"/>
        <item x="64"/>
        <item x="69"/>
        <item x="83"/>
        <item x="90"/>
        <item x="28"/>
        <item x="39"/>
        <item x="51"/>
        <item x="79"/>
        <item x="19"/>
        <item x="34"/>
        <item x="40"/>
        <item x="52"/>
        <item x="66"/>
        <item x="74"/>
        <item x="80"/>
        <item x="77"/>
        <item x="70"/>
        <item x="81"/>
        <item x="35"/>
        <item x="67"/>
        <item x="75"/>
        <item x="88"/>
        <item x="87"/>
        <item x="53"/>
        <item x="62"/>
        <item x="68"/>
        <item x="72"/>
        <item x="86"/>
        <item x="92"/>
        <item x="0"/>
        <item x="6"/>
        <item x="13"/>
        <item x="27"/>
        <item x="20"/>
        <item x="36"/>
        <item x="41"/>
        <item x="33"/>
        <item x="1"/>
        <item x="7"/>
        <item x="14"/>
        <item x="21"/>
        <item x="37"/>
        <item x="42"/>
        <item x="54"/>
        <item x="63"/>
        <item x="55"/>
        <item x="43"/>
        <item x="29"/>
        <item x="22"/>
        <item x="15"/>
        <item x="8"/>
        <item x="76"/>
        <item x="56"/>
        <item x="44"/>
        <item x="30"/>
        <item x="23"/>
        <item x="16"/>
        <item x="9"/>
        <item x="85"/>
        <item x="82"/>
        <item x="57"/>
        <item x="45"/>
        <item x="31"/>
        <item x="24"/>
        <item x="17"/>
        <item x="10"/>
        <item x="71"/>
        <item x="58"/>
        <item x="46"/>
        <item x="32"/>
        <item x="25"/>
        <item x="18"/>
        <item x="11"/>
        <item x="47"/>
        <item x="59"/>
        <item x="60"/>
        <item x="73"/>
        <item x="84"/>
        <item x="2"/>
        <item x="48"/>
        <item x="49"/>
        <item x="50"/>
        <item x="65"/>
        <item x="26"/>
        <item x="3"/>
        <item x="4"/>
        <item x="78"/>
        <item x="91"/>
        <item x="89"/>
        <item x="93"/>
        <item x="94"/>
        <item m="1" x="108"/>
        <item m="1" x="109"/>
        <item m="1" x="110"/>
        <item m="1" x="111"/>
        <item m="1" x="112"/>
        <item x="100"/>
        <item x="101"/>
        <item x="95"/>
        <item x="96"/>
        <item x="97"/>
        <item x="98"/>
        <item x="99"/>
        <item x="102"/>
        <item x="103"/>
        <item x="104"/>
        <item x="105"/>
        <item x="106"/>
        <item x="107"/>
      </items>
    </pivotField>
    <pivotField name="Method A typ (A)" axis="axisRow" compact="0" outline="0" showAll="0" defaultSubtotal="0">
      <items count="104">
        <item x="83"/>
        <item x="79"/>
        <item x="81"/>
        <item x="72"/>
        <item x="76"/>
        <item x="75"/>
        <item x="73"/>
        <item x="71"/>
        <item x="64"/>
        <item x="68"/>
        <item x="78"/>
        <item x="82"/>
        <item x="59"/>
        <item x="65"/>
        <item x="74"/>
        <item x="70"/>
        <item x="53"/>
        <item x="62"/>
        <item x="60"/>
        <item x="69"/>
        <item x="49"/>
        <item x="38"/>
        <item x="77"/>
        <item x="41"/>
        <item x="66"/>
        <item x="54"/>
        <item x="63"/>
        <item x="28"/>
        <item x="42"/>
        <item x="29"/>
        <item x="58"/>
        <item x="57"/>
        <item x="67"/>
        <item x="61"/>
        <item x="51"/>
        <item x="37"/>
        <item x="30"/>
        <item x="22"/>
        <item x="55"/>
        <item x="45"/>
        <item x="23"/>
        <item x="15"/>
        <item x="43"/>
        <item x="32"/>
        <item x="46"/>
        <item x="8"/>
        <item x="12"/>
        <item x="56"/>
        <item x="5"/>
        <item x="16"/>
        <item x="44"/>
        <item x="2"/>
        <item x="47"/>
        <item x="9"/>
        <item x="50"/>
        <item x="48"/>
        <item x="35"/>
        <item x="33"/>
        <item x="31"/>
        <item x="24"/>
        <item x="39"/>
        <item x="40"/>
        <item x="25"/>
        <item x="17"/>
        <item x="34"/>
        <item x="27"/>
        <item x="36"/>
        <item x="10"/>
        <item x="52"/>
        <item x="19"/>
        <item x="20"/>
        <item x="18"/>
        <item x="13"/>
        <item x="6"/>
        <item x="11"/>
        <item x="21"/>
        <item x="14"/>
        <item x="0"/>
        <item x="7"/>
        <item x="1"/>
        <item x="26"/>
        <item x="80"/>
        <item x="3"/>
        <item x="4"/>
        <item m="1" x="103"/>
        <item x="84"/>
        <item x="85"/>
        <item x="86"/>
        <item m="1" x="101"/>
        <item m="1" x="102"/>
        <item x="89"/>
        <item x="92"/>
        <item x="91"/>
        <item x="87"/>
        <item x="88"/>
        <item x="90"/>
        <item x="93"/>
        <item x="94"/>
        <item x="95"/>
        <item x="96"/>
        <item x="97"/>
        <item x="98"/>
        <item x="99"/>
        <item x="100"/>
      </items>
    </pivotField>
    <pivotField axis="axisRow" compact="0" outline="0" showAll="0" defaultSubtotal="0">
      <items count="120">
        <item x="88"/>
        <item x="80"/>
        <item x="94"/>
        <item x="92"/>
        <item x="97"/>
        <item x="84"/>
        <item x="86"/>
        <item x="67"/>
        <item x="82"/>
        <item x="85"/>
        <item x="89"/>
        <item x="87"/>
        <item x="96"/>
        <item x="76"/>
        <item x="95"/>
        <item x="71"/>
        <item x="90"/>
        <item x="68"/>
        <item x="79"/>
        <item x="60"/>
        <item x="52"/>
        <item x="93"/>
        <item x="81"/>
        <item x="75"/>
        <item x="83"/>
        <item x="77"/>
        <item x="49"/>
        <item x="44"/>
        <item x="61"/>
        <item x="64"/>
        <item x="40"/>
        <item m="1" x="119"/>
        <item x="32"/>
        <item x="69"/>
        <item x="78"/>
        <item m="1" x="118"/>
        <item x="72"/>
        <item x="53"/>
        <item x="58"/>
        <item x="28"/>
        <item x="66"/>
        <item x="57"/>
        <item x="70"/>
        <item x="27"/>
        <item x="62"/>
        <item x="45"/>
        <item x="21"/>
        <item x="59"/>
        <item x="29"/>
        <item x="65"/>
        <item x="50"/>
        <item x="39"/>
        <item x="55"/>
        <item x="14"/>
        <item x="22"/>
        <item x="33"/>
        <item x="54"/>
        <item x="8"/>
        <item x="15"/>
        <item x="47"/>
        <item x="46"/>
        <item x="3"/>
        <item x="11"/>
        <item x="36"/>
        <item x="9"/>
        <item x="30"/>
        <item x="31"/>
        <item x="2"/>
        <item x="23"/>
        <item x="41"/>
        <item x="5"/>
        <item x="16"/>
        <item x="51"/>
        <item x="24"/>
        <item x="37"/>
        <item x="42"/>
        <item x="35"/>
        <item x="43"/>
        <item x="10"/>
        <item x="20"/>
        <item x="26"/>
        <item x="19"/>
        <item x="38"/>
        <item x="17"/>
        <item x="18"/>
        <item x="12"/>
        <item x="6"/>
        <item x="13"/>
        <item x="0"/>
        <item x="7"/>
        <item x="1"/>
        <item x="48"/>
        <item x="74"/>
        <item x="25"/>
        <item x="34"/>
        <item x="63"/>
        <item x="98"/>
        <item x="4"/>
        <item x="73"/>
        <item x="91"/>
        <item x="99"/>
        <item x="100"/>
        <item x="101"/>
        <item x="102"/>
        <item x="103"/>
        <item x="104"/>
        <item x="105"/>
        <item x="106"/>
        <item x="107"/>
        <item x="108"/>
        <item x="56"/>
        <item x="109"/>
        <item x="110"/>
        <item x="111"/>
        <item x="112"/>
        <item x="113"/>
        <item x="114"/>
        <item x="115"/>
        <item x="116"/>
        <item x="117"/>
      </items>
    </pivotField>
    <pivotField name="⊿L=-20% _x000a_typ (A) *ref value" axis="axisRow" compact="0" outline="0" showAll="0" defaultSubtotal="0">
      <items count="150">
        <item x="114"/>
        <item x="99"/>
        <item x="113"/>
        <item x="89"/>
        <item x="112"/>
        <item x="104"/>
        <item x="107"/>
        <item x="111"/>
        <item x="93"/>
        <item x="95"/>
        <item x="109"/>
        <item x="97"/>
        <item x="73"/>
        <item m="1" x="143"/>
        <item x="98"/>
        <item x="83"/>
        <item x="96"/>
        <item x="100"/>
        <item x="110"/>
        <item x="77"/>
        <item x="88"/>
        <item x="108"/>
        <item x="92"/>
        <item x="101"/>
        <item x="74"/>
        <item x="64"/>
        <item m="1" x="142"/>
        <item x="105"/>
        <item x="91"/>
        <item x="86"/>
        <item x="56"/>
        <item x="65"/>
        <item x="82"/>
        <item x="51"/>
        <item x="94"/>
        <item x="69"/>
        <item x="44"/>
        <item x="84"/>
        <item x="85"/>
        <item x="40"/>
        <item x="32"/>
        <item x="78"/>
        <item x="79"/>
        <item x="75"/>
        <item x="57"/>
        <item x="62"/>
        <item x="45"/>
        <item x="81"/>
        <item x="28"/>
        <item x="72"/>
        <item x="66"/>
        <item x="61"/>
        <item x="27"/>
        <item x="71"/>
        <item x="76"/>
        <item x="63"/>
        <item x="70"/>
        <item x="29"/>
        <item x="67"/>
        <item x="58"/>
        <item x="39"/>
        <item x="53"/>
        <item x="21"/>
        <item x="48"/>
        <item x="22"/>
        <item x="33"/>
        <item x="59"/>
        <item x="15"/>
        <item m="1" x="149"/>
        <item m="1" x="144"/>
        <item x="46"/>
        <item x="47"/>
        <item x="49"/>
        <item x="34"/>
        <item x="9"/>
        <item x="12"/>
        <item x="2"/>
        <item x="36"/>
        <item x="52"/>
        <item x="30"/>
        <item x="54"/>
        <item x="31"/>
        <item m="1" x="145"/>
        <item x="37"/>
        <item x="23"/>
        <item x="55"/>
        <item x="5"/>
        <item m="1" x="147"/>
        <item x="16"/>
        <item x="24"/>
        <item x="35"/>
        <item x="43"/>
        <item x="10"/>
        <item m="1" x="146"/>
        <item x="26"/>
        <item x="19"/>
        <item x="38"/>
        <item x="17"/>
        <item x="13"/>
        <item x="18"/>
        <item x="11"/>
        <item x="6"/>
        <item x="14"/>
        <item x="7"/>
        <item x="0"/>
        <item x="1"/>
        <item x="80"/>
        <item x="25"/>
        <item m="1" x="148"/>
        <item x="68"/>
        <item x="103"/>
        <item x="3"/>
        <item x="115"/>
        <item x="4"/>
        <item x="102"/>
        <item x="87"/>
        <item m="1" x="141"/>
        <item x="116"/>
        <item x="117"/>
        <item x="119"/>
        <item x="118"/>
        <item x="120"/>
        <item x="121"/>
        <item x="122"/>
        <item x="123"/>
        <item x="124"/>
        <item x="125"/>
        <item x="126"/>
        <item x="8"/>
        <item x="20"/>
        <item x="41"/>
        <item x="42"/>
        <item x="50"/>
        <item x="60"/>
        <item x="90"/>
        <item x="106"/>
        <item x="127"/>
        <item x="128"/>
        <item x="129"/>
        <item x="130"/>
        <item x="131"/>
        <item x="132"/>
        <item x="133"/>
        <item x="134"/>
        <item x="135"/>
        <item x="136"/>
        <item x="137"/>
        <item x="138"/>
        <item x="139"/>
        <item x="140"/>
      </items>
    </pivotField>
    <pivotField compact="0" outline="0" showAll="0"/>
    <pivotField compact="0" outline="0" showAll="0"/>
    <pivotField name="Max Height _x000a_(mm)" axis="axisRow" compact="0" outline="0" showAll="0" defaultSubtotal="0">
      <items count="11">
        <item x="5"/>
        <item x="2"/>
        <item x="3"/>
        <item x="4"/>
        <item x="0"/>
        <item x="1"/>
        <item x="6"/>
        <item x="7"/>
        <item x="8"/>
        <item x="9"/>
        <item x="10"/>
      </items>
    </pivotField>
    <pivotField compact="0" outline="0" showAll="0"/>
    <pivotField name="Size _x000a_(mm)" axis="axisRow" compact="0" outline="0" showAll="0" defaultSubtotal="0">
      <items count="15">
        <item x="3"/>
        <item x="2"/>
        <item x="6"/>
        <item x="7"/>
        <item x="9"/>
        <item x="0"/>
        <item x="4"/>
        <item x="10"/>
        <item x="1"/>
        <item x="8"/>
        <item x="11"/>
        <item x="12"/>
        <item x="13"/>
        <item x="14"/>
        <item x="5"/>
      </items>
    </pivotField>
    <pivotField compact="0" outline="0" showAll="0" defaultSubtotal="0">
      <items count="8">
        <item x="0"/>
        <item x="1"/>
        <item x="6"/>
        <item x="2"/>
        <item x="3"/>
        <item x="4"/>
        <item x="5"/>
        <item x="7"/>
      </items>
    </pivotField>
    <pivotField compact="0" outline="0" showAll="0" defaultSubtotal="0">
      <items count="7">
        <item x="2"/>
        <item x="3"/>
        <item x="0"/>
        <item x="4"/>
        <item x="1"/>
        <item x="6"/>
        <item x="5"/>
      </items>
    </pivotField>
    <pivotField compact="0" outline="0" showAll="0" defaultSubtotal="0"/>
    <pivotField compact="0" outline="0" showAll="0" defaultSubtotal="0">
      <items count="3">
        <item x="0"/>
        <item x="2"/>
        <item x="1"/>
      </items>
    </pivotField>
    <pivotField name="Temp Range (deg.C)" axis="axisRow" compact="0" outline="0" showAll="0" defaultSubtotal="0">
      <items count="4">
        <item x="0"/>
        <item x="1"/>
        <item x="2"/>
        <item x="3"/>
      </items>
    </pivotField>
    <pivotField compact="0" outline="0" showAll="0"/>
    <pivotField compact="0" outline="0" showAll="0"/>
    <pivotField compact="0" outline="0" showAll="0" defaultSubtotal="0"/>
    <pivotField name="L1 _x000a_(uH)" compact="0" outline="0" showAll="0" defaultSubtotal="0">
      <items count="2">
        <item x="0"/>
        <item m="1" x="1"/>
      </items>
    </pivotField>
    <pivotField compact="0" outline="0" showAll="0" defaultSubtotal="0"/>
    <pivotField compact="0" outline="0" showAll="0" defaultSubtotal="0">
      <items count="2">
        <item x="0"/>
        <item m="1" x="1"/>
      </items>
    </pivotField>
    <pivotField name="Ir _x000a_(A)" compact="0" outline="0" showAll="0" defaultSubtotal="0">
      <items count="2">
        <item x="0"/>
        <item m="1" x="1"/>
      </items>
    </pivotField>
    <pivotField axis="axisRow" compact="0" outline="0" showAll="0" defaultSubtotal="0">
      <items count="287">
        <item m="1" x="150"/>
        <item m="1" x="157"/>
        <item m="1" x="185"/>
        <item m="1" x="209"/>
        <item m="1" x="216"/>
        <item m="1" x="236"/>
        <item m="1" x="247"/>
        <item m="1" x="255"/>
        <item m="1" x="173"/>
        <item m="1" x="186"/>
        <item m="1" x="198"/>
        <item m="1" x="237"/>
        <item m="1" x="164"/>
        <item m="1" x="181"/>
        <item m="1" x="187"/>
        <item m="1" x="199"/>
        <item m="1" x="217"/>
        <item m="1" x="229"/>
        <item m="1" x="238"/>
        <item m="1" x="248"/>
        <item m="1" x="256"/>
        <item m="1" x="261"/>
        <item m="1" x="266"/>
        <item m="1" x="182"/>
        <item m="1" x="218"/>
        <item m="1" x="230"/>
        <item m="1" x="239"/>
        <item m="1" x="259"/>
        <item m="1" x="267"/>
        <item m="1" x="200"/>
        <item m="1" x="210"/>
        <item m="1" x="219"/>
        <item m="1" x="240"/>
        <item m="1" x="249"/>
        <item m="1" x="260"/>
        <item m="1" x="265"/>
        <item m="1" x="145"/>
        <item m="1" x="151"/>
        <item m="1" x="158"/>
        <item m="1" x="172"/>
        <item m="1" x="165"/>
        <item m="1" x="183"/>
        <item m="1" x="188"/>
        <item m="1" x="201"/>
        <item m="1" x="146"/>
        <item m="1" x="152"/>
        <item m="1" x="159"/>
        <item m="1" x="166"/>
        <item m="1" x="184"/>
        <item m="1" x="189"/>
        <item m="1" x="202"/>
        <item m="1" x="220"/>
        <item m="1" x="211"/>
        <item m="1" x="203"/>
        <item m="1" x="190"/>
        <item m="1" x="174"/>
        <item m="1" x="167"/>
        <item m="1" x="160"/>
        <item m="1" x="153"/>
        <item m="1" x="250"/>
        <item m="1" x="241"/>
        <item m="1" x="231"/>
        <item m="1" x="221"/>
        <item m="1" x="212"/>
        <item m="1" x="204"/>
        <item m="1" x="191"/>
        <item m="1" x="175"/>
        <item m="1" x="168"/>
        <item m="1" x="161"/>
        <item m="1" x="154"/>
        <item m="1" x="251"/>
        <item m="1" x="242"/>
        <item m="1" x="232"/>
        <item m="1" x="222"/>
        <item m="1" x="213"/>
        <item m="1" x="205"/>
        <item m="1" x="192"/>
        <item m="1" x="176"/>
        <item m="1" x="169"/>
        <item m="1" x="162"/>
        <item m="1" x="155"/>
        <item m="1" x="257"/>
        <item m="1" x="252"/>
        <item m="1" x="243"/>
        <item m="1" x="233"/>
        <item m="1" x="223"/>
        <item m="1" x="214"/>
        <item m="1" x="206"/>
        <item m="1" x="193"/>
        <item m="1" x="177"/>
        <item m="1" x="170"/>
        <item m="1" x="163"/>
        <item m="1" x="178"/>
        <item m="1" x="224"/>
        <item m="1" x="244"/>
        <item m="1" x="156"/>
        <item m="1" x="194"/>
        <item m="1" x="207"/>
        <item m="1" x="225"/>
        <item m="1" x="234"/>
        <item m="1" x="208"/>
        <item m="1" x="226"/>
        <item m="1" x="245"/>
        <item m="1" x="258"/>
        <item m="1" x="180"/>
        <item m="1" x="147"/>
        <item m="1" x="179"/>
        <item m="1" x="262"/>
        <item m="1" x="195"/>
        <item m="1" x="196"/>
        <item m="1" x="197"/>
        <item m="1" x="228"/>
        <item m="1" x="171"/>
        <item m="1" x="215"/>
        <item m="1" x="254"/>
        <item m="1" x="148"/>
        <item m="1" x="268"/>
        <item m="1" x="263"/>
        <item m="1" x="149"/>
        <item m="1" x="253"/>
        <item m="1" x="246"/>
        <item m="1" x="235"/>
        <item m="1" x="227"/>
        <item m="1" x="286"/>
        <item m="1" x="264"/>
        <item m="1" x="269"/>
        <item m="1" x="270"/>
        <item m="1" x="271"/>
        <item m="1" x="272"/>
        <item m="1" x="273"/>
        <item m="1" x="274"/>
        <item m="1" x="275"/>
        <item m="1" x="276"/>
        <item m="1" x="277"/>
        <item m="1" x="278"/>
        <item m="1" x="279"/>
        <item m="1" x="280"/>
        <item m="1" x="281"/>
        <item m="1" x="282"/>
        <item m="1" x="283"/>
        <item m="1" x="284"/>
        <item m="1"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s>
    </pivotField>
    <pivotField compact="0" outline="0" showAll="0"/>
    <pivotField compact="0" outline="0" showAll="0" defaultSubtotal="0"/>
    <pivotField compact="0" outline="0" showAll="0" defaultSubtotal="0"/>
    <pivotField compact="0" outline="0" showAll="0" defaultSubtotal="0"/>
  </pivotFields>
  <rowFields count="15">
    <field x="16"/>
    <field x="19"/>
    <field x="23"/>
    <field x="24"/>
    <field x="25"/>
    <field x="26"/>
    <field x="20"/>
    <field x="21"/>
    <field x="31"/>
    <field x="29"/>
    <field x="36"/>
    <field x="13"/>
    <field x="5"/>
    <field x="14"/>
    <field x="44"/>
  </rowFields>
  <rowItems count="150">
    <i>
      <x/>
      <x/>
      <x v="107"/>
      <x v="96"/>
      <x v="112"/>
      <x v="139"/>
      <x v="129"/>
      <x v="134"/>
      <x v="1"/>
      <x v="1"/>
      <x v="2"/>
      <x/>
      <x/>
      <x v="139"/>
      <x v="279"/>
    </i>
    <i>
      <x v="1"/>
      <x/>
      <x v="101"/>
      <x v="91"/>
      <x v="111"/>
      <x v="136"/>
      <x v="125"/>
      <x v="129"/>
      <x v="12"/>
      <x v="4"/>
      <x v="2"/>
      <x/>
      <x/>
      <x v="136"/>
      <x v="276"/>
    </i>
    <i>
      <x v="2"/>
      <x/>
      <x v="33"/>
      <x v="77"/>
      <x v="88"/>
      <x v="104"/>
      <x v="1"/>
      <x v="13"/>
      <x v="5"/>
      <x v="4"/>
      <x/>
      <x/>
      <x/>
      <x v="92"/>
      <x v="142"/>
    </i>
    <i r="2">
      <x v="41"/>
      <x v="79"/>
      <x v="90"/>
      <x v="105"/>
      <x/>
      <x/>
      <x v="8"/>
      <x v="5"/>
      <x v="1"/>
      <x/>
      <x/>
      <x v="16"/>
      <x v="143"/>
    </i>
    <i r="2">
      <x v="82"/>
      <x v="51"/>
      <x v="67"/>
      <x v="76"/>
      <x v="94"/>
      <x v="96"/>
      <x v="1"/>
      <x v="1"/>
      <x v="2"/>
      <x/>
      <x/>
      <x v="105"/>
      <x v="144"/>
    </i>
    <i r="2">
      <x v="94"/>
      <x v="86"/>
      <x v="102"/>
      <x v="119"/>
      <x v="118"/>
      <x v="122"/>
      <x v="11"/>
      <x v="10"/>
      <x v="1"/>
      <x/>
      <x/>
      <x v="128"/>
      <x v="269"/>
    </i>
    <i r="2">
      <x v="111"/>
      <x v="103"/>
      <x v="118"/>
      <x v="148"/>
      <x v="137"/>
      <x v="143"/>
      <x v="5"/>
      <x v="2"/>
      <x/>
      <x/>
      <x/>
      <x v="149"/>
      <x v="285"/>
    </i>
    <i>
      <x v="3"/>
      <x/>
      <x v="14"/>
      <x v="59"/>
      <x v="62"/>
      <x v="141"/>
      <x v="39"/>
      <x v="40"/>
      <x v="13"/>
      <x v="1"/>
      <x v="2"/>
      <x/>
      <x/>
      <x v="142"/>
      <x v="282"/>
    </i>
    <i r="2">
      <x v="87"/>
      <x v="97"/>
      <x v="93"/>
      <x v="140"/>
      <x v="130"/>
      <x v="135"/>
      <x v="7"/>
      <x v="7"/>
      <x/>
      <x/>
      <x/>
      <x v="140"/>
      <x v="280"/>
    </i>
    <i r="2">
      <x v="88"/>
      <x v="82"/>
      <x v="61"/>
      <x v="111"/>
      <x v="103"/>
      <x v="106"/>
      <x v="1"/>
      <x v="1"/>
      <x v="2"/>
      <x/>
      <x/>
      <x v="115"/>
      <x v="145"/>
    </i>
    <i r="2">
      <x v="89"/>
      <x v="83"/>
      <x v="97"/>
      <x v="113"/>
      <x v="106"/>
      <x v="109"/>
      <x v="5"/>
      <x v="2"/>
      <x/>
      <x/>
      <x/>
      <x v="118"/>
      <x v="146"/>
    </i>
    <i r="2">
      <x v="109"/>
      <x v="101"/>
      <x v="116"/>
      <x v="145"/>
      <x v="134"/>
      <x v="140"/>
      <x v="14"/>
      <x v="2"/>
      <x v="2"/>
      <x/>
      <x/>
      <x v="146"/>
      <x v="248"/>
    </i>
    <i>
      <x v="4"/>
      <x/>
      <x/>
      <x v="48"/>
      <x v="70"/>
      <x v="86"/>
      <x v="49"/>
      <x v="50"/>
      <x/>
      <x v="1"/>
      <x/>
      <x/>
      <x/>
      <x v="58"/>
      <x v="147"/>
    </i>
    <i r="2">
      <x v="34"/>
      <x v="73"/>
      <x v="86"/>
      <x v="101"/>
      <x v="71"/>
      <x v="88"/>
      <x v="5"/>
      <x v="4"/>
      <x/>
      <x/>
      <x/>
      <x v="84"/>
      <x v="148"/>
    </i>
    <i r="2">
      <x v="42"/>
      <x v="78"/>
      <x v="89"/>
      <x v="103"/>
      <x v="1"/>
      <x v="13"/>
      <x v="8"/>
      <x v="5"/>
      <x v="1"/>
      <x/>
      <x/>
      <x v="9"/>
      <x v="149"/>
    </i>
    <i r="2">
      <x v="54"/>
      <x v="45"/>
      <x v="57"/>
      <x v="128"/>
      <x v="4"/>
      <x v="1"/>
      <x v="1"/>
      <x v="1"/>
      <x v="2"/>
      <x/>
      <x/>
      <x v="26"/>
      <x v="150"/>
    </i>
    <i r="2">
      <x v="61"/>
      <x v="53"/>
      <x v="64"/>
      <x v="74"/>
      <x v="33"/>
      <x v="33"/>
      <x v="6"/>
      <x v="1"/>
      <x v="2"/>
      <x/>
      <x/>
      <x v="34"/>
      <x v="151"/>
    </i>
    <i r="2">
      <x v="69"/>
      <x v="67"/>
      <x v="78"/>
      <x v="92"/>
      <x v="91"/>
      <x v="93"/>
      <x v="14"/>
      <x v="2"/>
      <x v="2"/>
      <x/>
      <x/>
      <x v="44"/>
      <x v="152"/>
    </i>
    <i r="2">
      <x v="76"/>
      <x v="74"/>
      <x v="86"/>
      <x v="100"/>
      <x v="80"/>
      <x v="66"/>
      <x v="5"/>
      <x v="4"/>
      <x/>
      <x/>
      <x/>
      <x v="95"/>
      <x v="153"/>
    </i>
    <i r="2">
      <x v="102"/>
      <x v="87"/>
      <x v="103"/>
      <x v="121"/>
      <x/>
      <x/>
      <x v="11"/>
      <x v="10"/>
      <x v="1"/>
      <x/>
      <x/>
      <x v="129"/>
      <x v="270"/>
    </i>
    <i>
      <x v="5"/>
      <x/>
      <x v="1"/>
      <x v="46"/>
      <x v="62"/>
      <x v="75"/>
      <x v="50"/>
      <x v="51"/>
      <x/>
      <x v="1"/>
      <x/>
      <x/>
      <x/>
      <x v="59"/>
      <x v="154"/>
    </i>
    <i r="2">
      <x v="35"/>
      <x v="72"/>
      <x v="85"/>
      <x v="98"/>
      <x v="72"/>
      <x v="59"/>
      <x v="5"/>
      <x v="4"/>
      <x/>
      <x/>
      <x/>
      <x v="85"/>
      <x v="155"/>
    </i>
    <i r="2">
      <x v="43"/>
      <x v="76"/>
      <x v="87"/>
      <x v="102"/>
      <x v="20"/>
      <x v="90"/>
      <x v="8"/>
      <x v="5"/>
      <x v="1"/>
      <x/>
      <x/>
      <x v="17"/>
      <x v="156"/>
    </i>
    <i r="2">
      <x v="53"/>
      <x v="41"/>
      <x v="53"/>
      <x v="128"/>
      <x v="16"/>
      <x v="16"/>
      <x v="1"/>
      <x v="1"/>
      <x v="2"/>
      <x/>
      <x/>
      <x v="12"/>
      <x v="157"/>
    </i>
    <i r="2">
      <x v="60"/>
      <x v="49"/>
      <x v="58"/>
      <x v="67"/>
      <x v="32"/>
      <x v="32"/>
      <x v="6"/>
      <x v="1"/>
      <x v="2"/>
      <x/>
      <x/>
      <x v="33"/>
      <x v="158"/>
    </i>
    <i r="2">
      <x v="68"/>
      <x v="63"/>
      <x v="71"/>
      <x v="88"/>
      <x v="39"/>
      <x v="40"/>
      <x v="14"/>
      <x v="2"/>
      <x v="2"/>
      <x/>
      <x/>
      <x v="43"/>
      <x v="159"/>
    </i>
    <i r="2">
      <x v="75"/>
      <x v="71"/>
      <x v="83"/>
      <x v="97"/>
      <x v="22"/>
      <x v="21"/>
      <x v="2"/>
      <x v="2"/>
      <x v="2"/>
      <x/>
      <x/>
      <x v="55"/>
      <x v="160"/>
    </i>
    <i r="2">
      <x v="103"/>
      <x v="93"/>
      <x v="104"/>
      <x v="122"/>
      <x v="126"/>
      <x v="130"/>
      <x v="11"/>
      <x v="10"/>
      <x v="1"/>
      <x/>
      <x/>
      <x v="130"/>
      <x v="271"/>
    </i>
    <i>
      <x v="6"/>
      <x/>
      <x v="22"/>
      <x v="98"/>
      <x v="113"/>
      <x v="142"/>
      <x v="132"/>
      <x v="137"/>
      <x v="7"/>
      <x v="7"/>
      <x/>
      <x/>
      <x/>
      <x v="143"/>
      <x v="280"/>
    </i>
    <i>
      <x v="7"/>
      <x/>
      <x v="12"/>
      <x v="69"/>
      <x v="84"/>
      <x v="99"/>
      <x v="57"/>
      <x v="57"/>
      <x v="2"/>
      <x v="3"/>
      <x/>
      <x/>
      <x/>
      <x v="67"/>
      <x v="161"/>
    </i>
    <i r="2">
      <x v="37"/>
      <x v="70"/>
      <x v="81"/>
      <x v="95"/>
      <x v="13"/>
      <x v="11"/>
      <x v="5"/>
      <x/>
      <x/>
      <x/>
      <x/>
      <x v="7"/>
      <x v="162"/>
    </i>
    <i r="2">
      <x v="44"/>
      <x v="75"/>
      <x v="79"/>
      <x v="129"/>
      <x v="21"/>
      <x v="20"/>
      <x v="8"/>
      <x v="5"/>
      <x v="1"/>
      <x/>
      <x/>
      <x v="18"/>
      <x v="163"/>
    </i>
    <i r="2">
      <x v="52"/>
      <x v="37"/>
      <x v="46"/>
      <x v="62"/>
      <x v="26"/>
      <x v="26"/>
      <x v="1"/>
      <x v="1"/>
      <x v="2"/>
      <x/>
      <x/>
      <x v="25"/>
      <x v="164"/>
    </i>
    <i r="2">
      <x v="59"/>
      <x v="40"/>
      <x v="54"/>
      <x v="64"/>
      <x v="5"/>
      <x v="2"/>
      <x v="6"/>
      <x v="1"/>
      <x v="2"/>
      <x/>
      <x/>
      <x v="32"/>
      <x v="165"/>
    </i>
    <i r="2">
      <x v="67"/>
      <x v="59"/>
      <x v="68"/>
      <x v="84"/>
      <x v="2"/>
      <x v="39"/>
      <x v="14"/>
      <x v="2"/>
      <x v="2"/>
      <x/>
      <x/>
      <x v="42"/>
      <x v="166"/>
    </i>
    <i r="2">
      <x v="72"/>
      <x v="99"/>
      <x v="114"/>
      <x v="143"/>
      <x v="133"/>
      <x v="138"/>
      <x v="7"/>
      <x v="7"/>
      <x/>
      <x/>
      <x/>
      <x v="144"/>
      <x v="280"/>
    </i>
    <i r="2">
      <x v="74"/>
      <x v="62"/>
      <x v="73"/>
      <x v="89"/>
      <x v="2"/>
      <x v="39"/>
      <x v="2"/>
      <x v="2"/>
      <x v="2"/>
      <x/>
      <x/>
      <x v="54"/>
      <x v="167"/>
    </i>
    <i r="2">
      <x v="104"/>
      <x v="94"/>
      <x v="105"/>
      <x v="123"/>
      <x v="1"/>
      <x v="13"/>
      <x v="11"/>
      <x v="10"/>
      <x v="1"/>
      <x/>
      <x/>
      <x v="131"/>
      <x v="272"/>
    </i>
    <i>
      <x v="8"/>
      <x/>
      <x v="87"/>
      <x v="80"/>
      <x v="93"/>
      <x v="107"/>
      <x v="100"/>
      <x v="103"/>
      <x v="5"/>
      <x v="4"/>
      <x/>
      <x/>
      <x/>
      <x v="112"/>
      <x v="168"/>
    </i>
    <i>
      <x v="9"/>
      <x/>
      <x v="36"/>
      <x v="65"/>
      <x v="80"/>
      <x v="94"/>
      <x v="12"/>
      <x v="10"/>
      <x v="5"/>
      <x v="4"/>
      <x/>
      <x/>
      <x/>
      <x v="6"/>
      <x v="169"/>
    </i>
    <i>
      <x v="10"/>
      <x/>
      <x v="8"/>
      <x v="27"/>
      <x v="43"/>
      <x v="52"/>
      <x v="54"/>
      <x v="74"/>
      <x v="1"/>
      <x v="1"/>
      <x/>
      <x/>
      <x/>
      <x v="63"/>
      <x v="170"/>
    </i>
    <i r="2">
      <x v="51"/>
      <x v="29"/>
      <x v="32"/>
      <x v="40"/>
      <x v="48"/>
      <x v="49"/>
      <x v="1"/>
      <x v="1"/>
      <x/>
      <x/>
      <x/>
      <x v="57"/>
      <x v="175"/>
    </i>
    <i r="4">
      <x v="39"/>
      <x v="48"/>
      <x v="6"/>
      <x v="3"/>
      <x v="1"/>
      <x v="1"/>
      <x v="2"/>
      <x/>
      <x/>
      <x v="24"/>
      <x v="171"/>
    </i>
    <i r="2">
      <x v="54"/>
      <x v="43"/>
      <x v="55"/>
      <x v="65"/>
      <x v="95"/>
      <x v="97"/>
      <x/>
      <x v="6"/>
      <x/>
      <x/>
      <x/>
      <x v="106"/>
      <x v="176"/>
    </i>
    <i r="2">
      <x v="58"/>
      <x v="36"/>
      <x v="48"/>
      <x v="57"/>
      <x v="31"/>
      <x v="31"/>
      <x v="6"/>
      <x v="1"/>
      <x v="2"/>
      <x/>
      <x/>
      <x v="31"/>
      <x v="172"/>
    </i>
    <i r="2">
      <x v="66"/>
      <x v="48"/>
      <x v="65"/>
      <x v="79"/>
      <x v="38"/>
      <x v="38"/>
      <x v="14"/>
      <x v="2"/>
      <x v="2"/>
      <x/>
      <x/>
      <x v="41"/>
      <x v="173"/>
    </i>
    <i r="2">
      <x v="73"/>
      <x v="58"/>
      <x v="66"/>
      <x v="81"/>
      <x v="46"/>
      <x v="47"/>
      <x v="2"/>
      <x v="2"/>
      <x v="2"/>
      <x/>
      <x/>
      <x v="53"/>
      <x v="174"/>
    </i>
    <i r="2">
      <x v="108"/>
      <x v="100"/>
      <x v="115"/>
      <x v="144"/>
      <x v="98"/>
      <x v="139"/>
      <x v="7"/>
      <x v="7"/>
      <x/>
      <x/>
      <x/>
      <x v="145"/>
      <x v="280"/>
    </i>
    <i>
      <x v="11"/>
      <x/>
      <x v="40"/>
      <x v="57"/>
      <x v="94"/>
      <x v="73"/>
      <x v="93"/>
      <x v="95"/>
      <x v="3"/>
      <x v="3"/>
      <x/>
      <x/>
      <x/>
      <x v="104"/>
      <x v="177"/>
    </i>
    <i>
      <x v="12"/>
      <x/>
      <x v="13"/>
      <x v="64"/>
      <x v="76"/>
      <x v="90"/>
      <x v="3"/>
      <x v="7"/>
      <x v="2"/>
      <x v="3"/>
      <x/>
      <x/>
      <x/>
      <x v="3"/>
      <x v="178"/>
    </i>
    <i r="5">
      <x v="137"/>
      <x v="3"/>
      <x v="133"/>
      <x v="5"/>
      <x v="3"/>
      <x/>
      <x/>
      <x/>
      <x v="137"/>
      <x v="277"/>
    </i>
    <i r="2">
      <x v="22"/>
      <x v="56"/>
      <x v="63"/>
      <x v="77"/>
      <x v="4"/>
      <x v="1"/>
      <x v="3"/>
      <x v="3"/>
      <x/>
      <x/>
      <x/>
      <x v="74"/>
      <x v="179"/>
    </i>
    <i r="2">
      <x v="38"/>
      <x v="66"/>
      <x v="74"/>
      <x v="83"/>
      <x v="73"/>
      <x v="89"/>
      <x v="5"/>
      <x/>
      <x/>
      <x/>
      <x/>
      <x v="86"/>
      <x v="180"/>
    </i>
    <i r="2">
      <x v="45"/>
      <x v="72"/>
      <x v="82"/>
      <x v="96"/>
      <x v="22"/>
      <x v="21"/>
      <x v="8"/>
      <x v="5"/>
      <x v="1"/>
      <x/>
      <x/>
      <x v="19"/>
      <x v="181"/>
    </i>
    <i r="2">
      <x v="93"/>
      <x v="85"/>
      <x v="101"/>
      <x v="120"/>
      <x v="117"/>
      <x v="121"/>
      <x v="5"/>
      <x/>
      <x/>
      <x/>
      <x/>
      <x v="127"/>
      <x v="268"/>
    </i>
    <i r="2">
      <x v="105"/>
      <x v="90"/>
      <x v="106"/>
      <x v="124"/>
      <x v="121"/>
      <x v="125"/>
      <x v="11"/>
      <x v="10"/>
      <x v="1"/>
      <x/>
      <x/>
      <x v="132"/>
      <x v="273"/>
    </i>
    <i>
      <x v="13"/>
      <x/>
      <x v="2"/>
      <x v="35"/>
      <x v="51"/>
      <x v="60"/>
      <x v="19"/>
      <x v="19"/>
      <x/>
      <x v="6"/>
      <x/>
      <x/>
      <x/>
      <x v="88"/>
      <x v="182"/>
    </i>
    <i r="2">
      <x v="9"/>
      <x v="21"/>
      <x v="30"/>
      <x v="39"/>
      <x v="88"/>
      <x v="55"/>
      <x v="1"/>
      <x v="1"/>
      <x/>
      <x/>
      <x/>
      <x v="64"/>
      <x v="183"/>
    </i>
    <i r="2">
      <x v="14"/>
      <x v="60"/>
      <x v="69"/>
      <x v="130"/>
      <x v="58"/>
      <x v="101"/>
      <x v="2"/>
      <x v="3"/>
      <x/>
      <x/>
      <x/>
      <x v="68"/>
      <x v="184"/>
    </i>
    <i r="5">
      <x v="138"/>
      <x v="58"/>
      <x v="101"/>
      <x v="5"/>
      <x v="3"/>
      <x/>
      <x/>
      <x/>
      <x v="138"/>
      <x v="278"/>
    </i>
    <i r="2">
      <x v="39"/>
      <x v="61"/>
      <x v="75"/>
      <x v="131"/>
      <x v="74"/>
      <x v="60"/>
      <x v="5"/>
      <x/>
      <x/>
      <x/>
      <x/>
      <x v="87"/>
      <x v="185"/>
    </i>
    <i r="2">
      <x v="46"/>
      <x v="71"/>
      <x v="77"/>
      <x v="91"/>
      <x v="23"/>
      <x v="22"/>
      <x v="9"/>
      <x v="5"/>
      <x v="1"/>
      <x/>
      <x/>
      <x v="20"/>
      <x v="186"/>
    </i>
    <i r="2">
      <x v="50"/>
      <x v="23"/>
      <x v="27"/>
      <x v="36"/>
      <x v="25"/>
      <x v="25"/>
      <x v="1"/>
      <x v="1"/>
      <x v="2"/>
      <x/>
      <x/>
      <x v="23"/>
      <x v="187"/>
    </i>
    <i r="2">
      <x v="57"/>
      <x v="28"/>
      <x v="45"/>
      <x v="46"/>
      <x v="30"/>
      <x v="30"/>
      <x v="6"/>
      <x v="1"/>
      <x v="2"/>
      <x/>
      <x/>
      <x v="30"/>
      <x v="188"/>
    </i>
    <i r="2">
      <x v="65"/>
      <x v="42"/>
      <x v="60"/>
      <x v="70"/>
      <x v="90"/>
      <x v="92"/>
      <x v="14"/>
      <x v="2"/>
      <x v="2"/>
      <x/>
      <x/>
      <x v="40"/>
      <x v="189"/>
    </i>
    <i r="2">
      <x v="72"/>
      <x v="50"/>
      <x v="59"/>
      <x v="71"/>
      <x v="45"/>
      <x v="46"/>
      <x v="2"/>
      <x v="2"/>
      <x v="2"/>
      <x/>
      <x/>
      <x v="52"/>
      <x v="190"/>
    </i>
    <i r="2">
      <x v="77"/>
      <x v="39"/>
      <x v="46"/>
      <x v="57"/>
      <x v="81"/>
      <x v="67"/>
      <x v="6"/>
      <x v="7"/>
      <x/>
      <x/>
      <x/>
      <x v="96"/>
      <x v="191"/>
    </i>
    <i r="2">
      <x v="83"/>
      <x v="44"/>
      <x v="55"/>
      <x v="63"/>
      <x v="97"/>
      <x v="99"/>
      <x v="4"/>
      <x v="3"/>
      <x/>
      <x/>
      <x/>
      <x v="108"/>
      <x v="192"/>
    </i>
    <i r="2">
      <x v="84"/>
      <x v="52"/>
      <x v="61"/>
      <x v="72"/>
      <x v="98"/>
      <x v="100"/>
      <x v="3"/>
      <x v="3"/>
      <x/>
      <x/>
      <x/>
      <x v="109"/>
      <x v="193"/>
    </i>
    <i r="2">
      <x v="85"/>
      <x v="55"/>
      <x v="91"/>
      <x v="132"/>
      <x v="58"/>
      <x v="101"/>
      <x v="2"/>
      <x v="4"/>
      <x/>
      <x/>
      <x/>
      <x v="110"/>
      <x v="194"/>
    </i>
    <i r="2">
      <x v="106"/>
      <x v="95"/>
      <x v="107"/>
      <x v="125"/>
      <x v="127"/>
      <x v="131"/>
      <x v="11"/>
      <x v="10"/>
      <x v="1"/>
      <x/>
      <x/>
      <x v="133"/>
      <x v="274"/>
    </i>
    <i>
      <x v="14"/>
      <x/>
      <x v="10"/>
      <x v="20"/>
      <x v="26"/>
      <x v="33"/>
      <x v="55"/>
      <x v="56"/>
      <x v="1"/>
      <x v="2"/>
      <x/>
      <x/>
      <x/>
      <x v="65"/>
      <x v="195"/>
    </i>
    <i r="2">
      <x v="15"/>
      <x v="54"/>
      <x v="62"/>
      <x v="78"/>
      <x v="59"/>
      <x v="77"/>
      <x v="2"/>
      <x v="3"/>
      <x/>
      <x/>
      <x/>
      <x v="69"/>
      <x v="196"/>
    </i>
    <i r="2">
      <x v="27"/>
      <x v="34"/>
      <x v="50"/>
      <x v="61"/>
      <x v="109"/>
      <x v="112"/>
      <x v="4"/>
      <x v="3"/>
      <x/>
      <x/>
      <x/>
      <x v="79"/>
      <x v="197"/>
    </i>
    <i r="2">
      <x v="40"/>
      <x v="55"/>
      <x v="68"/>
      <x v="80"/>
      <x v="14"/>
      <x v="12"/>
      <x v="5"/>
      <x/>
      <x/>
      <x/>
      <x/>
      <x v="8"/>
      <x v="198"/>
    </i>
    <i r="2">
      <x v="47"/>
      <x v="68"/>
      <x v="72"/>
      <x v="85"/>
      <x v="2"/>
      <x v="14"/>
      <x v="9"/>
      <x v="5"/>
      <x v="1"/>
      <x/>
      <x/>
      <x v="10"/>
      <x v="199"/>
    </i>
    <i r="2">
      <x v="49"/>
      <x v="16"/>
      <x v="20"/>
      <x v="30"/>
      <x v="18"/>
      <x v="24"/>
      <x v="1"/>
      <x v="1"/>
      <x v="2"/>
      <x/>
      <x/>
      <x v="22"/>
      <x v="200"/>
    </i>
    <i r="2">
      <x v="56"/>
      <x v="25"/>
      <x v="37"/>
      <x v="44"/>
      <x v="29"/>
      <x v="29"/>
      <x v="6"/>
      <x v="1"/>
      <x v="2"/>
      <x/>
      <x/>
      <x v="29"/>
      <x v="201"/>
    </i>
    <i r="2">
      <x v="64"/>
      <x v="38"/>
      <x v="56"/>
      <x v="59"/>
      <x v="19"/>
      <x v="19"/>
      <x v="14"/>
      <x v="2"/>
      <x v="2"/>
      <x/>
      <x/>
      <x v="15"/>
      <x v="202"/>
    </i>
    <i r="2">
      <x v="71"/>
      <x v="47"/>
      <x v="52"/>
      <x v="66"/>
      <x v="110"/>
      <x v="113"/>
      <x v="2"/>
      <x v="2"/>
      <x v="2"/>
      <x/>
      <x/>
      <x v="51"/>
      <x v="203"/>
    </i>
    <i r="2">
      <x v="78"/>
      <x v="31"/>
      <x v="110"/>
      <x v="133"/>
      <x v="82"/>
      <x v="68"/>
      <x v="6"/>
      <x v="7"/>
      <x/>
      <x/>
      <x/>
      <x v="97"/>
      <x v="204"/>
    </i>
    <i r="2">
      <x v="79"/>
      <x v="36"/>
      <x v="41"/>
      <x v="51"/>
      <x v="85"/>
      <x v="71"/>
      <x v="7"/>
      <x v="7"/>
      <x/>
      <x/>
      <x/>
      <x v="100"/>
      <x v="205"/>
    </i>
    <i r="2">
      <x v="100"/>
      <x v="92"/>
      <x v="108"/>
      <x v="126"/>
      <x v="128"/>
      <x v="132"/>
      <x v="11"/>
      <x v="10"/>
      <x v="1"/>
      <x/>
      <x/>
      <x v="134"/>
      <x v="275"/>
    </i>
    <i>
      <x v="15"/>
      <x/>
      <x v="3"/>
      <x v="21"/>
      <x v="38"/>
      <x v="45"/>
      <x v="51"/>
      <x v="52"/>
      <x/>
      <x v="6"/>
      <x/>
      <x/>
      <x/>
      <x v="60"/>
      <x v="206"/>
    </i>
    <i r="2">
      <x v="4"/>
      <x v="18"/>
      <x v="28"/>
      <x v="31"/>
      <x v="18"/>
      <x v="18"/>
      <x v="6"/>
      <x v="1"/>
      <x v="2"/>
      <x/>
      <x/>
      <x v="14"/>
      <x v="209"/>
    </i>
    <i r="2">
      <x v="28"/>
      <x v="30"/>
      <x v="47"/>
      <x v="55"/>
      <x v="7"/>
      <x v="4"/>
      <x v="4"/>
      <x v="3"/>
      <x/>
      <x/>
      <x/>
      <x/>
      <x v="207"/>
    </i>
    <i r="3">
      <x v="33"/>
      <x v="44"/>
      <x v="50"/>
      <x v="37"/>
      <x v="37"/>
      <x v="14"/>
      <x v="2"/>
      <x v="2"/>
      <x/>
      <x/>
      <x v="39"/>
      <x v="210"/>
    </i>
    <i r="2">
      <x v="48"/>
      <x v="12"/>
      <x v="19"/>
      <x v="25"/>
      <x v="24"/>
      <x v="23"/>
      <x v="1"/>
      <x v="1"/>
      <x v="2"/>
      <x/>
      <x/>
      <x v="21"/>
      <x v="208"/>
    </i>
    <i r="2">
      <x v="59"/>
      <x v="102"/>
      <x v="48"/>
      <x v="147"/>
      <x v="136"/>
      <x v="142"/>
      <x v="3"/>
      <x v="3"/>
      <x/>
      <x/>
      <x/>
      <x v="148"/>
      <x v="284"/>
    </i>
    <i r="2">
      <x v="65"/>
      <x v="40"/>
      <x v="47"/>
      <x v="58"/>
      <x v="92"/>
      <x v="94"/>
      <x v="2"/>
      <x v="2"/>
      <x v="2"/>
      <x/>
      <x/>
      <x v="50"/>
      <x v="211"/>
    </i>
    <i r="2">
      <x v="86"/>
      <x v="25"/>
      <x v="95"/>
      <x v="109"/>
      <x v="101"/>
      <x v="104"/>
      <x v="6"/>
      <x v="7"/>
      <x/>
      <x/>
      <x/>
      <x v="113"/>
      <x v="212"/>
    </i>
    <i>
      <x v="16"/>
      <x/>
      <x v="3"/>
      <x v="21"/>
      <x v="28"/>
      <x v="41"/>
      <x v="83"/>
      <x v="69"/>
      <x v="6"/>
      <x v="7"/>
      <x/>
      <x/>
      <x/>
      <x v="98"/>
      <x v="222"/>
    </i>
    <i r="3">
      <x v="23"/>
      <x v="33"/>
      <x v="43"/>
      <x v="36"/>
      <x v="36"/>
      <x v="14"/>
      <x v="2"/>
      <x v="2"/>
      <x/>
      <x/>
      <x v="38"/>
      <x v="219"/>
    </i>
    <i r="2">
      <x v="4"/>
      <x v="17"/>
      <x v="29"/>
      <x v="35"/>
      <x v="52"/>
      <x v="53"/>
      <x/>
      <x v="6"/>
      <x/>
      <x/>
      <x/>
      <x v="61"/>
      <x v="213"/>
    </i>
    <i r="2">
      <x v="5"/>
      <x v="8"/>
      <x v="7"/>
      <x v="12"/>
      <x v="15"/>
      <x v="15"/>
      <x v="1"/>
      <x v="1"/>
      <x v="2"/>
      <x/>
      <x/>
      <x v="11"/>
      <x v="217"/>
    </i>
    <i r="2">
      <x v="16"/>
      <x v="38"/>
      <x v="41"/>
      <x v="56"/>
      <x v="60"/>
      <x v="78"/>
      <x v="2"/>
      <x v="3"/>
      <x/>
      <x/>
      <x/>
      <x v="70"/>
      <x v="214"/>
    </i>
    <i r="2">
      <x v="20"/>
      <x v="12"/>
      <x v="17"/>
      <x v="24"/>
      <x v="17"/>
      <x v="17"/>
      <x v="6"/>
      <x v="1"/>
      <x v="2"/>
      <x/>
      <x/>
      <x v="13"/>
      <x v="218"/>
    </i>
    <i r="2">
      <x v="23"/>
      <x v="31"/>
      <x v="49"/>
      <x v="53"/>
      <x v="108"/>
      <x v="111"/>
      <x v="3"/>
      <x v="3"/>
      <x/>
      <x/>
      <x/>
      <x v="75"/>
      <x v="215"/>
    </i>
    <i r="2">
      <x v="28"/>
      <x v="33"/>
      <x v="98"/>
      <x v="51"/>
      <x v="113"/>
      <x v="116"/>
      <x v="3"/>
      <x v="3"/>
      <x/>
      <x/>
      <x/>
      <x v="122"/>
      <x v="224"/>
    </i>
    <i r="2">
      <x v="29"/>
      <x v="26"/>
      <x v="40"/>
      <x v="49"/>
      <x v="67"/>
      <x v="85"/>
      <x v="4"/>
      <x v="3"/>
      <x/>
      <x/>
      <x/>
      <x v="80"/>
      <x v="216"/>
    </i>
    <i r="2">
      <x v="30"/>
      <x v="13"/>
      <x v="15"/>
      <x v="19"/>
      <x v="47"/>
      <x v="48"/>
      <x/>
      <x v="1"/>
      <x/>
      <x/>
      <x/>
      <x v="56"/>
      <x v="221"/>
    </i>
    <i r="2">
      <x v="55"/>
      <x v="9"/>
      <x v="4"/>
      <x v="7"/>
      <x v="131"/>
      <x v="136"/>
      <x v="1"/>
      <x v="2"/>
      <x/>
      <x/>
      <x/>
      <x v="141"/>
      <x v="281"/>
    </i>
    <i r="2">
      <x v="70"/>
      <x v="34"/>
      <x v="42"/>
      <x v="54"/>
      <x v="44"/>
      <x v="45"/>
      <x v="2"/>
      <x v="2"/>
      <x v="2"/>
      <x/>
      <x/>
      <x v="49"/>
      <x v="220"/>
    </i>
    <i r="2">
      <x v="80"/>
      <x v="24"/>
      <x v="36"/>
      <x v="42"/>
      <x v="55"/>
      <x v="56"/>
      <x v="7"/>
      <x v="7"/>
      <x/>
      <x/>
      <x/>
      <x v="101"/>
      <x v="223"/>
    </i>
    <i r="2">
      <x v="112"/>
      <x v="43"/>
      <x v="119"/>
      <x v="149"/>
      <x v="138"/>
      <x v="144"/>
      <x v="5"/>
      <x/>
      <x/>
      <x/>
      <x/>
      <x v="150"/>
      <x v="286"/>
    </i>
    <i>
      <x v="17"/>
      <x/>
      <x v="58"/>
      <x v="36"/>
      <x v="92"/>
      <x v="106"/>
      <x v="99"/>
      <x v="102"/>
      <x v="5"/>
      <x/>
      <x/>
      <x/>
      <x/>
      <x v="111"/>
      <x v="225"/>
    </i>
    <i>
      <x v="18"/>
      <x/>
      <x v="4"/>
      <x v="19"/>
      <x v="25"/>
      <x v="37"/>
      <x v="35"/>
      <x v="35"/>
      <x v="14"/>
      <x v="2"/>
      <x v="2"/>
      <x/>
      <x/>
      <x v="37"/>
      <x v="229"/>
    </i>
    <i r="2">
      <x v="17"/>
      <x v="32"/>
      <x v="46"/>
      <x v="47"/>
      <x v="77"/>
      <x v="63"/>
      <x v="2"/>
      <x v="3"/>
      <x/>
      <x/>
      <x/>
      <x v="91"/>
      <x v="226"/>
    </i>
    <i r="2">
      <x v="19"/>
      <x v="15"/>
      <x v="20"/>
      <x v="29"/>
      <x v="84"/>
      <x v="70"/>
      <x v="6"/>
      <x v="7"/>
      <x/>
      <x/>
      <x/>
      <x v="99"/>
      <x v="231"/>
    </i>
    <i r="2">
      <x v="24"/>
      <x v="26"/>
      <x v="23"/>
      <x v="32"/>
      <x v="9"/>
      <x v="6"/>
      <x v="3"/>
      <x v="3"/>
      <x/>
      <x/>
      <x/>
      <x v="2"/>
      <x v="227"/>
    </i>
    <i r="2">
      <x v="51"/>
      <x v="29"/>
      <x v="34"/>
      <x v="38"/>
      <x v="43"/>
      <x v="44"/>
      <x v="2"/>
      <x v="2"/>
      <x v="2"/>
      <x/>
      <x/>
      <x v="48"/>
      <x v="230"/>
    </i>
    <i r="2">
      <x v="55"/>
      <x v="9"/>
      <x v="13"/>
      <x v="15"/>
      <x v="28"/>
      <x v="28"/>
      <x v="6"/>
      <x v="1"/>
      <x v="2"/>
      <x/>
      <x/>
      <x v="28"/>
      <x v="228"/>
    </i>
    <i r="2">
      <x v="90"/>
      <x v="16"/>
      <x v="23"/>
      <x v="115"/>
      <x v="112"/>
      <x v="115"/>
      <x v="7"/>
      <x v="7"/>
      <x/>
      <x/>
      <x/>
      <x v="121"/>
      <x v="232"/>
    </i>
    <i>
      <x v="19"/>
      <x/>
      <x v="18"/>
      <x v="29"/>
      <x v="100"/>
      <x v="117"/>
      <x v="115"/>
      <x v="119"/>
      <x v="5"/>
      <x v="9"/>
      <x/>
      <x/>
      <x/>
      <x v="125"/>
      <x v="266"/>
    </i>
    <i>
      <x v="20"/>
      <x/>
      <x v="5"/>
      <x v="7"/>
      <x v="18"/>
      <x v="20"/>
      <x v="75"/>
      <x v="61"/>
      <x/>
      <x v="6"/>
      <x/>
      <x/>
      <x/>
      <x v="89"/>
      <x v="233"/>
    </i>
    <i r="2">
      <x v="6"/>
      <x v="5"/>
      <x v="5"/>
      <x v="9"/>
      <x v="79"/>
      <x v="65"/>
      <x/>
      <x v="1"/>
      <x/>
      <x/>
      <x/>
      <x v="94"/>
      <x v="241"/>
    </i>
    <i r="2">
      <x v="7"/>
      <x v="2"/>
      <x v="109"/>
      <x v="127"/>
      <x v="124"/>
      <x v="128"/>
      <x v="1"/>
      <x v="1"/>
      <x v="2"/>
      <x/>
      <x/>
      <x v="135"/>
      <x v="276"/>
    </i>
    <i r="2">
      <x v="9"/>
      <x v="21"/>
      <x v="24"/>
      <x v="34"/>
      <x v="42"/>
      <x v="43"/>
      <x v="2"/>
      <x v="2"/>
      <x v="2"/>
      <x/>
      <x/>
      <x v="47"/>
      <x v="240"/>
    </i>
    <i r="2">
      <x v="10"/>
      <x v="21"/>
      <x v="22"/>
      <x v="28"/>
      <x v="64"/>
      <x v="82"/>
      <x v="3"/>
      <x v="3"/>
      <x/>
      <x/>
      <x/>
      <x v="76"/>
      <x v="236"/>
    </i>
    <i r="2">
      <x v="11"/>
      <x v="3"/>
      <x v="1"/>
      <x v="3"/>
      <x v="56"/>
      <x v="75"/>
      <x v="1"/>
      <x v="2"/>
      <x/>
      <x/>
      <x/>
      <x v="66"/>
      <x v="234"/>
    </i>
    <i r="2">
      <x v="18"/>
      <x v="29"/>
      <x v="34"/>
      <x v="134"/>
      <x v="61"/>
      <x v="79"/>
      <x v="2"/>
      <x v="3"/>
      <x/>
      <x/>
      <x/>
      <x v="71"/>
      <x v="235"/>
    </i>
    <i r="2">
      <x v="21"/>
      <x v="6"/>
      <x v="8"/>
      <x v="8"/>
      <x v="27"/>
      <x v="27"/>
      <x v="6"/>
      <x v="1"/>
      <x v="2"/>
      <x/>
      <x/>
      <x v="27"/>
      <x v="238"/>
    </i>
    <i r="2">
      <x v="30"/>
      <x v="13"/>
      <x v="17"/>
      <x v="22"/>
      <x v="68"/>
      <x v="86"/>
      <x v="4"/>
      <x v="3"/>
      <x/>
      <x/>
      <x/>
      <x v="81"/>
      <x v="237"/>
    </i>
    <i r="2">
      <x v="62"/>
      <x v="8"/>
      <x v="6"/>
      <x v="9"/>
      <x v="111"/>
      <x v="114"/>
      <x v="6"/>
      <x v="7"/>
      <x/>
      <x/>
      <x/>
      <x v="120"/>
      <x v="243"/>
    </i>
    <i r="2">
      <x v="63"/>
      <x v="14"/>
      <x v="18"/>
      <x v="29"/>
      <x v="89"/>
      <x v="91"/>
      <x v="14"/>
      <x v="2"/>
      <x v="2"/>
      <x/>
      <x/>
      <x v="36"/>
      <x v="239"/>
    </i>
    <i r="2">
      <x v="81"/>
      <x v="12"/>
      <x v="9"/>
      <x v="16"/>
      <x v="86"/>
      <x v="72"/>
      <x v="7"/>
      <x v="7"/>
      <x/>
      <x/>
      <x/>
      <x v="102"/>
      <x v="242"/>
    </i>
    <i>
      <x v="21"/>
      <x/>
      <x v="6"/>
      <x v="4"/>
      <x v="6"/>
      <x v="11"/>
      <x v="76"/>
      <x v="62"/>
      <x/>
      <x v="6"/>
      <x/>
      <x/>
      <x/>
      <x v="90"/>
      <x v="244"/>
    </i>
    <i r="2">
      <x v="9"/>
      <x v="22"/>
      <x v="25"/>
      <x v="31"/>
      <x v="62"/>
      <x v="80"/>
      <x v="2"/>
      <x v="3"/>
      <x/>
      <x/>
      <x/>
      <x v="72"/>
      <x v="245"/>
    </i>
    <i r="2">
      <x v="19"/>
      <x v="16"/>
      <x v="16"/>
      <x v="23"/>
      <x v="41"/>
      <x v="42"/>
      <x v="2"/>
      <x v="2"/>
      <x v="2"/>
      <x/>
      <x/>
      <x v="46"/>
      <x v="249"/>
    </i>
    <i r="2">
      <x v="25"/>
      <x v="9"/>
      <x v="7"/>
      <x v="114"/>
      <x v="107"/>
      <x v="110"/>
      <x v="7"/>
      <x v="7"/>
      <x/>
      <x/>
      <x/>
      <x v="119"/>
      <x v="250"/>
    </i>
    <i r="2">
      <x v="26"/>
      <x v="1"/>
      <x/>
      <x v="1"/>
      <x v="78"/>
      <x v="64"/>
      <x v="6"/>
      <x v="1"/>
      <x v="2"/>
      <x/>
      <x/>
      <x v="93"/>
      <x v="247"/>
    </i>
    <i r="2">
      <x v="31"/>
      <x v="10"/>
      <x v="11"/>
      <x v="14"/>
      <x v="69"/>
      <x v="58"/>
      <x v="4"/>
      <x v="3"/>
      <x/>
      <x/>
      <x/>
      <x v="82"/>
      <x v="246"/>
    </i>
    <i r="2">
      <x v="62"/>
      <x v="10"/>
      <x v="10"/>
      <x v="17"/>
      <x v="34"/>
      <x v="34"/>
      <x v="14"/>
      <x v="2"/>
      <x v="2"/>
      <x/>
      <x/>
      <x v="35"/>
      <x v="248"/>
    </i>
    <i>
      <x v="22"/>
      <x v="1"/>
      <x v="92"/>
      <x v="81"/>
      <x v="99"/>
      <x v="110"/>
      <x v="102"/>
      <x v="105"/>
      <x v="10"/>
      <x v="8"/>
      <x/>
      <x/>
      <x/>
      <x v="114"/>
      <x v="251"/>
    </i>
    <i>
      <x v="23"/>
      <x/>
      <x v="49"/>
      <x v="16"/>
      <x v="16"/>
      <x v="118"/>
      <x v="116"/>
      <x v="120"/>
      <x v="5"/>
      <x v="3"/>
      <x/>
      <x/>
      <x/>
      <x v="126"/>
      <x v="267"/>
    </i>
    <i>
      <x v="24"/>
      <x/>
      <x v="5"/>
      <x v="6"/>
      <x v="2"/>
      <x v="6"/>
      <x v="87"/>
      <x v="73"/>
      <x v="7"/>
      <x v="7"/>
      <x/>
      <x/>
      <x/>
      <x v="103"/>
      <x v="255"/>
    </i>
    <i r="2">
      <x v="7"/>
      <x v="2"/>
      <x v="3"/>
      <x v="5"/>
      <x v="53"/>
      <x v="54"/>
      <x/>
      <x v="6"/>
      <x/>
      <x/>
      <x/>
      <x v="62"/>
      <x v="252"/>
    </i>
    <i r="2">
      <x v="19"/>
      <x v="17"/>
      <x v="21"/>
      <x v="27"/>
      <x v="10"/>
      <x v="8"/>
      <x v="2"/>
      <x v="3"/>
      <x/>
      <x/>
      <x/>
      <x v="4"/>
      <x v="253"/>
    </i>
    <i r="2">
      <x v="25"/>
      <x v="11"/>
      <x v="10"/>
      <x v="135"/>
      <x v="40"/>
      <x v="41"/>
      <x v="2"/>
      <x v="2"/>
      <x v="2"/>
      <x/>
      <x/>
      <x v="45"/>
      <x v="254"/>
    </i>
    <i r="2">
      <x v="110"/>
      <x v="3"/>
      <x v="117"/>
      <x v="146"/>
      <x v="135"/>
      <x v="141"/>
      <x v="6"/>
      <x v="7"/>
      <x v="3"/>
      <x/>
      <x/>
      <x v="147"/>
      <x v="283"/>
    </i>
    <i>
      <x v="25"/>
      <x/>
      <x v="5"/>
      <x v="7"/>
      <x v="6"/>
      <x v="10"/>
      <x v="70"/>
      <x v="87"/>
      <x v="4"/>
      <x v="3"/>
      <x/>
      <x/>
      <x/>
      <x v="83"/>
      <x v="257"/>
    </i>
    <i r="2">
      <x v="25"/>
      <x v="12"/>
      <x v="14"/>
      <x v="21"/>
      <x v="65"/>
      <x v="83"/>
      <x v="3"/>
      <x v="3"/>
      <x/>
      <x/>
      <x/>
      <x v="77"/>
      <x v="256"/>
    </i>
    <i>
      <x v="26"/>
      <x/>
      <x v="20"/>
      <x v="13"/>
      <x v="12"/>
      <x v="18"/>
      <x v="11"/>
      <x v="9"/>
      <x v="2"/>
      <x v="3"/>
      <x/>
      <x/>
      <x/>
      <x v="5"/>
      <x v="258"/>
    </i>
    <i>
      <x v="27"/>
      <x/>
      <x v="5"/>
      <x v="8"/>
      <x v="10"/>
      <x v="12"/>
      <x v="105"/>
      <x v="108"/>
      <x v="2"/>
      <x v="2"/>
      <x v="2"/>
      <x/>
      <x/>
      <x v="117"/>
      <x v="260"/>
    </i>
    <i r="2">
      <x v="11"/>
      <x v="3"/>
      <x v="4"/>
      <x v="7"/>
      <x v="96"/>
      <x v="98"/>
      <x v="4"/>
      <x v="3"/>
      <x/>
      <x/>
      <x/>
      <x v="107"/>
      <x v="259"/>
    </i>
    <i>
      <x v="28"/>
      <x/>
      <x v="91"/>
      <x v="6"/>
      <x v="8"/>
      <x v="114"/>
      <x v="114"/>
      <x v="118"/>
      <x v="2"/>
      <x v="4"/>
      <x/>
      <x/>
      <x/>
      <x v="124"/>
      <x v="261"/>
    </i>
    <i>
      <x v="29"/>
      <x/>
      <x v="32"/>
      <x/>
      <x v="1"/>
      <x v="4"/>
      <x v="8"/>
      <x v="5"/>
      <x v="4"/>
      <x v="4"/>
      <x/>
      <x/>
      <x/>
      <x v="1"/>
      <x v="262"/>
    </i>
    <i>
      <x v="30"/>
      <x/>
      <x v="21"/>
      <x v="6"/>
      <x/>
      <x v="2"/>
      <x v="63"/>
      <x v="81"/>
      <x v="2"/>
      <x v="4"/>
      <x/>
      <x/>
      <x/>
      <x v="73"/>
      <x v="263"/>
    </i>
    <i>
      <x v="31"/>
      <x/>
      <x v="6"/>
      <x v="4"/>
      <x v="96"/>
      <x v="112"/>
      <x v="104"/>
      <x v="107"/>
      <x v="2"/>
      <x v="2"/>
      <x v="2"/>
      <x/>
      <x/>
      <x v="116"/>
      <x v="265"/>
    </i>
    <i r="2">
      <x v="26"/>
      <x v="1"/>
      <x/>
      <x/>
      <x v="66"/>
      <x v="84"/>
      <x v="3"/>
      <x v="4"/>
      <x/>
      <x/>
      <x/>
      <x v="78"/>
      <x v="264"/>
    </i>
  </rowItems>
  <colItems count="1">
    <i/>
  </colItems>
  <formats count="63">
    <format dxfId="222">
      <pivotArea type="all" dataOnly="0" outline="0" fieldPosition="0"/>
    </format>
    <format dxfId="221">
      <pivotArea type="all" dataOnly="0" outline="0" fieldPosition="0"/>
    </format>
    <format dxfId="220">
      <pivotArea field="29" type="button" dataOnly="0" labelOnly="1" outline="0" axis="axisRow" fieldPosition="9"/>
    </format>
    <format dxfId="219">
      <pivotArea field="29" type="button" dataOnly="0" labelOnly="1" outline="0" axis="axisRow" fieldPosition="9"/>
    </format>
    <format dxfId="218">
      <pivotArea field="29" type="button" dataOnly="0" labelOnly="1" outline="0" axis="axisRow" fieldPosition="9"/>
    </format>
    <format dxfId="217">
      <pivotArea field="29" type="button" dataOnly="0" labelOnly="1" outline="0" axis="axisRow" fieldPosition="9"/>
    </format>
    <format dxfId="216">
      <pivotArea field="11" type="button" dataOnly="0" labelOnly="1" outline="0"/>
    </format>
    <format dxfId="215">
      <pivotArea field="11" type="button" dataOnly="0" labelOnly="1" outline="0"/>
    </format>
    <format dxfId="214">
      <pivotArea field="11" type="button" dataOnly="0" labelOnly="1" outline="0"/>
    </format>
    <format dxfId="213">
      <pivotArea field="11" type="button" dataOnly="0" labelOnly="1" outline="0"/>
    </format>
    <format dxfId="212">
      <pivotArea field="11" type="button" dataOnly="0" labelOnly="1" outline="0"/>
    </format>
    <format dxfId="211">
      <pivotArea field="11" type="button" dataOnly="0" labelOnly="1" outline="0"/>
    </format>
    <format dxfId="210">
      <pivotArea field="11" type="button" dataOnly="0" labelOnly="1" outline="0"/>
    </format>
    <format dxfId="209">
      <pivotArea field="16" type="button" dataOnly="0" labelOnly="1" outline="0" axis="axisRow" fieldPosition="0"/>
    </format>
    <format dxfId="208">
      <pivotArea field="16" type="button" dataOnly="0" labelOnly="1" outline="0" axis="axisRow" fieldPosition="0"/>
    </format>
    <format dxfId="207">
      <pivotArea field="16" type="button" dataOnly="0" labelOnly="1" outline="0" axis="axisRow" fieldPosition="0"/>
    </format>
    <format dxfId="206">
      <pivotArea field="16" type="button" dataOnly="0" labelOnly="1" outline="0" axis="axisRow" fieldPosition="0"/>
    </format>
    <format dxfId="205">
      <pivotArea type="all" dataOnly="0" outline="0" fieldPosition="0"/>
    </format>
    <format dxfId="204">
      <pivotArea field="16" type="button" dataOnly="0" labelOnly="1" outline="0" axis="axisRow" fieldPosition="0"/>
    </format>
    <format dxfId="203">
      <pivotArea field="19" type="button" dataOnly="0" labelOnly="1" outline="0" axis="axisRow" fieldPosition="1"/>
    </format>
    <format dxfId="202">
      <pivotArea field="40" type="button" dataOnly="0" labelOnly="1" outline="0"/>
    </format>
    <format dxfId="201">
      <pivotArea field="42" type="button" dataOnly="0" labelOnly="1" outline="0"/>
    </format>
    <format dxfId="200">
      <pivotArea field="43" type="button" dataOnly="0" labelOnly="1" outline="0"/>
    </format>
    <format dxfId="199">
      <pivotArea field="31" type="button" dataOnly="0" labelOnly="1" outline="0" axis="axisRow" fieldPosition="8"/>
    </format>
    <format dxfId="198">
      <pivotArea field="29" type="button" dataOnly="0" labelOnly="1" outline="0" axis="axisRow" fieldPosition="9"/>
    </format>
    <format dxfId="197">
      <pivotArea field="14" type="button" dataOnly="0" labelOnly="1" outline="0" axis="axisRow" fieldPosition="13"/>
    </format>
    <format dxfId="196">
      <pivotArea field="36" type="button" dataOnly="0" labelOnly="1" outline="0" axis="axisRow" fieldPosition="10"/>
    </format>
    <format dxfId="195">
      <pivotArea field="19" type="button" dataOnly="0" labelOnly="1" outline="0" axis="axisRow" fieldPosition="1"/>
    </format>
    <format dxfId="194">
      <pivotArea field="43" type="button" dataOnly="0" labelOnly="1" outline="0"/>
    </format>
    <format dxfId="193">
      <pivotArea field="29" type="button" dataOnly="0" labelOnly="1" outline="0" axis="axisRow" fieldPosition="9"/>
    </format>
    <format dxfId="192">
      <pivotArea field="36" type="button" dataOnly="0" labelOnly="1" outline="0" axis="axisRow" fieldPosition="10"/>
    </format>
    <format dxfId="191">
      <pivotArea field="20" type="button" dataOnly="0" labelOnly="1" outline="0" axis="axisRow" fieldPosition="6"/>
    </format>
    <format dxfId="190">
      <pivotArea field="21" type="button" dataOnly="0" labelOnly="1" outline="0" axis="axisRow" fieldPosition="7"/>
    </format>
    <format dxfId="189">
      <pivotArea field="14" type="button" dataOnly="0" labelOnly="1" outline="0" axis="axisRow" fieldPosition="13"/>
    </format>
    <format dxfId="188">
      <pivotArea field="36" type="button" dataOnly="0" labelOnly="1" outline="0" axis="axisRow" fieldPosition="10"/>
    </format>
    <format dxfId="187">
      <pivotArea field="6" type="button" dataOnly="0" labelOnly="1" outline="0"/>
    </format>
    <format dxfId="186">
      <pivotArea field="6" type="button" dataOnly="0" labelOnly="1" outline="0"/>
    </format>
    <format dxfId="185">
      <pivotArea field="14" type="button" dataOnly="0" labelOnly="1" outline="0" axis="axisRow" fieldPosition="13"/>
    </format>
    <format dxfId="184">
      <pivotArea dataOnly="0" labelOnly="1" outline="0" fieldPosition="0">
        <references count="1">
          <reference field="14" count="0"/>
        </references>
      </pivotArea>
    </format>
    <format dxfId="183">
      <pivotArea field="5" type="button" dataOnly="0" labelOnly="1" outline="0" axis="axisRow" fieldPosition="12"/>
    </format>
    <format dxfId="182">
      <pivotArea field="13" type="button" dataOnly="0" labelOnly="1" outline="0" axis="axisRow" fieldPosition="11"/>
    </format>
    <format dxfId="181">
      <pivotArea field="13" type="button" dataOnly="0" labelOnly="1" outline="0" axis="axisRow" fieldPosition="11"/>
    </format>
    <format dxfId="180">
      <pivotArea field="32" type="button" dataOnly="0" labelOnly="1" outline="0"/>
    </format>
    <format dxfId="179">
      <pivotArea field="24" type="button" dataOnly="0" labelOnly="1" outline="0" axis="axisRow" fieldPosition="3"/>
    </format>
    <format dxfId="178">
      <pivotArea field="23" type="button" dataOnly="0" labelOnly="1" outline="0" axis="axisRow" fieldPosition="2"/>
    </format>
    <format dxfId="177">
      <pivotArea field="25" type="button" dataOnly="0" labelOnly="1" outline="0" axis="axisRow" fieldPosition="4"/>
    </format>
    <format dxfId="176">
      <pivotArea field="26" type="button" dataOnly="0" labelOnly="1" outline="0" axis="axisRow" fieldPosition="5"/>
    </format>
    <format dxfId="175">
      <pivotArea field="24" type="button" dataOnly="0" labelOnly="1" outline="0" axis="axisRow" fieldPosition="3"/>
    </format>
    <format dxfId="174">
      <pivotArea field="23" type="button" dataOnly="0" labelOnly="1" outline="0" axis="axisRow" fieldPosition="2"/>
    </format>
    <format dxfId="173">
      <pivotArea field="25" type="button" dataOnly="0" labelOnly="1" outline="0" axis="axisRow" fieldPosition="4"/>
    </format>
    <format dxfId="172">
      <pivotArea field="20" type="button" dataOnly="0" labelOnly="1" outline="0" axis="axisRow" fieldPosition="6"/>
    </format>
    <format dxfId="171">
      <pivotArea field="19" type="button" dataOnly="0" labelOnly="1" outline="0" axis="axisRow" fieldPosition="1"/>
    </format>
    <format dxfId="170">
      <pivotArea field="16" type="button" dataOnly="0" labelOnly="1" outline="0" axis="axisRow" fieldPosition="0"/>
    </format>
    <format dxfId="169">
      <pivotArea field="16" type="button" dataOnly="0" labelOnly="1" outline="0" axis="axisRow" fieldPosition="0"/>
    </format>
    <format dxfId="168">
      <pivotArea field="36" type="button" dataOnly="0" labelOnly="1" outline="0" axis="axisRow" fieldPosition="10"/>
    </format>
    <format dxfId="167">
      <pivotArea field="13" type="button" dataOnly="0" labelOnly="1" outline="0" axis="axisRow" fieldPosition="11"/>
    </format>
    <format dxfId="166">
      <pivotArea field="16" type="button" dataOnly="0" labelOnly="1" outline="0" axis="axisRow" fieldPosition="0"/>
    </format>
    <format dxfId="165">
      <pivotArea dataOnly="0" labelOnly="1" outline="0" fieldPosition="0">
        <references count="1">
          <reference field="16" count="0"/>
        </references>
      </pivotArea>
    </format>
    <format dxfId="164">
      <pivotArea field="19" type="button" dataOnly="0" labelOnly="1" outline="0" axis="axisRow" fieldPosition="1"/>
    </format>
    <format dxfId="163">
      <pivotArea dataOnly="0" labelOnly="1" outline="0" fieldPosition="0">
        <references count="2">
          <reference field="16" count="1" selected="0">
            <x v="2"/>
          </reference>
          <reference field="19" count="1">
            <x v="0"/>
          </reference>
        </references>
      </pivotArea>
    </format>
    <format dxfId="162">
      <pivotArea dataOnly="0" labelOnly="1" outline="0" fieldPosition="0">
        <references count="2">
          <reference field="16" count="1" selected="0">
            <x v="22"/>
          </reference>
          <reference field="19" count="1">
            <x v="1"/>
          </reference>
        </references>
      </pivotArea>
    </format>
    <format dxfId="161">
      <pivotArea dataOnly="0" labelOnly="1" outline="0" fieldPosition="0">
        <references count="2">
          <reference field="16" count="1" selected="0">
            <x v="24"/>
          </reference>
          <reference field="19" count="1">
            <x v="0"/>
          </reference>
        </references>
      </pivotArea>
    </format>
    <format dxfId="160">
      <pivotArea field="26" type="button" dataOnly="0" labelOnly="1" outline="0" axis="axisRow" fieldPosition="5"/>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ピボットテーブル1" cacheId="0" applyNumberFormats="0" applyBorderFormats="0" applyFontFormats="0" applyPatternFormats="0" applyAlignmentFormats="0" applyWidthHeightFormats="1" dataCaption="値" updatedVersion="8" minRefreshableVersion="3" useAutoFormatting="1" itemPrintTitles="1" createdVersion="4" indent="0" compact="0" compactData="0" multipleFieldFilters="0">
  <location ref="AN7:AP25" firstHeaderRow="1" firstDataRow="1" firstDataCol="2"/>
  <pivotFields count="49">
    <pivotField compact="0" outline="0" showAll="0"/>
    <pivotField compact="0" outline="0" showAll="0"/>
    <pivotField compact="0" outline="0" showAl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defaultSubtotal="0"/>
    <pivotField compact="0" outline="0" showAll="0"/>
    <pivotField axis="axisRow" compact="0" outline="0" showAll="0" defaultSubtotal="0">
      <items count="15">
        <item x="6"/>
        <item x="0"/>
        <item x="2"/>
        <item x="4"/>
        <item x="3"/>
        <item x="10"/>
        <item x="9"/>
        <item x="7"/>
        <item x="1"/>
        <item x="8"/>
        <item x="11"/>
        <item x="12"/>
        <item x="13"/>
        <item x="14"/>
        <item x="5"/>
      </items>
    </pivotField>
    <pivotField axis="axisRow" compact="0" outline="0" showAll="0" defaultSubtotal="0">
      <items count="8">
        <item x="0"/>
        <item x="1"/>
        <item x="6"/>
        <item x="2"/>
        <item x="3"/>
        <item x="4"/>
        <item x="5"/>
        <item x="7"/>
      </items>
    </pivotField>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pivotField compact="0" outline="0" showAll="0" defaultSubtotal="0"/>
    <pivotField compact="0" outline="0" showAll="0" defaultSubtotal="0"/>
    <pivotField compact="0" outline="0" showAll="0" defaultSubtotal="0"/>
  </pivotFields>
  <rowFields count="2">
    <field x="32"/>
    <field x="31"/>
  </rowFields>
  <rowItems count="18">
    <i>
      <x/>
      <x/>
    </i>
    <i r="1">
      <x v="1"/>
    </i>
    <i>
      <x v="1"/>
      <x v="8"/>
    </i>
    <i r="1">
      <x v="9"/>
    </i>
    <i>
      <x v="2"/>
      <x v="10"/>
    </i>
    <i>
      <x v="3"/>
      <x v="2"/>
    </i>
    <i>
      <x v="4"/>
      <x v="3"/>
    </i>
    <i r="1">
      <x v="4"/>
    </i>
    <i r="1">
      <x v="13"/>
    </i>
    <i>
      <x v="5"/>
      <x v="7"/>
    </i>
    <i r="1">
      <x v="14"/>
    </i>
    <i>
      <x v="6"/>
      <x v="3"/>
    </i>
    <i r="1">
      <x v="5"/>
    </i>
    <i r="1">
      <x v="6"/>
    </i>
    <i r="1">
      <x v="12"/>
    </i>
    <i r="1">
      <x v="14"/>
    </i>
    <i>
      <x v="7"/>
      <x v="11"/>
    </i>
    <i t="grand">
      <x/>
    </i>
  </rowItems>
  <colItems count="1">
    <i/>
  </colItems>
  <dataFields count="1">
    <dataField name="データの個数 / Maker" fld="6" subtotal="count" baseField="0" baseItem="0"/>
  </dataFields>
  <formats count="45">
    <format dxfId="49">
      <pivotArea type="all" dataOnly="0" outline="0" fieldPosition="0"/>
    </format>
    <format dxfId="48">
      <pivotArea outline="0" collapsedLevelsAreSubtotals="1" fieldPosition="0"/>
    </format>
    <format dxfId="47">
      <pivotArea field="32" type="button" dataOnly="0" labelOnly="1" outline="0" axis="axisRow" fieldPosition="0"/>
    </format>
    <format dxfId="46">
      <pivotArea field="31" type="button" dataOnly="0" labelOnly="1" outline="0" axis="axisRow" fieldPosition="1"/>
    </format>
    <format dxfId="45">
      <pivotArea dataOnly="0" labelOnly="1" outline="0" fieldPosition="0">
        <references count="1">
          <reference field="32" count="0"/>
        </references>
      </pivotArea>
    </format>
    <format dxfId="44">
      <pivotArea dataOnly="0" labelOnly="1" grandRow="1" outline="0" fieldPosition="0"/>
    </format>
    <format dxfId="43">
      <pivotArea dataOnly="0" labelOnly="1" outline="0" fieldPosition="0">
        <references count="2">
          <reference field="31" count="2">
            <x v="0"/>
            <x v="1"/>
          </reference>
          <reference field="32" count="1" selected="0">
            <x v="0"/>
          </reference>
        </references>
      </pivotArea>
    </format>
    <format dxfId="42">
      <pivotArea dataOnly="0" labelOnly="1" outline="0" fieldPosition="0">
        <references count="2">
          <reference field="31" count="2">
            <x v="8"/>
            <x v="9"/>
          </reference>
          <reference field="32" count="1" selected="0">
            <x v="1"/>
          </reference>
        </references>
      </pivotArea>
    </format>
    <format dxfId="41">
      <pivotArea dataOnly="0" labelOnly="1" outline="0" fieldPosition="0">
        <references count="2">
          <reference field="31" count="1">
            <x v="10"/>
          </reference>
          <reference field="32" count="1" selected="0">
            <x v="2"/>
          </reference>
        </references>
      </pivotArea>
    </format>
    <format dxfId="40">
      <pivotArea dataOnly="0" labelOnly="1" outline="0" fieldPosition="0">
        <references count="2">
          <reference field="31" count="1">
            <x v="2"/>
          </reference>
          <reference field="32" count="1" selected="0">
            <x v="3"/>
          </reference>
        </references>
      </pivotArea>
    </format>
    <format dxfId="39">
      <pivotArea dataOnly="0" labelOnly="1" outline="0" fieldPosition="0">
        <references count="2">
          <reference field="31" count="2">
            <x v="3"/>
            <x v="4"/>
          </reference>
          <reference field="32" count="1" selected="0">
            <x v="4"/>
          </reference>
        </references>
      </pivotArea>
    </format>
    <format dxfId="38">
      <pivotArea dataOnly="0" labelOnly="1" outline="0" fieldPosition="0">
        <references count="2">
          <reference field="31" count="1">
            <x v="7"/>
          </reference>
          <reference field="32" count="1" selected="0">
            <x v="5"/>
          </reference>
        </references>
      </pivotArea>
    </format>
    <format dxfId="37">
      <pivotArea dataOnly="0" labelOnly="1" outline="0" fieldPosition="0">
        <references count="2">
          <reference field="31" count="2">
            <x v="5"/>
            <x v="6"/>
          </reference>
          <reference field="32" count="1" selected="0">
            <x v="6"/>
          </reference>
        </references>
      </pivotArea>
    </format>
    <format dxfId="36">
      <pivotArea dataOnly="0" labelOnly="1" outline="0" fieldPosition="0">
        <references count="2">
          <reference field="31" count="1">
            <x v="11"/>
          </reference>
          <reference field="32" count="1" selected="0">
            <x v="7"/>
          </reference>
        </references>
      </pivotArea>
    </format>
    <format dxfId="35">
      <pivotArea dataOnly="0" labelOnly="1" outline="0" axis="axisValues" fieldPosition="0"/>
    </format>
    <format dxfId="34">
      <pivotArea type="all" dataOnly="0" outline="0" fieldPosition="0"/>
    </format>
    <format dxfId="33">
      <pivotArea outline="0" collapsedLevelsAreSubtotals="1" fieldPosition="0"/>
    </format>
    <format dxfId="32">
      <pivotArea field="32" type="button" dataOnly="0" labelOnly="1" outline="0" axis="axisRow" fieldPosition="0"/>
    </format>
    <format dxfId="31">
      <pivotArea field="31" type="button" dataOnly="0" labelOnly="1" outline="0" axis="axisRow" fieldPosition="1"/>
    </format>
    <format dxfId="30">
      <pivotArea dataOnly="0" labelOnly="1" outline="0" fieldPosition="0">
        <references count="1">
          <reference field="32" count="0"/>
        </references>
      </pivotArea>
    </format>
    <format dxfId="29">
      <pivotArea dataOnly="0" labelOnly="1" grandRow="1" outline="0" fieldPosition="0"/>
    </format>
    <format dxfId="28">
      <pivotArea dataOnly="0" labelOnly="1" outline="0" fieldPosition="0">
        <references count="2">
          <reference field="31" count="2">
            <x v="0"/>
            <x v="1"/>
          </reference>
          <reference field="32" count="1" selected="0">
            <x v="0"/>
          </reference>
        </references>
      </pivotArea>
    </format>
    <format dxfId="27">
      <pivotArea dataOnly="0" labelOnly="1" outline="0" fieldPosition="0">
        <references count="2">
          <reference field="31" count="2">
            <x v="8"/>
            <x v="9"/>
          </reference>
          <reference field="32" count="1" selected="0">
            <x v="1"/>
          </reference>
        </references>
      </pivotArea>
    </format>
    <format dxfId="26">
      <pivotArea dataOnly="0" labelOnly="1" outline="0" fieldPosition="0">
        <references count="2">
          <reference field="31" count="1">
            <x v="10"/>
          </reference>
          <reference field="32" count="1" selected="0">
            <x v="2"/>
          </reference>
        </references>
      </pivotArea>
    </format>
    <format dxfId="25">
      <pivotArea dataOnly="0" labelOnly="1" outline="0" fieldPosition="0">
        <references count="2">
          <reference field="31" count="1">
            <x v="2"/>
          </reference>
          <reference field="32" count="1" selected="0">
            <x v="3"/>
          </reference>
        </references>
      </pivotArea>
    </format>
    <format dxfId="24">
      <pivotArea dataOnly="0" labelOnly="1" outline="0" fieldPosition="0">
        <references count="2">
          <reference field="31" count="2">
            <x v="3"/>
            <x v="4"/>
          </reference>
          <reference field="32" count="1" selected="0">
            <x v="4"/>
          </reference>
        </references>
      </pivotArea>
    </format>
    <format dxfId="23">
      <pivotArea dataOnly="0" labelOnly="1" outline="0" fieldPosition="0">
        <references count="2">
          <reference field="31" count="1">
            <x v="7"/>
          </reference>
          <reference field="32" count="1" selected="0">
            <x v="5"/>
          </reference>
        </references>
      </pivotArea>
    </format>
    <format dxfId="22">
      <pivotArea dataOnly="0" labelOnly="1" outline="0" fieldPosition="0">
        <references count="2">
          <reference field="31" count="2">
            <x v="5"/>
            <x v="6"/>
          </reference>
          <reference field="32" count="1" selected="0">
            <x v="6"/>
          </reference>
        </references>
      </pivotArea>
    </format>
    <format dxfId="21">
      <pivotArea dataOnly="0" labelOnly="1" outline="0" fieldPosition="0">
        <references count="2">
          <reference field="31" count="1">
            <x v="11"/>
          </reference>
          <reference field="32" count="1" selected="0">
            <x v="7"/>
          </reference>
        </references>
      </pivotArea>
    </format>
    <format dxfId="20">
      <pivotArea dataOnly="0" labelOnly="1" outline="0" axis="axisValues" fieldPosition="0"/>
    </format>
    <format dxfId="19">
      <pivotArea type="all" dataOnly="0" outline="0" fieldPosition="0"/>
    </format>
    <format dxfId="18">
      <pivotArea outline="0" collapsedLevelsAreSubtotals="1" fieldPosition="0"/>
    </format>
    <format dxfId="17">
      <pivotArea field="32" type="button" dataOnly="0" labelOnly="1" outline="0" axis="axisRow" fieldPosition="0"/>
    </format>
    <format dxfId="16">
      <pivotArea field="31" type="button" dataOnly="0" labelOnly="1" outline="0" axis="axisRow" fieldPosition="1"/>
    </format>
    <format dxfId="15">
      <pivotArea dataOnly="0" labelOnly="1" outline="0" fieldPosition="0">
        <references count="1">
          <reference field="32" count="0"/>
        </references>
      </pivotArea>
    </format>
    <format dxfId="14">
      <pivotArea dataOnly="0" labelOnly="1" grandRow="1" outline="0" fieldPosition="0"/>
    </format>
    <format dxfId="13">
      <pivotArea dataOnly="0" labelOnly="1" outline="0" fieldPosition="0">
        <references count="2">
          <reference field="31" count="2">
            <x v="0"/>
            <x v="1"/>
          </reference>
          <reference field="32" count="1" selected="0">
            <x v="0"/>
          </reference>
        </references>
      </pivotArea>
    </format>
    <format dxfId="12">
      <pivotArea dataOnly="0" labelOnly="1" outline="0" fieldPosition="0">
        <references count="2">
          <reference field="31" count="2">
            <x v="8"/>
            <x v="9"/>
          </reference>
          <reference field="32" count="1" selected="0">
            <x v="1"/>
          </reference>
        </references>
      </pivotArea>
    </format>
    <format dxfId="11">
      <pivotArea dataOnly="0" labelOnly="1" outline="0" fieldPosition="0">
        <references count="2">
          <reference field="31" count="1">
            <x v="10"/>
          </reference>
          <reference field="32" count="1" selected="0">
            <x v="2"/>
          </reference>
        </references>
      </pivotArea>
    </format>
    <format dxfId="10">
      <pivotArea dataOnly="0" labelOnly="1" outline="0" fieldPosition="0">
        <references count="2">
          <reference field="31" count="1">
            <x v="2"/>
          </reference>
          <reference field="32" count="1" selected="0">
            <x v="3"/>
          </reference>
        </references>
      </pivotArea>
    </format>
    <format dxfId="9">
      <pivotArea dataOnly="0" labelOnly="1" outline="0" fieldPosition="0">
        <references count="2">
          <reference field="31" count="2">
            <x v="3"/>
            <x v="4"/>
          </reference>
          <reference field="32" count="1" selected="0">
            <x v="4"/>
          </reference>
        </references>
      </pivotArea>
    </format>
    <format dxfId="8">
      <pivotArea dataOnly="0" labelOnly="1" outline="0" fieldPosition="0">
        <references count="2">
          <reference field="31" count="1">
            <x v="7"/>
          </reference>
          <reference field="32" count="1" selected="0">
            <x v="5"/>
          </reference>
        </references>
      </pivotArea>
    </format>
    <format dxfId="7">
      <pivotArea dataOnly="0" labelOnly="1" outline="0" fieldPosition="0">
        <references count="2">
          <reference field="31" count="2">
            <x v="5"/>
            <x v="6"/>
          </reference>
          <reference field="32" count="1" selected="0">
            <x v="6"/>
          </reference>
        </references>
      </pivotArea>
    </format>
    <format dxfId="6">
      <pivotArea dataOnly="0" labelOnly="1" outline="0" fieldPosition="0">
        <references count="2">
          <reference field="31" count="1">
            <x v="11"/>
          </reference>
          <reference field="32" count="1" selected="0">
            <x v="7"/>
          </reference>
        </references>
      </pivotArea>
    </format>
    <format dxfId="5">
      <pivotArea dataOnly="0" labelOnly="1" outline="0" axis="axisValues"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 xmlns:xxpvi="http://schemas.microsoft.com/office/spreadsheetml/2022/pivotVersionInfo" uri="{9F748A41-CAEA-4470-BF7A-CE61E8FFA7F9}">
      <xxpvi:pivotVersionInfo>
        <xxpvi:lastUpdateFeature>RichData</xxpvi:lastUpdateFeature>
      </xxpvi:pivotVersionInfo>
    </ext>
  </extLst>
</pivotTableDefinition>
</file>

<file path=xl/richData/_rels/rdRichValueWebImage.xml.rels><?xml version="1.0" encoding="UTF-8" standalone="yes"?>
<Relationships xmlns="http://schemas.openxmlformats.org/package/2006/relationships"><Relationship Id="rId8" Type="http://schemas.openxmlformats.org/officeDocument/2006/relationships/image" Target="../media/image4.gif"/><Relationship Id="rId13" Type="http://schemas.openxmlformats.org/officeDocument/2006/relationships/hyperlink" Target="https://industrial.panasonic.com/content/data/CC/pictures/lineup-H.gif" TargetMode="External"/><Relationship Id="rId3" Type="http://schemas.openxmlformats.org/officeDocument/2006/relationships/hyperlink" Target="https://industrial.panasonic.com/content/data/CC/pictures/lineup-LL.gif" TargetMode="External"/><Relationship Id="rId7" Type="http://schemas.openxmlformats.org/officeDocument/2006/relationships/hyperlink" Target="https://industrial.panasonic.com/content/data/CC/pictures/lineup-Large%20current.gif" TargetMode="External"/><Relationship Id="rId12" Type="http://schemas.openxmlformats.org/officeDocument/2006/relationships/image" Target="../media/image6.gif"/><Relationship Id="rId2" Type="http://schemas.openxmlformats.org/officeDocument/2006/relationships/image" Target="../media/image1.gif"/><Relationship Id="rId16" Type="http://schemas.openxmlformats.org/officeDocument/2006/relationships/image" Target="../media/image8.gif"/><Relationship Id="rId1" Type="http://schemas.openxmlformats.org/officeDocument/2006/relationships/hyperlink" Target="https://industrial.panasonic.com/content/data/CC/pictures/lineup-LP.gif" TargetMode="External"/><Relationship Id="rId6" Type="http://schemas.openxmlformats.org/officeDocument/2006/relationships/image" Target="../media/image3.gif"/><Relationship Id="rId11" Type="http://schemas.openxmlformats.org/officeDocument/2006/relationships/hyperlink" Target="https://industrial.panasonic.com/content/data/CC/pictures/lineup-High%20Vibration%20Acceleration.gif" TargetMode="External"/><Relationship Id="rId5" Type="http://schemas.openxmlformats.org/officeDocument/2006/relationships/hyperlink" Target="https://industrial.panasonic.com/content/data/CC/pictures/lineup-Metal-core.gif" TargetMode="External"/><Relationship Id="rId15" Type="http://schemas.openxmlformats.org/officeDocument/2006/relationships/hyperlink" Target="https://industrial.panasonic.com/content/data/CC/pictures/lineup-Dust-core.gif" TargetMode="External"/><Relationship Id="rId10" Type="http://schemas.openxmlformats.org/officeDocument/2006/relationships/image" Target="../media/image5.gif"/><Relationship Id="rId4" Type="http://schemas.openxmlformats.org/officeDocument/2006/relationships/image" Target="../media/image2.gif"/><Relationship Id="rId9" Type="http://schemas.openxmlformats.org/officeDocument/2006/relationships/hyperlink" Target="https://industrial.panasonic.com/content/data/CC/pictures/lineup-LE.gif" TargetMode="External"/><Relationship Id="rId14" Type="http://schemas.openxmlformats.org/officeDocument/2006/relationships/image" Target="../media/image7.gif"/></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blip r:id="rId2"/>
  </webImageSrd>
  <webImageSrd>
    <address r:id="rId3"/>
    <blip r:id="rId4"/>
  </webImageSrd>
  <webImageSrd>
    <address r:id="rId5"/>
    <blip r:id="rId6"/>
  </webImageSrd>
  <webImageSrd>
    <address r:id="rId7"/>
    <blip r:id="rId8"/>
  </webImageSrd>
  <webImageSrd>
    <address r:id="rId9"/>
    <blip r:id="rId10"/>
  </webImageSrd>
  <webImageSrd>
    <address r:id="rId11"/>
    <blip r:id="rId12"/>
  </webImageSrd>
  <webImageSrd>
    <address r:id="rId13"/>
    <blip r:id="rId14"/>
  </webImageSrd>
  <webImageSrd>
    <address r:id="rId15"/>
    <blip r:id="rId16"/>
  </webImageSrd>
</webImagesSrd>
</file>

<file path=xl/richData/rdarray.xml><?xml version="1.0" encoding="utf-8"?>
<arrayData xmlns="http://schemas.microsoft.com/office/spreadsheetml/2017/richdata2" count="1">
  <a r="151">
    <v t="r">15</v>
    <v t="r">16</v>
    <v t="r">17</v>
    <v t="r">17</v>
    <v t="r">15</v>
    <v t="r">15</v>
    <v t="r">15</v>
    <v t="r">16</v>
    <v t="r">17</v>
    <v t="r">17</v>
    <v t="r">17</v>
    <v t="r">18</v>
    <v t="r">15</v>
    <v t="r">15</v>
    <v t="r">16</v>
    <v t="r">17</v>
    <v t="r">17</v>
    <v t="r">17</v>
    <v t="r">17</v>
    <v t="r">15</v>
    <v t="r">15</v>
    <v t="r">16</v>
    <v t="r">17</v>
    <v t="r">17</v>
    <v t="r">17</v>
    <v t="r">17</v>
    <v t="r">15</v>
    <v t="r">15</v>
    <v t="r">15</v>
    <v t="r">17</v>
    <v t="r">17</v>
    <v t="r">17</v>
    <v t="r">17</v>
    <v t="r">19</v>
    <v t="r">15</v>
    <v t="r">18</v>
    <v t="r">15</v>
    <v t="r">15</v>
    <v t="r">15</v>
    <v t="r">16</v>
    <v t="r">15</v>
    <v t="r">15</v>
    <v t="r">15</v>
    <v t="r">15</v>
    <v t="r">16</v>
    <v t="r">17</v>
    <v t="r">17</v>
    <v t="r">17</v>
    <v t="r">17</v>
    <v t="r">20</v>
    <v t="r">15</v>
    <v t="r">15</v>
    <v t="r">15</v>
    <v t="r">15</v>
    <v t="r">15</v>
    <v t="r">15</v>
    <v t="r">15</v>
    <v t="r">16</v>
    <v t="r">17</v>
    <v t="r">17</v>
    <v t="r">17</v>
    <v t="r">17</v>
    <v t="r">20</v>
    <v t="r">20</v>
    <v t="r">15</v>
    <v t="r">15</v>
    <v t="r">17</v>
    <v t="r">17</v>
    <v t="r">17</v>
    <v t="r">17</v>
    <v t="r">20</v>
    <v t="r">15</v>
    <v t="r">15</v>
    <v t="r">15</v>
    <v t="r">15</v>
    <v t="r">17</v>
    <v t="r">17</v>
    <v t="r">17</v>
    <v t="r">17</v>
    <v t="r">19</v>
    <v t="r">20</v>
    <v t="r">20</v>
    <v t="r">15</v>
    <v t="r">15</v>
    <v t="r">15</v>
    <v t="r">15</v>
    <v t="r">17</v>
    <v t="r">17</v>
    <v t="r">17</v>
    <v t="r">20</v>
    <v t="r">20</v>
    <v t="r">15</v>
    <v t="r">15</v>
    <v t="r">15</v>
    <v t="r">15</v>
    <v t="r">15</v>
    <v t="r">17</v>
    <v t="r">17</v>
    <v t="r">17</v>
    <v t="r">19</v>
    <v t="r">20</v>
    <v t="r">20</v>
    <v t="r">15</v>
    <v t="r">15</v>
    <v t="r">15</v>
    <v t="r">17</v>
    <v t="r">17</v>
    <v t="r">17</v>
    <v t="r">20</v>
    <v t="r">21</v>
    <v t="r">15</v>
    <v t="r">15</v>
    <v t="r">17</v>
    <v t="r">20</v>
    <v t="r">15</v>
    <v t="r">15</v>
    <v t="r">15</v>
    <v t="r">15</v>
    <v t="r">17</v>
    <v t="r">15</v>
    <v t="r">15</v>
    <v t="r">15</v>
    <v t="r">15</v>
    <v t="r">17</v>
    <v t="r">18</v>
    <v t="r">18</v>
    <v t="r">18</v>
    <v t="r">16</v>
    <v t="r">16</v>
    <v t="r">16</v>
    <v t="r">16</v>
    <v t="r">16</v>
    <v t="r">16</v>
    <v t="r">16</v>
    <v t="r">17</v>
    <v t="r">22</v>
    <v t="r">18</v>
    <v t="r">18</v>
    <v t="r">17</v>
    <v t="r">20</v>
    <v t="r">15</v>
    <v t="r">17</v>
    <v t="r">20</v>
    <v t="r">20</v>
    <v t="r">20</v>
    <v t="r">17</v>
    <v t="r">23</v>
    <v t="r">23</v>
    <v t="r">23</v>
    <v t="r">23</v>
    <v t="i">2</v>
  </a>
</arrayData>
</file>

<file path=xl/richData/rdrichvalue.xml><?xml version="1.0" encoding="utf-8"?>
<rvData xmlns="http://schemas.microsoft.com/office/spreadsheetml/2017/richdata" count="26">
  <rv s="0">
    <v>0</v>
    <v>1</v>
    <v>0</v>
    <v>0</v>
    <v>--</v>
  </rv>
  <rv s="0">
    <v>1</v>
    <v>1</v>
    <v>0</v>
    <v>0</v>
    <v>--</v>
  </rv>
  <rv s="0">
    <v>2</v>
    <v>1</v>
    <v>0</v>
    <v>0</v>
    <v>--</v>
  </rv>
  <rv s="0">
    <v>3</v>
    <v>1</v>
    <v>0</v>
    <v>0</v>
    <v>--</v>
  </rv>
  <rv s="0">
    <v>4</v>
    <v>1</v>
    <v>0</v>
    <v>0</v>
    <v>--</v>
  </rv>
  <rv s="0">
    <v>5</v>
    <v>1</v>
    <v>0</v>
    <v>0</v>
    <v>--</v>
  </rv>
  <rv s="1">
    <v>2</v>
    <v>1</v>
    <v>0</v>
    <v>0</v>
  </rv>
  <rv s="1">
    <v>3</v>
    <v>1</v>
    <v>0</v>
    <v>0</v>
  </rv>
  <rv s="1">
    <v>0</v>
    <v>1</v>
    <v>0</v>
    <v>0</v>
  </rv>
  <rv s="1">
    <v>5</v>
    <v>1</v>
    <v>0</v>
    <v>0</v>
  </rv>
  <rv s="1">
    <v>6</v>
    <v>1</v>
    <v>0</v>
    <v>0</v>
  </rv>
  <rv s="1">
    <v>4</v>
    <v>1</v>
    <v>0</v>
    <v>0</v>
  </rv>
  <rv s="1">
    <v>7</v>
    <v>1</v>
    <v>0</v>
    <v>0</v>
  </rv>
  <rv s="1">
    <v>1</v>
    <v>1</v>
    <v>0</v>
    <v>0</v>
  </rv>
  <rv s="2">
    <v>2</v>
    <v>10</v>
  </rv>
  <rv s="1">
    <v>2</v>
    <v>4</v>
    <v>0</v>
    <v>0</v>
  </rv>
  <rv s="1">
    <v>3</v>
    <v>4</v>
    <v>0</v>
    <v>0</v>
  </rv>
  <rv s="1">
    <v>0</v>
    <v>4</v>
    <v>0</v>
    <v>0</v>
  </rv>
  <rv s="1">
    <v>5</v>
    <v>4</v>
    <v>0</v>
    <v>0</v>
  </rv>
  <rv s="1">
    <v>6</v>
    <v>4</v>
    <v>0</v>
    <v>0</v>
  </rv>
  <rv s="1">
    <v>4</v>
    <v>4</v>
    <v>0</v>
    <v>0</v>
  </rv>
  <rv s="1">
    <v>7</v>
    <v>4</v>
    <v>0</v>
    <v>0</v>
  </rv>
  <rv s="1">
    <v>1</v>
    <v>4</v>
    <v>0</v>
    <v>0</v>
  </rv>
  <rv s="3">
    <v>2</v>
    <v>1</v>
  </rv>
  <rv s="4">
    <v>0</v>
  </rv>
  <rv s="5">
    <v>{00000000-000A-0000-FFFF-FFFF1F000000}</v>
    <v>0</v>
    <v>0</v>
    <v>24</v>
  </rv>
</rvData>
</file>

<file path=xl/richData/rdrichvaluestructure.xml><?xml version="1.0" encoding="utf-8"?>
<rvStructures xmlns="http://schemas.microsoft.com/office/spreadsheetml/2017/richdata" count="6">
  <s t="_webimage">
    <k n="WebImageIdentifier" t="i"/>
    <k n="CalcOrigin" t="i"/>
    <k n="ComputedImage" t="b"/>
    <k n="ImageSizing" t="i"/>
    <k n="Text" t="s"/>
  </s>
  <s t="_webimage">
    <k n="WebImageIdentifier" t="i"/>
    <k n="CalcOrigin" t="i"/>
    <k n="ComputedImage" t="b"/>
    <k n="ImageSizing" t="i"/>
  </s>
  <s t="_error">
    <k n="errorType" t="i"/>
    <k n="subType" t="i"/>
  </s>
  <s t="_error">
    <k n="errorType" t="i"/>
    <k n="propagated" t="b"/>
  </s>
  <s t="_array">
    <k n="array" t="a"/>
  </s>
  <s t="_datasourcecontainer">
    <k n="%XLUID" t="s"/>
    <k n="_CRID" t="i"/>
    <k n="_Display" t="spb"/>
    <k n="add3" t="r"/>
  </s>
</rvStructures>
</file>

<file path=xl/richData/rdsupportingpropertybag.xml><?xml version="1.0" encoding="utf-8"?>
<supportingPropertyBags xmlns="http://schemas.microsoft.com/office/spreadsheetml/2017/richdata2">
  <spbArrays count="1">
    <a count="4">
      <v t="s">add3</v>
      <v t="s">_CRID</v>
      <v t="s">%XLUID</v>
      <v t="s">_Display</v>
    </a>
  </spbArrays>
  <spbData count="1">
    <spb s="0">
      <v>0</v>
    </spb>
  </spbData>
</supportingPropertyBags>
</file>

<file path=xl/richData/rdsupportingpropertybagstructure.xml><?xml version="1.0" encoding="utf-8"?>
<spbStructures xmlns="http://schemas.microsoft.com/office/spreadsheetml/2017/richdata2" count="1">
  <s>
    <k n="^Order" t="spba"/>
  </s>
</spb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Rough_Size__mm" xr10:uid="{00000000-0013-0000-FFFF-FFFF01000000}" sourceName="Rough Size (mm)">
  <pivotTables>
    <pivotTable tabId="45" name="ﾋﾟﾎﾞｯﾄﾃｰﾌﾞﾙ2"/>
  </pivotTables>
  <data>
    <tabular pivotCacheId="11" showMissing="0">
      <items count="8">
        <i x="2" s="1"/>
        <i x="3" s="1"/>
        <i x="5" s="1"/>
        <i x="4" s="1"/>
        <i x="0" s="1"/>
        <i x="1" s="1"/>
        <i x="6" s="1"/>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DCR_Typ__mOhm" xr10:uid="{00000000-0013-0000-FFFF-FFFF02000000}" sourceName="DCR Typ (mOhm)">
  <pivotTables>
    <pivotTable tabId="45" name="ﾋﾟﾎﾞｯﾄﾃｰﾌﾞﾙ2"/>
  </pivotTables>
  <data>
    <tabular pivotCacheId="11" showMissing="0">
      <items count="139">
        <i x="118" s="1"/>
        <i x="1" s="1"/>
        <i x="124" s="1"/>
        <i x="119" s="1"/>
        <i x="133" s="1"/>
        <i x="0" s="1"/>
        <i x="13" s="1"/>
        <i x="125" s="1"/>
        <i x="4" s="1"/>
        <i x="10" s="1"/>
        <i x="120" s="1"/>
        <i x="6" s="1"/>
        <i x="20" s="1"/>
        <i x="130" s="1"/>
        <i x="12" s="1"/>
        <i x="121" s="1"/>
        <i x="17" s="1"/>
        <i x="9" s="1"/>
        <i x="122" s="1"/>
        <i x="19" s="1"/>
        <i x="126" s="1"/>
        <i x="40" s="1"/>
        <i x="16" s="1"/>
        <i x="18" s="1"/>
        <i x="24" s="1"/>
        <i x="117" s="1"/>
        <i x="35" s="1"/>
        <i x="25" s="1"/>
        <i x="2" s="1"/>
        <i x="23" s="1"/>
        <i x="8" s="1"/>
        <i x="34" s="1"/>
        <i x="3" s="1"/>
        <i x="39" s="1"/>
        <i x="15" s="1"/>
        <i x="5" s="1"/>
        <i x="128" s="1"/>
        <i x="30" s="1"/>
        <i x="38" s="1"/>
        <i x="33" s="1"/>
        <i x="7" s="1"/>
        <i x="11" s="1"/>
        <i x="129" s="1"/>
        <i x="29" s="1"/>
        <i x="51" s="1"/>
        <i x="44" s="1"/>
        <i x="47" s="1"/>
        <i x="14" s="1"/>
        <i x="49" s="1"/>
        <i x="32" s="1"/>
        <i x="22" s="1"/>
        <i x="46" s="1"/>
        <i x="21" s="1"/>
        <i x="54" s="1"/>
        <i x="45" s="1"/>
        <i x="43" s="1"/>
        <i x="28" s="1"/>
        <i x="36" s="1"/>
        <i x="56" s="1"/>
        <i x="132" s="1"/>
        <i x="61" s="1"/>
        <i x="134" s="1"/>
        <i x="31" s="1"/>
        <i x="27" s="1"/>
        <i x="50" s="1"/>
        <i x="55" s="1"/>
        <i x="26" s="1"/>
        <i x="60" s="1"/>
        <i x="64" s="1"/>
        <i x="42" s="1"/>
        <i x="70" s="1"/>
        <i x="100" s="1"/>
        <i x="58" s="1"/>
        <i x="41" s="1"/>
        <i x="74" s="1"/>
        <i x="53" s="1"/>
        <i x="37" s="1"/>
        <i x="73" s="1"/>
        <i x="62" s="1"/>
        <i x="65" s="1"/>
        <i x="75" s="1"/>
        <i x="48" s="1"/>
        <i x="79" s="1"/>
        <i x="66" s="1"/>
        <i x="57" s="1"/>
        <i x="72" s="1"/>
        <i x="69" s="1"/>
        <i x="84" s="1"/>
        <i x="115" s="1"/>
        <i x="52" s="1"/>
        <i x="76" s="1"/>
        <i x="63" s="1"/>
        <i x="78" s="1"/>
        <i x="89" s="1"/>
        <i x="81" s="1"/>
        <i x="85" s="1"/>
        <i x="80" s="1"/>
        <i x="59" s="1"/>
        <i x="71" s="1"/>
        <i x="94" s="1"/>
        <i x="68" s="1"/>
        <i x="88" s="1"/>
        <i x="91" s="1"/>
        <i x="98" s="1"/>
        <i x="86" s="1"/>
        <i x="127" s="1"/>
        <i x="67" s="1"/>
        <i x="102" s="1"/>
        <i x="77" s="1"/>
        <i x="116" s="1"/>
        <i x="92" s="1"/>
        <i x="99" s="1"/>
        <i x="97" s="1"/>
        <i x="95" s="1"/>
        <i x="105" s="1"/>
        <i x="82" s="1"/>
        <i x="87" s="1"/>
        <i x="103" s="1"/>
        <i x="107" s="1"/>
        <i x="90" s="1"/>
        <i x="104" s="1"/>
        <i x="106" s="1"/>
        <i x="83" s="1"/>
        <i x="123" s="1"/>
        <i x="93" s="1"/>
        <i x="109" s="1"/>
        <i x="131" s="1"/>
        <i x="110" s="1"/>
        <i x="96" s="1"/>
        <i x="112" s="1"/>
        <i x="101" s="1"/>
        <i x="114" s="1"/>
        <i x="108" s="1"/>
        <i x="113" s="1"/>
        <i x="111" s="1"/>
        <i x="135" s="1" nd="1"/>
        <i x="136" s="1" nd="1"/>
        <i x="137" s="1" nd="1"/>
        <i x="13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Lo_Range__uH" xr10:uid="{00000000-0013-0000-FFFF-FFFF03000000}" sourceName="Lo Range (uH)">
  <pivotTables>
    <pivotTable tabId="45" name="ﾋﾟﾎﾞｯﾄﾃｰﾌﾞﾙ2"/>
  </pivotTables>
  <data>
    <tabular pivotCacheId="11" showMissing="0">
      <items count="19">
        <i x="18" s="1"/>
        <i x="17" s="1"/>
        <i x="0" s="1"/>
        <i x="1" s="1"/>
        <i x="2" s="1"/>
        <i x="3" s="1"/>
        <i x="4" s="1"/>
        <i x="5" s="1"/>
        <i x="6" s="1"/>
        <i x="7" s="1"/>
        <i x="8" s="1"/>
        <i x="9" s="1"/>
        <i x="10" s="1"/>
        <i x="11" s="1"/>
        <i x="12" s="1"/>
        <i x="13" s="1"/>
        <i x="14" s="1"/>
        <i x="15" s="1"/>
        <i x="16"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ax_Height_Range__mm" xr10:uid="{00000000-0013-0000-FFFF-FFFF04000000}" sourceName="Max Height Range (mm)">
  <pivotTables>
    <pivotTable tabId="45" name="ﾋﾟﾎﾞｯﾄﾃｰﾌﾞﾙ2"/>
  </pivotTables>
  <data>
    <tabular pivotCacheId="11" showMissing="0">
      <items count="7">
        <i x="2" s="1"/>
        <i x="3" s="1"/>
        <i x="0" s="1"/>
        <i x="4" s="1"/>
        <i x="1" s="1"/>
        <i x="6" s="1"/>
        <i x="5"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ax_Temp__deg.C" xr10:uid="{00000000-0013-0000-FFFF-FFFF05000000}" sourceName="Max Temp (deg.C)">
  <pivotTables>
    <pivotTable tabId="45" name="ﾋﾟﾎﾞｯﾄﾃｰﾌﾞﾙ2"/>
  </pivotTables>
  <data>
    <tabular pivotCacheId="11" showMissing="0" crossFilter="showItemsWithNoData">
      <items count="3">
        <i x="0" s="1"/>
        <i x="2"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ethod_A__A_typ_at_40℃" xr10:uid="{00000000-0013-0000-FFFF-FFFF07000000}" sourceName="Method A (A typ at 40℃)">
  <pivotTables>
    <pivotTable tabId="45" name="ﾋﾟﾎﾞｯﾄﾃｰﾌﾞﾙ2"/>
  </pivotTables>
  <data>
    <tabular pivotCacheId="11" sortOrder="descending" customListSort="0" showMissing="0">
      <items count="104">
        <i x="85" s="1"/>
        <i x="86" s="1"/>
        <i x="87" s="1"/>
        <i x="1" s="1"/>
        <i x="88" s="1"/>
        <i x="7" s="1"/>
        <i x="89" s="1"/>
        <i x="0" s="1"/>
        <i x="92" s="1"/>
        <i x="14" s="1"/>
        <i x="100" s="1"/>
        <i x="90" s="1"/>
        <i x="21" s="1"/>
        <i x="11" s="1"/>
        <i x="6" s="1"/>
        <i x="91" s="1"/>
        <i x="4" s="1"/>
        <i x="13" s="1"/>
        <i x="18" s="1"/>
        <i x="20" s="1"/>
        <i x="98" s="1"/>
        <i x="93" s="1"/>
        <i x="19" s="1"/>
        <i x="52" s="1"/>
        <i x="10" s="1"/>
        <i x="26" s="1"/>
        <i x="84" s="1"/>
        <i x="36" s="1"/>
        <i x="27" s="1"/>
        <i x="34" s="1"/>
        <i x="17" s="1"/>
        <i x="94" s="1"/>
        <i x="25" s="1"/>
        <i x="40" s="1"/>
        <i x="39" s="1"/>
        <i x="24" s="1"/>
        <i x="31" s="1"/>
        <i x="33" s="1"/>
        <i x="35" s="1"/>
        <i x="48" s="1"/>
        <i x="50" s="1"/>
        <i x="9" s="1"/>
        <i x="47" s="1"/>
        <i x="2" s="1"/>
        <i x="95" s="1"/>
        <i x="44" s="1"/>
        <i x="16" s="1"/>
        <i x="5" s="1"/>
        <i x="3" s="1"/>
        <i x="96" s="1"/>
        <i x="56" s="1"/>
        <i x="12" s="1"/>
        <i x="97" s="1"/>
        <i x="8" s="1"/>
        <i x="46" s="1"/>
        <i x="32" s="1"/>
        <i x="99" s="1"/>
        <i x="43" s="1"/>
        <i x="15" s="1"/>
        <i x="23" s="1"/>
        <i x="45" s="1"/>
        <i x="55" s="1"/>
        <i x="80" s="1"/>
        <i x="22" s="1"/>
        <i x="30" s="1"/>
        <i x="37" s="1"/>
        <i x="51" s="1"/>
        <i x="61" s="1"/>
        <i x="67" s="1"/>
        <i x="57" s="1"/>
        <i x="58" s="1"/>
        <i x="29" s="1"/>
        <i x="42" s="1"/>
        <i x="28" s="1"/>
        <i x="63" s="1"/>
        <i x="54" s="1"/>
        <i x="66" s="1"/>
        <i x="41" s="1"/>
        <i x="77" s="1"/>
        <i x="38" s="1"/>
        <i x="49" s="1"/>
        <i x="69" s="1"/>
        <i x="60" s="1"/>
        <i x="62" s="1"/>
        <i x="53" s="1"/>
        <i x="70" s="1"/>
        <i x="74" s="1"/>
        <i x="65" s="1"/>
        <i x="59" s="1"/>
        <i x="82" s="1"/>
        <i x="78" s="1"/>
        <i x="68" s="1"/>
        <i x="64" s="1"/>
        <i x="71" s="1"/>
        <i x="73" s="1"/>
        <i x="75" s="1"/>
        <i x="76" s="1"/>
        <i x="72" s="1"/>
        <i x="81" s="1"/>
        <i x="79" s="1"/>
        <i x="83" s="1"/>
        <i x="101" s="1" nd="1"/>
        <i x="102" s="1" nd="1"/>
        <i x="10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Method_B__A_typ_at_40℃" xr10:uid="{00000000-0013-0000-FFFF-FFFF08000000}" sourceName="Method B (A typ at 40℃)">
  <pivotTables>
    <pivotTable tabId="45" name="ﾋﾟﾎﾞｯﾄﾃｰﾌﾞﾙ2"/>
  </pivotTables>
  <data>
    <tabular pivotCacheId="11" sortOrder="descending" customListSort="0" showMissing="0">
      <items count="113">
        <i x="89" s="1"/>
        <i x="94" s="1"/>
        <i x="95" s="1"/>
        <i x="96" s="1"/>
        <i x="1" s="1"/>
        <i x="97" s="1"/>
        <i x="101" s="1"/>
        <i x="7" s="1"/>
        <i x="98" s="1"/>
        <i x="0" s="1"/>
        <i x="14" s="1"/>
        <i x="106" s="1"/>
        <i x="99" s="1"/>
        <i x="21" s="1"/>
        <i x="11" s="1"/>
        <i x="6" s="1"/>
        <i x="4" s="1"/>
        <i x="100" s="1"/>
        <i x="37" s="1"/>
        <i x="13" s="1"/>
        <i x="18" s="1"/>
        <i x="42" s="1"/>
        <i x="20" s="1"/>
        <i x="102" s="1"/>
        <i x="104" s="1"/>
        <i x="19" s="1"/>
        <i x="54" s="1"/>
        <i x="26" s="1"/>
        <i x="93" s="1"/>
        <i x="36" s="1"/>
        <i x="10" s="1"/>
        <i x="27" s="1"/>
        <i x="34" s="1"/>
        <i x="25" s="1"/>
        <i x="17" s="1"/>
        <i x="41" s="1"/>
        <i x="40" s="1"/>
        <i x="24" s="1"/>
        <i x="32" s="1"/>
        <i x="50" s="1"/>
        <i x="33" s="1"/>
        <i x="35" s="1"/>
        <i x="9" s="1"/>
        <i x="52" s="1"/>
        <i x="2" s="1"/>
        <i x="46" s="1"/>
        <i x="49" s="1"/>
        <i x="16" s="1"/>
        <i x="5" s="1"/>
        <i x="103" s="1"/>
        <i x="3" s="1"/>
        <i x="31" s="1"/>
        <i x="58" s="1"/>
        <i x="12" s="1"/>
        <i x="48" s="1"/>
        <i x="8" s="1"/>
        <i x="107" s="1"/>
        <i x="47" s="1"/>
        <i x="23" s="1"/>
        <i x="15" s="1"/>
        <i x="45" s="1"/>
        <i x="60" s="1"/>
        <i x="66" s="1"/>
        <i x="57" s="1"/>
        <i x="38" s="1"/>
        <i x="22" s="1"/>
        <i x="53" s="1"/>
        <i x="30" s="1"/>
        <i x="71" s="1"/>
        <i x="59" s="1"/>
        <i x="74" s="1"/>
        <i x="62" s="1"/>
        <i x="67" s="1"/>
        <i x="29" s="1"/>
        <i x="80" s="1"/>
        <i x="44" s="1"/>
        <i x="73" s="1"/>
        <i x="65" s="1"/>
        <i x="28" s="1"/>
        <i x="68" s="1"/>
        <i x="56" s="1"/>
        <i x="75" s="1"/>
        <i x="43" s="1"/>
        <i x="61" s="1"/>
        <i x="39" s="1"/>
        <i x="51" s="1"/>
        <i x="78" s="1"/>
        <i x="64" s="1"/>
        <i x="77" s="1"/>
        <i x="55" s="1"/>
        <i x="84" s="1"/>
        <i x="82" s="1"/>
        <i x="72" s="1"/>
        <i x="70" s="1"/>
        <i x="63" s="1"/>
        <i x="88" s="1"/>
        <i x="86" s="1"/>
        <i x="85" s="1"/>
        <i x="76" s="1"/>
        <i x="69" s="1"/>
        <i x="91" s="1"/>
        <i x="81" s="1"/>
        <i x="83" s="1"/>
        <i x="105" s="1"/>
        <i x="79" s="1"/>
        <i x="90" s="1"/>
        <i x="87" s="1"/>
        <i x="92" s="1"/>
        <i x="108" s="1" nd="1"/>
        <i x="109" s="1" nd="1"/>
        <i x="110" s="1" nd="1"/>
        <i x="111" s="1" nd="1"/>
        <i x="112"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L__20___typ__A" xr10:uid="{00000000-0013-0000-FFFF-FFFF0A000000}" sourceName="⊿L=-20% _x000a_typ (A)">
  <pivotTables>
    <pivotTable tabId="45" name="ﾋﾟﾎﾞｯﾄﾃｰﾌﾞﾙ2"/>
  </pivotTables>
  <data>
    <tabular pivotCacheId="11" sortOrder="descending" customListSort="0" showMissing="0">
      <items count="150">
        <i x="103" s="1"/>
        <i x="119" s="1"/>
        <i x="1" s="1"/>
        <i x="120" s="1"/>
        <i x="127" s="1"/>
        <i x="0" s="1"/>
        <i x="7" s="1"/>
        <i x="121" s="1"/>
        <i x="139" s="1"/>
        <i x="4" s="1"/>
        <i x="14" s="1"/>
        <i x="122" s="1"/>
        <i x="123" s="1"/>
        <i x="6" s="1"/>
        <i x="11" s="1"/>
        <i x="136" s="1"/>
        <i x="124" s="1"/>
        <i x="18" s="1"/>
        <i x="130" s="1"/>
        <i x="13" s="1"/>
        <i x="17" s="1"/>
        <i x="38" s="1"/>
        <i x="19" s="1"/>
        <i x="26" s="1"/>
        <i x="131" s="1"/>
        <i x="20" s="1"/>
        <i x="125" s="1"/>
        <i x="25" s="1"/>
        <i x="10" s="1"/>
        <i x="128" s="1"/>
        <i x="43" s="1"/>
        <i x="35" s="1"/>
        <i x="42" s="1"/>
        <i x="24" s="1"/>
        <i x="16" s="1"/>
        <i x="5" s="1"/>
        <i x="55" s="1"/>
        <i x="23" s="1"/>
        <i x="129" s="1"/>
        <i x="37" s="1"/>
        <i x="31" s="1"/>
        <i x="50" s="1"/>
        <i x="118" s="1"/>
        <i x="41" s="1"/>
        <i x="133" s="1"/>
        <i x="132" s="1"/>
        <i x="54" s="1"/>
        <i x="30" s="1"/>
        <i x="52" s="1"/>
        <i x="36" s="1"/>
        <i x="2" s="1"/>
        <i x="12" s="1"/>
        <i x="9" s="1"/>
        <i x="34" s="1"/>
        <i x="49" s="1"/>
        <i x="3" s="1"/>
        <i x="47" s="1"/>
        <i x="134" s="1"/>
        <i x="46" s="1"/>
        <i x="135" s="1"/>
        <i x="15" s="1"/>
        <i x="59" s="1"/>
        <i x="33" s="1"/>
        <i x="8" s="1"/>
        <i x="22" s="1"/>
        <i x="48" s="1"/>
        <i x="140" s="1"/>
        <i x="21" s="1"/>
        <i x="53" s="1"/>
        <i x="138" s="1"/>
        <i x="39" s="1"/>
        <i x="58" s="1"/>
        <i x="67" s="1"/>
        <i x="29" s="1"/>
        <i x="70" s="1"/>
        <i x="63" s="1"/>
        <i x="76" s="1"/>
        <i x="71" s="1"/>
        <i x="80" s="1"/>
        <i x="27" s="1"/>
        <i x="61" s="1"/>
        <i x="66" s="1"/>
        <i x="72" s="1"/>
        <i x="28" s="1"/>
        <i x="81" s="1"/>
        <i x="60" s="1"/>
        <i x="45" s="1"/>
        <i x="62" s="1"/>
        <i x="57" s="1"/>
        <i x="68" s="1"/>
        <i x="75" s="1"/>
        <i x="79" s="1"/>
        <i x="90" s="1"/>
        <i x="78" s="1"/>
        <i x="32" s="1"/>
        <i x="40" s="1"/>
        <i x="85" s="1"/>
        <i x="84" s="1"/>
        <i x="44" s="1"/>
        <i x="69" s="1"/>
        <i x="94" s="1"/>
        <i x="51" s="1"/>
        <i x="82" s="1"/>
        <i x="116" s="1"/>
        <i x="65" s="1"/>
        <i x="56" s="1"/>
        <i x="87" s="1"/>
        <i x="86" s="1"/>
        <i x="91" s="1"/>
        <i x="105" s="1"/>
        <i x="64" s="1"/>
        <i x="117" s="1"/>
        <i x="74" s="1"/>
        <i x="101" s="1"/>
        <i x="92" s="1"/>
        <i x="108" s="1"/>
        <i x="88" s="1"/>
        <i x="77" s="1"/>
        <i x="110" s="1"/>
        <i x="100" s="1"/>
        <i x="96" s="1"/>
        <i x="83" s="1"/>
        <i x="98" s="1"/>
        <i x="73" s="1"/>
        <i x="106" s="1"/>
        <i x="102" s="1"/>
        <i x="97" s="1"/>
        <i x="109" s="1"/>
        <i x="95" s="1"/>
        <i x="93" s="1"/>
        <i x="111" s="1"/>
        <i x="107" s="1"/>
        <i x="104" s="1"/>
        <i x="115" s="1"/>
        <i x="112" s="1"/>
        <i x="137" s="1"/>
        <i x="89" s="1"/>
        <i x="113" s="1"/>
        <i x="99" s="1"/>
        <i x="114" s="1"/>
        <i x="126" s="1"/>
        <i x="146" s="1" nd="1"/>
        <i x="147" s="1" nd="1"/>
        <i x="145" s="1" nd="1"/>
        <i x="148" s="1" nd="1"/>
        <i x="141" s="1" nd="1"/>
        <i x="144" s="1" nd="1"/>
        <i x="149" s="1" nd="1"/>
        <i x="142" s="1" nd="1"/>
        <i x="143"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L__30___typ__A" xr10:uid="{00000000-0013-0000-FFFF-FFFF0B000000}" sourceName="⊿L=-30% _x000a_typ (A)">
  <pivotTables>
    <pivotTable tabId="45" name="ﾋﾟﾎﾞｯﾄﾃｰﾌﾞﾙ2"/>
  </pivotTables>
  <data>
    <tabular pivotCacheId="11" sortOrder="descending" customListSort="0" showMissing="0">
      <items count="120">
        <i x="91" s="1"/>
        <i x="101" s="1"/>
        <i x="1" s="1"/>
        <i x="102" s="1"/>
        <i x="109" s="1"/>
        <i x="7" s="1"/>
        <i x="0" s="1"/>
        <i x="103" s="1"/>
        <i x="4" s="1"/>
        <i x="116" s="1"/>
        <i x="13" s="1"/>
        <i x="104" s="1"/>
        <i x="105" s="1"/>
        <i x="6" s="1"/>
        <i x="12" s="1"/>
        <i x="110" s="1"/>
        <i x="114" s="1"/>
        <i x="106" s="1"/>
        <i x="18" s="1"/>
        <i x="17" s="1"/>
        <i x="38" s="1"/>
        <i x="19" s="1"/>
        <i x="26" s="1"/>
        <i x="107" s="1"/>
        <i x="20" s="1"/>
        <i x="25" s="1"/>
        <i x="10" s="1"/>
        <i x="43" s="1"/>
        <i x="35" s="1"/>
        <i x="42" s="1"/>
        <i x="37" s="1"/>
        <i x="24" s="1"/>
        <i x="51" s="1"/>
        <i x="16" s="1"/>
        <i x="5" s="1"/>
        <i x="100" s="1"/>
        <i x="48" s="1"/>
        <i x="41" s="1"/>
        <i x="23" s="1"/>
        <i x="2" s="1"/>
        <i x="31" s="1"/>
        <i x="111" s="1"/>
        <i x="30" s="1"/>
        <i x="9" s="1"/>
        <i x="36" s="1"/>
        <i x="11" s="1"/>
        <i x="34" s="1"/>
        <i x="112" s="1"/>
        <i x="3" s="1"/>
        <i x="46" s="1"/>
        <i x="47" s="1"/>
        <i x="113" s="1"/>
        <i x="15" s="1"/>
        <i x="8" s="1"/>
        <i x="54" s="1"/>
        <i x="33" s="1"/>
        <i x="22" s="1"/>
        <i x="14" s="1"/>
        <i x="117" s="1"/>
        <i x="55" s="1"/>
        <i x="39" s="1"/>
        <i x="50" s="1"/>
        <i x="65" s="1"/>
        <i x="29" s="1"/>
        <i x="59" s="1"/>
        <i x="21" s="1"/>
        <i x="45" s="1"/>
        <i x="74" s="1"/>
        <i x="73" s="1"/>
        <i x="62" s="1"/>
        <i x="27" s="1"/>
        <i x="70" s="1"/>
        <i x="57" s="1"/>
        <i x="66" s="1"/>
        <i x="56" s="1"/>
        <i x="28" s="1"/>
        <i x="58" s="1"/>
        <i x="63" s="1"/>
        <i x="53" s="1"/>
        <i x="72" s="1"/>
        <i x="78" s="1"/>
        <i x="69" s="1"/>
        <i x="32" s="1"/>
        <i x="40" s="1"/>
        <i x="64" s="1"/>
        <i x="61" s="1"/>
        <i x="44" s="1"/>
        <i x="99" s="1"/>
        <i x="49" s="1"/>
        <i x="77" s="1"/>
        <i x="83" s="1"/>
        <i x="75" s="1"/>
        <i x="81" s="1"/>
        <i x="93" s="1"/>
        <i x="52" s="1"/>
        <i x="60" s="1"/>
        <i x="79" s="1"/>
        <i x="68" s="1"/>
        <i x="90" s="1"/>
        <i x="71" s="1"/>
        <i x="95" s="1"/>
        <i x="76" s="1"/>
        <i x="96" s="1"/>
        <i x="87" s="1"/>
        <i x="89" s="1"/>
        <i x="85" s="1"/>
        <i x="82" s="1"/>
        <i x="67" s="1"/>
        <i x="86" s="1"/>
        <i x="84" s="1"/>
        <i x="97" s="1"/>
        <i x="92" s="1"/>
        <i x="94" s="1"/>
        <i x="98" s="1"/>
        <i x="115" s="1"/>
        <i x="80" s="1"/>
        <i x="88" s="1"/>
        <i x="108" s="1"/>
        <i x="118" s="1" nd="1"/>
        <i x="119"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DCR_Max__mOhm" xr10:uid="{00000000-0013-0000-FFFF-FFFF0C000000}" sourceName="DCR Max (mOhm)">
  <pivotTables>
    <pivotTable tabId="45" name="ﾋﾟﾎﾞｯﾄﾃｰﾌﾞﾙ2"/>
  </pivotTables>
  <data>
    <tabular pivotCacheId="11" customListSort="0" showMissing="0">
      <items count="145">
        <i x="120" s="1"/>
        <i x="1" s="1"/>
        <i x="126" s="1"/>
        <i x="121" s="1"/>
        <i x="137" s="1"/>
        <i x="0" s="1"/>
        <i x="13" s="1"/>
        <i x="128" s="1"/>
        <i x="4" s="1"/>
        <i x="10" s="1"/>
        <i x="122" s="1"/>
        <i x="6" s="1"/>
        <i x="20" s="1"/>
        <i x="134" s="1"/>
        <i x="12" s="1"/>
        <i x="123" s="1"/>
        <i x="17" s="1"/>
        <i x="9" s="1"/>
        <i x="124" s="1"/>
        <i x="19" s="1"/>
        <i x="129" s="1"/>
        <i x="40" s="1"/>
        <i x="16" s="1"/>
        <i x="18" s="1"/>
        <i x="24" s="1"/>
        <i x="119" s="1"/>
        <i x="35" s="1"/>
        <i x="25" s="1"/>
        <i x="2" s="1"/>
        <i x="52" s="1"/>
        <i x="23" s="1"/>
        <i x="8" s="1"/>
        <i x="127" s="1"/>
        <i x="34" s="1"/>
        <i x="3" s="1"/>
        <i x="39" s="1"/>
        <i x="15" s="1"/>
        <i x="5" s="1"/>
        <i x="131" s="1"/>
        <i x="30" s="1"/>
        <i x="38" s="1"/>
        <i x="33" s="1"/>
        <i x="7" s="1"/>
        <i x="11" s="1"/>
        <i x="132" s="1"/>
        <i x="29" s="1"/>
        <i x="51" s="1"/>
        <i x="44" s="1"/>
        <i x="133" s="1"/>
        <i x="47" s="1"/>
        <i x="14" s="1"/>
        <i x="49" s="1"/>
        <i x="32" s="1"/>
        <i x="22" s="1"/>
        <i x="46" s="1"/>
        <i x="21" s="1"/>
        <i x="55" s="1"/>
        <i x="45" s="1"/>
        <i x="43" s="1"/>
        <i x="28" s="1"/>
        <i x="36" s="1"/>
        <i x="57" s="1"/>
        <i x="136" s="1"/>
        <i x="63" s="1"/>
        <i x="138" s="1"/>
        <i x="31" s="1"/>
        <i x="27" s="1"/>
        <i x="50" s="1"/>
        <i x="56" s="1"/>
        <i x="26" s="1"/>
        <i x="62" s="1"/>
        <i x="66" s="1"/>
        <i x="42" s="1"/>
        <i x="72" s="1"/>
        <i x="59" s="1"/>
        <i x="41" s="1"/>
        <i x="76" s="1"/>
        <i x="54" s="1"/>
        <i x="37" s="1"/>
        <i x="75" s="1"/>
        <i x="64" s="1"/>
        <i x="67" s="1"/>
        <i x="77" s="1"/>
        <i x="48" s="1"/>
        <i x="81" s="1"/>
        <i x="68" s="1"/>
        <i x="58" s="1"/>
        <i x="74" s="1"/>
        <i x="71" s="1"/>
        <i x="86" s="1"/>
        <i x="117" s="1"/>
        <i x="61" s="1"/>
        <i x="53" s="1"/>
        <i x="78" s="1"/>
        <i x="65" s="1"/>
        <i x="80" s="1"/>
        <i x="91" s="1"/>
        <i x="83" s="1"/>
        <i x="87" s="1"/>
        <i x="82" s="1"/>
        <i x="60" s="1"/>
        <i x="73" s="1"/>
        <i x="96" s="1"/>
        <i x="70" s="1"/>
        <i x="90" s="1"/>
        <i x="93" s="1"/>
        <i x="100" s="1"/>
        <i x="88" s="1"/>
        <i x="130" s="1"/>
        <i x="69" s="1"/>
        <i x="104" s="1"/>
        <i x="79" s="1"/>
        <i x="118" s="1"/>
        <i x="94" s="1"/>
        <i x="101" s="1"/>
        <i x="99" s="1"/>
        <i x="97" s="1"/>
        <i x="107" s="1"/>
        <i x="84" s="1"/>
        <i x="89" s="1"/>
        <i x="105" s="1"/>
        <i x="109" s="1"/>
        <i x="92" s="1"/>
        <i x="106" s="1"/>
        <i x="108" s="1"/>
        <i x="85" s="1"/>
        <i x="125" s="1"/>
        <i x="95" s="1"/>
        <i x="111" s="1"/>
        <i x="135" s="1"/>
        <i x="112" s="1"/>
        <i x="98" s="1"/>
        <i x="114" s="1"/>
        <i x="103" s="1"/>
        <i x="116" s="1"/>
        <i x="110" s="1"/>
        <i x="115" s="1"/>
        <i x="113" s="1"/>
        <i x="102" s="1"/>
        <i x="139" s="1" nd="1"/>
        <i x="140" s="1" nd="1"/>
        <i x="141" s="1" nd="1"/>
        <i x="142" s="1" nd="1"/>
        <i x="143" s="1" nd="1"/>
        <i x="144"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Feature" xr10:uid="{00000000-0013-0000-FFFF-FFFF0D000000}" sourceName="Feature">
  <pivotTables>
    <pivotTable tabId="45" name="ﾋﾟﾎﾞｯﾄﾃｰﾌﾞﾙ2"/>
  </pivotTables>
  <data>
    <tabular pivotCacheId="11" sortOrder="descending" customListSort="0" showMissing="0">
      <items count="8">
        <i x="2" s="1"/>
        <i x="7" s="1"/>
        <i x="5" s="1"/>
        <i x="0" s="1"/>
        <i x="4" s="1"/>
        <i x="1" s="1"/>
        <i x="3" s="1"/>
        <i x="6"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Series" xr10:uid="{00000000-0013-0000-FFFF-FFFF0E000000}" sourceName="Series">
  <pivotTables>
    <pivotTable tabId="45" name="ﾋﾟﾎﾞｯﾄﾃｰﾌﾞﾙ2"/>
  </pivotTables>
  <data>
    <tabular pivotCacheId="11" customListSort="0" showMissing="0">
      <items count="33">
        <i x="21" s="1"/>
        <i x="12" s="1"/>
        <i x="5" s="1"/>
        <i x="2" s="1"/>
        <i x="4" s="1"/>
        <i x="11" s="1"/>
        <i x="20" s="1"/>
        <i x="16" s="1"/>
        <i x="3" s="1"/>
        <i x="8" s="1"/>
        <i x="6" s="1"/>
        <i x="13" s="1"/>
        <i x="19" s="1"/>
        <i x="28" s="1"/>
        <i x="22" s="1"/>
        <i x="9" s="1"/>
        <i x="15" s="1"/>
        <i x="17" s="1"/>
        <i x="18" s="1"/>
        <i x="26" s="1"/>
        <i x="25" s="1"/>
        <i x="0" s="1"/>
        <i x="7" s="1"/>
        <i x="14" s="1"/>
        <i x="29" s="1"/>
        <i x="30" s="1"/>
        <i x="23" s="1"/>
        <i x="10" s="1"/>
        <i x="1" s="1"/>
        <i x="27" s="1"/>
        <i x="24" s="1"/>
        <i x="32" s="1" nd="1"/>
        <i x="31" s="1" nd="1"/>
      </items>
    </tabular>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Status" xr10:uid="{00000000-0013-0000-FFFF-FFFF06000000}" sourceName="Status">
  <pivotTables>
    <pivotTable tabId="45" name="ﾋﾟﾎﾞｯﾄﾃｰﾌﾞﾙ2"/>
  </pivotTables>
  <data>
    <tabular pivotCacheId="11" showMissing="0" crossFilter="showItemsWithNoData">
      <items count="2">
        <i x="0" s="1"/>
        <i x="1"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Size_Rough__mm" xr10:uid="{19A6E2D9-BEC4-4E25-8F77-1E0FE8CB2114}" sourceName="Size Rough (mm)">
  <extLst>
    <x:ext xmlns:x15="http://schemas.microsoft.com/office/spreadsheetml/2010/11/main" uri="{2F2917AC-EB37-4324-AD4E-5DD8C200BD13}">
      <x15:tableSlicerCache tableId="3" column="22"/>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ugh Size (mm)" xr10:uid="{00000000-0014-0000-FFFF-FFFF01000000}" cache="スライサー_Rough_Size__mm" caption="Rough Size (mm)" style="SlicerStyleDark3" rowHeight="252000"/>
  <slicer name="DCR Typ (mOhm)" xr10:uid="{00000000-0014-0000-FFFF-FFFF02000000}" cache="スライサー_DCR_Typ__mOhm" caption="DCR Typ" style="SlicerStyleDark6" rowHeight="144000"/>
  <slicer name="Lo Range (uH)" xr10:uid="{00000000-0014-0000-FFFF-FFFF03000000}" cache="スライサー_Lo_Range__uH" caption="L Range (uH)" columnCount="3" style="SlicerStyleDark5" rowHeight="288000"/>
  <slicer name="Max Height Range (mm)" xr10:uid="{00000000-0014-0000-FFFF-FFFF04000000}" cache="スライサー_Max_Height_Range__mm" caption="Height Range (mm)" style="SlicerStyleDark3" rowHeight="288000"/>
  <slicer name="Max Temp (deg.C)" xr10:uid="{00000000-0014-0000-FFFF-FFFF05000000}" cache="スライサー_Max_Temp__deg.C" caption="Max Temp (deg.C)" columnCount="3" style="SlicerStyleDark2 2" rowHeight="180000"/>
  <slicer name="Method A (A typ at 40℃)" xr10:uid="{00000000-0014-0000-FFFF-FFFF07000000}" cache="スライサー_Method_A__A_typ_at_40℃" caption="Method A (A typ at 40℃)" style="SlicerStyleDark6" rowHeight="144000"/>
  <slicer name="Method B (A typ at 40℃)" xr10:uid="{00000000-0014-0000-FFFF-FFFF08000000}" cache="スライサー_Method_B__A_typ_at_40℃" caption="Method B (A typ at 40℃)" style="SlicerStyleDark6" rowHeight="144000"/>
  <slicer name="⊿L=-20% _x000a_typ (A)" xr10:uid="{00000000-0014-0000-FFFF-FFFF0A000000}" cache="スライサー_⊿L__20___typ__A" caption="⊿L=-20% _x000a_typ (A)" style="SlicerStyleDark6" rowHeight="144000"/>
  <slicer name="⊿L=-30% _x000a_typ (A)" xr10:uid="{00000000-0014-0000-FFFF-FFFF0B000000}" cache="スライサー_⊿L__30___typ__A" caption="⊿L=-30% _x000a_typ (A)" style="SlicerStyleDark6" rowHeight="144000"/>
  <slicer name="DCR Max (mOhm)" xr10:uid="{00000000-0014-0000-FFFF-FFFF0C000000}" cache="スライサー_DCR_Max__mOhm" caption="DCR Max (mOhm)" style="SlicerStyleDark6" rowHeight="144000"/>
  <slicer name="Feature 1" xr10:uid="{193D5DE5-4B66-4A0F-A459-5FBA21D2E437}" cache="スライサー_Feature" caption="Feature" style="SlicerStyleDark2 2" rowHeight="126000"/>
  <slicer name="Series" xr10:uid="{00000000-0014-0000-FFFF-FFFF0E000000}" cache="スライサー_Series" caption="Series" columnCount="7" style="SlicerStyleDark2 2" rowHeight="144000"/>
  <slicer name="Status" xr10:uid="{00000000-0014-0000-FFFF-FFFF06000000}" cache="スライサー_Status" caption="Status" columnCount="2" style="SlicerStyleDark2 2" rowHeight="1548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ize Rough (mm)" xr10:uid="{BB4444C6-2F8E-408A-9DBF-E0B34C531218}" cache="スライサー_Size_Rough__mm" caption="Size Rough (mm)" style="SlicerStyleDark2 2" rowHeight="1548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70421B-4B28-4874-B6D4-EB4C770BE6DD}" name="テーブル3" displayName="テーブル3" ref="G50:AB60" totalsRowShown="0" headerRowDxfId="135" headerRowCellStyle="標準 5 2 3">
  <autoFilter ref="G50:AB60" xr:uid="{AB70421B-4B28-4874-B6D4-EB4C770BE6DD}"/>
  <tableColumns count="22">
    <tableColumn id="22" xr3:uid="{E58AE1EC-658E-48EF-A97D-CA8BD328D029}" name="Size Rough (mm)" dataDxfId="134" dataCellStyle="標準 5 3 2">
      <calculatedColumnFormula>IF(N51="","",INDEX('All Data'!$AG:$AG,MATCH(N51,'All Data'!$O:$O,0)))</calculatedColumnFormula>
    </tableColumn>
    <tableColumn id="1" xr3:uid="{89CD2821-79F5-4441-A28F-047CA8EBC74D}" name="#" dataDxfId="133" dataCellStyle="標準 5 3 2">
      <calculatedColumnFormula>IF(N51&lt;&gt;"",COUNTIF($N$51:N51,"*")&amp;".","")</calculatedColumnFormula>
    </tableColumn>
    <tableColumn id="2" xr3:uid="{A9552869-EA28-4657-9E32-0DD44AD988D2}" name="Status" dataDxfId="132" dataCellStyle="標準 5 3 2">
      <calculatedColumnFormula>IF(N51="","",INDEX('All Data'!$F:$F,MATCH(N51,'All Data'!$O:$O,0)))</calculatedColumnFormula>
    </tableColumn>
    <tableColumn id="3" xr3:uid="{6633DE5E-9335-493B-9A7B-CA4DCFA772C2}" name="Automotive Grade" dataDxfId="131" dataCellStyle="標準 5 3 2">
      <calculatedColumnFormula>IF(N51="","",INDEX('All Data'!$N:$N,MATCH(N51,'All Data'!$O:$O,0)))</calculatedColumnFormula>
    </tableColumn>
    <tableColumn id="4" xr3:uid="{D082DE45-3B16-4D01-B478-367E3D47FB66}" name="■" dataDxfId="130" dataCellStyle="標準 5 3 2">
      <calculatedColumnFormula>_xlfn.IMAGE(IF(N51="","",INDEX('All Data'!AT:AT,MATCH(N51,'All Data'!$O:$O,0))),"--")</calculatedColumnFormula>
    </tableColumn>
    <tableColumn id="5" xr3:uid="{DE2CFE31-0454-467E-8CD0-D098C0D34A23}" name="pcs" dataDxfId="129" dataCellStyle="標準 5 3 2">
      <calculatedColumnFormula>IF(テーブル3[[#This Row],[Part Number]]="","","x "&amp;$J$26)</calculatedColumnFormula>
    </tableColumn>
    <tableColumn id="6" xr3:uid="{0551AF11-9304-430B-99F1-0069C452C7A5}" name="列1" dataDxfId="128" dataCellStyle="標準 5 3 2"/>
    <tableColumn id="7" xr3:uid="{A51DD17F-AD48-4F0C-8D89-1B3AD4342195}" name="Part Number" dataDxfId="127" dataCellStyle="標準 5 3 2">
      <calculatedColumnFormula>'All Data'!BU11</calculatedColumnFormula>
    </tableColumn>
    <tableColumn id="8" xr3:uid="{97E48A9C-25D8-4E58-A62E-6D6354DD07F9}" name="Lo (uH)" dataDxfId="126" dataCellStyle="標準 5 3 2">
      <calculatedColumnFormula>IF(N51="","",INDEX('All Data'!$Q:$Q,MATCH(N51,'All Data'!$O:$O,0)))</calculatedColumnFormula>
    </tableColumn>
    <tableColumn id="9" xr3:uid="{512C821E-9DBA-4F1B-90C5-DB56C4CF927D}" name="Total Area* (mm2)" dataDxfId="125" dataCellStyle="標準 5 3 2">
      <calculatedColumnFormula>IF(N51="","",INDEX('All Data'!AE:AE,MATCH(N51,'All Data'!$O:$O,0))*$J$26)</calculatedColumnFormula>
    </tableColumn>
    <tableColumn id="10" xr3:uid="{A08C9FAD-087E-407E-9A99-C7BEA14F0D7D}" name="LxW (mm)" dataDxfId="124" dataCellStyle="標準 5 3 2">
      <calculatedColumnFormula>IF(N51="","",INDEX('All Data'!AF:AF,MATCH(N51,'All Data'!$O:$O,0)))</calculatedColumnFormula>
    </tableColumn>
    <tableColumn id="11" xr3:uid="{D7C7B8DF-6CE0-46F3-894A-BFF6D7CB208B}" name="Height (mm)" dataDxfId="123" dataCellStyle="標準 5 3 2">
      <calculatedColumnFormula>IF(N51="","",INDEX('All Data'!AD:AD,MATCH(N51,'All Data'!$O:$O,0)))</calculatedColumnFormula>
    </tableColumn>
    <tableColumn id="12" xr3:uid="{D84D7535-B8A3-494F-8358-F04C9D07B82D}" name="Method B typ (A)" dataDxfId="122" dataCellStyle="標準 5 3 2">
      <calculatedColumnFormula>IF(N51="","",INDEX('All Data'!X:X,MATCH(N51,'All Data'!$O:$O,0)))</calculatedColumnFormula>
    </tableColumn>
    <tableColumn id="13" xr3:uid="{A266AA55-5A1D-4B05-915F-E6EDCEE3DFA3}" name="Method A typ (A)" dataDxfId="121" dataCellStyle="標準 5 3 2">
      <calculatedColumnFormula>IF(N51="","",INDEX('All Data'!Y:Y,MATCH(N51,'All Data'!$O:$O,0)))</calculatedColumnFormula>
    </tableColumn>
    <tableColumn id="14" xr3:uid="{C449119B-D5E1-4614-BDD4-38C0FAD32C9F}" name="_x000a_L=-30% _x000a_typ (A) " dataDxfId="120" dataCellStyle="標準 5 3 2">
      <calculatedColumnFormula>IF(N51="","",INDEX('All Data'!Z:Z,MATCH(N51,'All Data'!$O:$O,0)))</calculatedColumnFormula>
    </tableColumn>
    <tableColumn id="15" xr3:uid="{A75A7534-13BE-47ED-AB05-652E95FB16D3}" name="_x000a_L=-20% _x000a_typ (A) " dataDxfId="119" dataCellStyle="標準 5 3 2">
      <calculatedColumnFormula>IF(N51="","",INDEX('All Data'!AA:AA,MATCH(N51,'All Data'!$O:$O,0)))</calculatedColumnFormula>
    </tableColumn>
    <tableColumn id="16" xr3:uid="{3362B79E-8679-4502-B640-5ED9B8AD8A89}" name="_x000a_typ (mΩ)_x000a_" dataDxfId="118" dataCellStyle="標準 5 3 2">
      <calculatedColumnFormula>IF(N51="","",INDEX('All Data'!U:U,MATCH(N51,'All Data'!$O:$O,0)))</calculatedColumnFormula>
    </tableColumn>
    <tableColumn id="17" xr3:uid="{F6EAB017-58B7-4517-B404-CFF0B4A66AC4}" name="_x000a_max (mΩ)_x000a_" dataDxfId="117" dataCellStyle="標準 5 3 2">
      <calculatedColumnFormula>IF(N51="","",INDEX('All Data'!V:V,MATCH(N51,'All Data'!$O:$O,0)))</calculatedColumnFormula>
    </tableColumn>
    <tableColumn id="27" xr3:uid="{60FFD50D-6880-448F-86F4-817A4259E373}" name="~" dataDxfId="116" dataCellStyle="標準 5 3 2"/>
    <tableColumn id="18" xr3:uid="{5828ED3D-4CA1-4F42-83E8-4CBBAFCC6875}" name="Temp. Range" dataDxfId="115" dataCellStyle="標準 5 2 3">
      <calculatedColumnFormula>IF(N51="","",INDEX('All Data'!AK:AK,MATCH(N51,'All Data'!$O:$O,0)))</calculatedColumnFormula>
    </tableColumn>
    <tableColumn id="19" xr3:uid="{1BCF5597-92CF-4F27-873C-F1F815BB94DA}" name="Feature" dataDxfId="114" dataCellStyle="標準 5 3 2">
      <calculatedColumnFormula>IF(N51="","",INDEX('All Data'!$K:$K,MATCH(N51,'All Data'!$O:$O,0)))</calculatedColumnFormula>
    </tableColumn>
    <tableColumn id="20" xr3:uid="{CA487C2E-0AFC-434D-829E-E94421D60D2F}" name="URL" dataDxfId="113" dataCellStyle="標準 5 3 2">
      <calculatedColumnFormula>IF(N51="","",HYPERLINK(INDEX('All Data'!$AS:$AS,MATCH(N51,'All Data'!$O:$O,0)),"More Info"))</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ll_PCC_a" displayName="All_PCC_a" ref="A10:AW160" totalsRowShown="0" headerRowDxfId="106" dataDxfId="105" dataCellStyle="標準 8">
  <autoFilter ref="A10:AW160" xr:uid="{00000000-0009-0000-0100-000001000000}"/>
  <tableColumns count="49">
    <tableColumn id="33" xr3:uid="{E9EB6150-F4E2-4843-B732-2F39E50F3FD6}" name="Original Order" dataDxfId="104" dataCellStyle="標準 8"/>
    <tableColumn id="18" xr3:uid="{7A530949-4563-4539-9B72-BDF86F526CFA}" name="カタログ品" dataDxfId="103" dataCellStyle="標準 8"/>
    <tableColumn id="20" xr3:uid="{8CDD746F-395A-42DB-85BA-96618A0C505A}" name="確認メモ" dataDxfId="102" dataCellStyle="標準 8"/>
    <tableColumn id="69" xr3:uid="{00000000-0010-0000-0000-000045000000}" name="Check" dataDxfId="101" dataCellStyle="標準 8"/>
    <tableColumn id="68" xr3:uid="{00000000-0010-0000-0000-000044000000}" name="Renewal Date" dataDxfId="100" dataCellStyle="標準 8"/>
    <tableColumn id="1" xr3:uid="{00000000-0010-0000-0000-000001000000}" name="Status" dataDxfId="99" dataCellStyle="標準 8"/>
    <tableColumn id="5" xr3:uid="{00000000-0010-0000-0000-000005000000}" name="Maker" dataDxfId="98" dataCellStyle="標準 8 2 2"/>
    <tableColumn id="2" xr3:uid="{00000000-0010-0000-0000-000002000000}" name="Type" dataDxfId="97" dataCellStyle="標準 8 2 2"/>
    <tableColumn id="3" xr3:uid="{00000000-0010-0000-0000-000003000000}" name="Core" dataDxfId="96" dataCellStyle="標準 8 2 2"/>
    <tableColumn id="4" xr3:uid="{00000000-0010-0000-0000-000004000000}" name="Category" dataDxfId="95" dataCellStyle="標準 8 2 2"/>
    <tableColumn id="6" xr3:uid="{00000000-0010-0000-0000-000006000000}" name="Feature" dataDxfId="94" dataCellStyle="標準 8 2 2"/>
    <tableColumn id="16" xr3:uid="{00000000-0010-0000-0000-000010000000}" name="Series" dataDxfId="93" dataCellStyle="標準 8"/>
    <tableColumn id="7" xr3:uid="{00000000-0010-0000-0000-000007000000}" name="Series (Size)" dataDxfId="92" dataCellStyle="標準 8"/>
    <tableColumn id="8" xr3:uid="{00000000-0010-0000-0000-000008000000}" name="Automotive Grade" dataDxfId="91" dataCellStyle="標準 8"/>
    <tableColumn id="9" xr3:uid="{00000000-0010-0000-0000-000009000000}" name="Part Number" dataDxfId="90" dataCellStyle="標準 5 3"/>
    <tableColumn id="64" xr3:uid="{00000000-0010-0000-0000-000040000000}" name="仮1" dataDxfId="89" dataCellStyle="標準 5 3">
      <calculatedColumnFormula>MID(All_PCC_a[[#This Row],[Part Number]],7,3)</calculatedColumnFormula>
    </tableColumn>
    <tableColumn id="10" xr3:uid="{00000000-0010-0000-0000-00000A000000}" name="Lo (uH)" dataDxfId="88" dataCellStyle="標準 8"/>
    <tableColumn id="58" xr3:uid="{00000000-0010-0000-0000-00003A000000}" name="Lo RangeXX" dataDxfId="87" dataCellStyle="標準 9">
      <calculatedColumnFormula>IF(All_PCC_a[[#This Row],[Lo (uH)]]&lt;1,"&lt;1",IF(All_PCC_a[[#This Row],[Lo (uH)]]&lt;10,"&lt;10",IF(All_PCC_a[[#This Row],[Lo (uH)]]&lt;100,"&lt;100",IF(All_PCC_a[[#This Row],[Lo (uH)]]&lt;2000,"&lt;2000",""))))</calculatedColumnFormula>
    </tableColumn>
    <tableColumn id="65" xr3:uid="{00000000-0010-0000-0000-000041000000}" name="Lo Range (uH)" dataDxfId="86" dataCellStyle="標準 8 2">
      <calculatedColumnFormula>IFERROR(VLOOKUP(All_PCC_a[[#This Row],[Lo (uH)]],Utility!$D$5:$E$43,2,1),"-")</calculatedColumnFormula>
    </tableColumn>
    <tableColumn id="11" xr3:uid="{00000000-0010-0000-0000-00000B000000}" name="Lo Tol. (%)" dataDxfId="85" dataCellStyle="標準 8"/>
    <tableColumn id="21" xr3:uid="{00000000-0010-0000-0000-000015000000}" name="DCR Typ (mOhm)" dataDxfId="84" dataCellStyle="標準 8"/>
    <tableColumn id="22" xr3:uid="{00000000-0010-0000-0000-000016000000}" name="DCR Max (mOhm)" dataDxfId="83" dataCellStyle="標準 8 2 2"/>
    <tableColumn id="67" xr3:uid="{00000000-0010-0000-0000-000043000000}" name="DCR Tol. (%)" dataDxfId="82" dataCellStyle="標準 8 2"/>
    <tableColumn id="42" xr3:uid="{00000000-0010-0000-0000-00002A000000}" name="Method B (A typ at 40℃)" dataDxfId="81" dataCellStyle="標準 9"/>
    <tableColumn id="15" xr3:uid="{00000000-0010-0000-0000-00000F000000}" name="Method A (A typ at 40℃)" dataDxfId="80" dataCellStyle="標準 8"/>
    <tableColumn id="19" xr3:uid="{00000000-0010-0000-0000-000013000000}" name="⊿L=-30% _x000a_typ (A)" dataDxfId="79" dataCellStyle="標準 8"/>
    <tableColumn id="17" xr3:uid="{00000000-0010-0000-0000-000011000000}" name="⊿L=-20% _x000a_typ (A)" dataDxfId="78" dataCellStyle="標準 8"/>
    <tableColumn id="26" xr3:uid="{00000000-0010-0000-0000-00001A000000}" name="L (mm)" dataDxfId="77" dataCellStyle="標準 8"/>
    <tableColumn id="34" xr3:uid="{8FF7B566-8727-4E22-BD2F-0735D1EBCB26}" name="W (mm)" dataDxfId="76" dataCellStyle="標準 8 2 2"/>
    <tableColumn id="24" xr3:uid="{00000000-0010-0000-0000-000018000000}" name="Max Height (mm)" dataDxfId="75" dataCellStyle="標準 8"/>
    <tableColumn id="35" xr3:uid="{F1E388BE-2A9E-47BA-9EC3-327ECEDCABAF}" name="Area (mm2)" dataDxfId="74" dataCellStyle="標準 8 2 2">
      <calculatedColumnFormula>ROUND([1]!All_PCC_a[[#This Row],[L (mm)]]*[1]!All_PCC_a[[#This Row],[W (mm)]],1)</calculatedColumnFormula>
    </tableColumn>
    <tableColumn id="23" xr3:uid="{00000000-0010-0000-0000-000017000000}" name="Size (mm)" dataDxfId="73" dataCellStyle="標準 8">
      <calculatedColumnFormula>[1]!All_PCC_a[[#This Row],[L (mm)]]&amp;"  x  "&amp;[1]!All_PCC_a[[#This Row],[W (mm)]]</calculatedColumnFormula>
    </tableColumn>
    <tableColumn id="55" xr3:uid="{00000000-0010-0000-0000-000037000000}" name="Rough Size (mm)" dataDxfId="72" dataCellStyle="標準 9 3"/>
    <tableColumn id="61" xr3:uid="{00000000-0010-0000-0000-00003D000000}" name="Max Height Range (mm)" dataDxfId="71" dataCellStyle="標準 9">
      <calculatedColumnFormula>IF([1]!All_PCC_a[[#This Row],[Max Height (mm)]]&lt;=9,"≤ "&amp;ROUNDUP(AD11,0),"≤"&amp;ROUNDUP(AD11,0))</calculatedColumnFormula>
    </tableColumn>
    <tableColumn id="60" xr3:uid="{00000000-0010-0000-0000-00003C000000}" name="Min Temp (deg.C)" dataDxfId="70" dataCellStyle="標準 8"/>
    <tableColumn id="63" xr3:uid="{00000000-0010-0000-0000-00003F000000}" name="Max Temp (deg.C)" dataDxfId="69" dataCellStyle="標準 8"/>
    <tableColumn id="25" xr3:uid="{00000000-0010-0000-0000-000019000000}" name="Temp Range (deg.C)" dataDxfId="68" dataCellStyle="標準 8 2 2">
      <calculatedColumnFormula>All_PCC_a[[#This Row],[Min Temp (deg.C)]]&amp;" to +"&amp;All_PCC_a[[#This Row],[Max Temp (deg.C)]]</calculatedColumnFormula>
    </tableColumn>
    <tableColumn id="36" xr3:uid="{884658AF-C4FE-437E-8A89-F1E287625432}" name="Max Voltage (V)" dataDxfId="67" dataCellStyle="標準 8 2 2"/>
    <tableColumn id="70" xr3:uid="{00000000-0010-0000-0000-000046000000}" name="Vibration" dataDxfId="66" dataCellStyle="標準 8"/>
    <tableColumn id="27" xr3:uid="{00000000-0010-0000-0000-00001B000000}" name="MPQ" dataDxfId="65" dataCellStyle="標準 8"/>
    <tableColumn id="12" xr3:uid="{00000000-0010-0000-0000-00000C000000}" name="L1 (uH)" dataDxfId="64" dataCellStyle="標準 8 2 2"/>
    <tableColumn id="59" xr3:uid="{00000000-0010-0000-0000-00003B000000}" name="Rough L1 (uH)" dataDxfId="63" dataCellStyle="標準 9">
      <calculatedColumnFormula>IFERROR(IF(L1Round&gt;1,ROUND(L1Round,1),L1Round),"-")</calculatedColumnFormula>
    </tableColumn>
    <tableColumn id="13" xr3:uid="{00000000-0010-0000-0000-00000D000000}" name="L1 Tol. (%)" dataDxfId="62" dataCellStyle="標準 8 2 2"/>
    <tableColumn id="14" xr3:uid="{00000000-0010-0000-0000-00000E000000}" name="Ir (A)" dataDxfId="61" dataCellStyle="標準 8 2 2"/>
    <tableColumn id="28" xr3:uid="{00000000-0010-0000-0000-00001C000000}" name="URL" dataDxfId="60" dataCellStyle="標準 8"/>
    <tableColumn id="29" xr3:uid="{00000000-0010-0000-0000-00001D000000}" name="Image URL" dataDxfId="59" dataCellStyle="標準 8"/>
    <tableColumn id="30" xr3:uid="{00000000-0010-0000-0000-00001E000000}" name="add3" dataDxfId="58" dataCellStyle="標準 8">
      <calculatedColumnFormula>_xlfn.IMAGE(All_PCC_a[[#This Row],[Image URL]])</calculatedColumnFormula>
    </tableColumn>
    <tableColumn id="31" xr3:uid="{00000000-0010-0000-0000-00001F000000}" name="add4" dataDxfId="57" dataCellStyle="標準 8"/>
    <tableColumn id="32" xr3:uid="{00000000-0010-0000-0000-000020000000}" name="add5" dataDxfId="56" dataCellStyle="標準 8"/>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txDef>
      <a:spPr>
        <a:solidFill>
          <a:schemeClr val="lt1"/>
        </a:solidFill>
        <a:ln w="9525" cmpd="sng">
          <a:solidFill>
            <a:schemeClr val="lt1">
              <a:shade val="50000"/>
            </a:schemeClr>
          </a:solidFill>
        </a:ln>
      </a:spPr>
      <a:bodyPr vertOverflow="clip" horzOverflow="clip" wrap="square" lIns="36000" tIns="36000" rIns="36000" bIns="36000" rtlCol="0" anchor="t"/>
      <a:lstStyle>
        <a:defPPr>
          <a:defRPr kumimoji="1" sz="1100" b="1"/>
        </a:defPPr>
      </a:lstStyle>
      <a:style>
        <a:lnRef idx="0">
          <a:scrgbClr r="0" g="0" b="0"/>
        </a:lnRef>
        <a:fillRef idx="0">
          <a:scrgbClr r="0" g="0" b="0"/>
        </a:fillRef>
        <a:effectRef idx="0">
          <a:scrgbClr r="0" g="0" b="0"/>
        </a:effectRef>
        <a:fontRef idx="minor">
          <a:schemeClr val="dk1"/>
        </a:fontRef>
      </a:style>
    </a:tx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X120" dT="2023-03-07T04:50:55.14" personId="{00A15122-431C-4CFB-88C3-C04867159E57}" id="{409CF2E7-8158-46F5-9F3C-9D52F29BEDAA}">
    <text xml:space="preserve">- になっていたが、文字を入れると、小差順位がエラーになるので、空欄にした。
</text>
  </threadedComment>
  <threadedComment ref="Z120" dT="2023-03-07T04:50:55.14" personId="{00A15122-431C-4CFB-88C3-C04867159E57}" id="{31E2572E-4881-4397-A6A3-547F7ED54013}">
    <text>- になっていたが、文字を入れると、小差順位がエラーになるので、空欄にした。</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microsoft.com/office/2007/relationships/slicer" Target="../slicers/slicer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4.xml.rels><?xml version="1.0" encoding="UTF-8" standalone="yes"?>
<Relationships xmlns="http://schemas.openxmlformats.org/package/2006/relationships"><Relationship Id="rId8" Type="http://schemas.openxmlformats.org/officeDocument/2006/relationships/hyperlink" Target="https://industrial.panasonic.com/ww/products/inductors/inductors-for-consumer/inductors-for-consumer/metal-core-type-m1040lmc/ETQP4LR45XFC" TargetMode="External"/><Relationship Id="rId3" Type="http://schemas.openxmlformats.org/officeDocument/2006/relationships/hyperlink" Target="https://industrial.panasonic.com/ww/products/inductors/inductors-for-consumer/inductors-for-consumer/metal-core-type-m0740llmc/ETQP4LR24AFM" TargetMode="External"/><Relationship Id="rId7" Type="http://schemas.openxmlformats.org/officeDocument/2006/relationships/hyperlink" Target="https://industrial.panasonic.com/ww/products/inductors/inductors-for-consumer/inductors-for-consumer/metal-core-type-m0740llmc/ETQP4LR42AFM" TargetMode="External"/><Relationship Id="rId2" Type="http://schemas.openxmlformats.org/officeDocument/2006/relationships/hyperlink" Target="https://industrial.panasonic.com/ww/products/inductors/inductors-for-consumer/inductors-for-consumer/metal-core-type-m0730lmc/ETQP3LR24CFM" TargetMode="External"/><Relationship Id="rId1" Type="http://schemas.openxmlformats.org/officeDocument/2006/relationships/hyperlink" Target="https://industrial.panasonic.com/ww/products/inductors/inductors-for-consumer/inductors-for-consumer/metal-core-type-m1040lmc/ETQP4LR19WFC" TargetMode="External"/><Relationship Id="rId6" Type="http://schemas.openxmlformats.org/officeDocument/2006/relationships/hyperlink" Target="https://industrial.panasonic.com/ww/products/inductors/inductors-for-consumer/inductors-for-consumer/metal-core-type-m1040lmc/ETQP4LR36WFC" TargetMode="External"/><Relationship Id="rId11" Type="http://schemas.openxmlformats.org/officeDocument/2006/relationships/drawing" Target="../drawings/drawing4.xml"/><Relationship Id="rId5" Type="http://schemas.openxmlformats.org/officeDocument/2006/relationships/hyperlink" Target="https://industrial.panasonic.com/ww/products/inductors/inductors-for-consumer/inductors-for-consumer/metal-core-type-m1040llmc/ETQP4LR36AFC" TargetMode="External"/><Relationship Id="rId10" Type="http://schemas.openxmlformats.org/officeDocument/2006/relationships/printerSettings" Target="../printerSettings/printerSettings4.bin"/><Relationship Id="rId4" Type="http://schemas.openxmlformats.org/officeDocument/2006/relationships/hyperlink" Target="https://industrial.panasonic.com/ww/products/inductors/inductors-for-consumer/inductors-for-consumer/metal-core-type-m0740llmc/ETQP4LR36AFM" TargetMode="External"/><Relationship Id="rId9" Type="http://schemas.openxmlformats.org/officeDocument/2006/relationships/hyperlink" Target="https://industrial.panasonic.com/jp/products/pt/inductors-for-consumer/models/ETQP5LR60XFA"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industrial.panasonic.com/ww/products/pt/inductors-for-consumer/models/ETQP4LR42AFM" TargetMode="External"/><Relationship Id="rId13" Type="http://schemas.openxmlformats.org/officeDocument/2006/relationships/hyperlink" Target="https://industrial.panasonic.com/ww/products/pt/inductors-for-consumer/models/ETQP3LR24CFM" TargetMode="External"/><Relationship Id="rId18" Type="http://schemas.openxmlformats.org/officeDocument/2006/relationships/table" Target="../tables/table2.xml"/><Relationship Id="rId3" Type="http://schemas.openxmlformats.org/officeDocument/2006/relationships/hyperlink" Target="https://industrial.panasonic.com/ww/products/pt/inductors-for-consumer/models/ETQP4LR15AFM" TargetMode="External"/><Relationship Id="rId7" Type="http://schemas.openxmlformats.org/officeDocument/2006/relationships/hyperlink" Target="https://industrial.panasonic.com/ww/products/pt/inductors-for-consumer/models/ETQP4LR45XFC" TargetMode="External"/><Relationship Id="rId12" Type="http://schemas.openxmlformats.org/officeDocument/2006/relationships/hyperlink" Target="https://industrial.panasonic.com/ww/products/pt/inductors-for-consumer/models/ETQP4LR24AFM" TargetMode="External"/><Relationship Id="rId17" Type="http://schemas.openxmlformats.org/officeDocument/2006/relationships/vmlDrawing" Target="../drawings/vmlDrawing4.vml"/><Relationship Id="rId2" Type="http://schemas.openxmlformats.org/officeDocument/2006/relationships/hyperlink" Target="https://industrial.panasonic.com/ww/products/pt/inductors-for-consumer/models/ETQP4LR15AFC" TargetMode="External"/><Relationship Id="rId16" Type="http://schemas.openxmlformats.org/officeDocument/2006/relationships/drawing" Target="../drawings/drawing6.xml"/><Relationship Id="rId20" Type="http://schemas.microsoft.com/office/2017/10/relationships/threadedComment" Target="../threadedComments/threadedComment1.xml"/><Relationship Id="rId1" Type="http://schemas.openxmlformats.org/officeDocument/2006/relationships/hyperlink" Target="https://industrial.panasonic.com/content/data/CC/pictures/lineup-Metal-core.gif" TargetMode="External"/><Relationship Id="rId6" Type="http://schemas.openxmlformats.org/officeDocument/2006/relationships/hyperlink" Target="https://industrial.panasonic.com/ww/products/pt/inductors-for-consumer/models/ETQP4LR56WFC" TargetMode="External"/><Relationship Id="rId11" Type="http://schemas.openxmlformats.org/officeDocument/2006/relationships/hyperlink" Target="https://industrial.panasonic.com/ww/products/pt/inductors-for-consumer/models/ETQP4LR36AFM" TargetMode="External"/><Relationship Id="rId5" Type="http://schemas.openxmlformats.org/officeDocument/2006/relationships/hyperlink" Target="https://industrial.panasonic.com/ww/products/pt/inductors-for-consumer/models/ETQP4LR68XFC" TargetMode="External"/><Relationship Id="rId15" Type="http://schemas.openxmlformats.org/officeDocument/2006/relationships/printerSettings" Target="../printerSettings/printerSettings6.bin"/><Relationship Id="rId10" Type="http://schemas.openxmlformats.org/officeDocument/2006/relationships/hyperlink" Target="https://industrial.panasonic.com/ww/products/pt/inductors-for-consumer/models/ETQP4LR36AFC" TargetMode="External"/><Relationship Id="rId19" Type="http://schemas.openxmlformats.org/officeDocument/2006/relationships/comments" Target="../comments2.xml"/><Relationship Id="rId4" Type="http://schemas.openxmlformats.org/officeDocument/2006/relationships/hyperlink" Target="https://industrial.panasonic.com/ww/products/pt/inductors-for-consumer/models/ETQP3LR15CFM" TargetMode="External"/><Relationship Id="rId9" Type="http://schemas.openxmlformats.org/officeDocument/2006/relationships/hyperlink" Target="https://industrial.panasonic.com/ww/products/pt/inductors-for-consumer/models/ETQP4LR36WFC" TargetMode="External"/><Relationship Id="rId14" Type="http://schemas.openxmlformats.org/officeDocument/2006/relationships/hyperlink" Target="https://industrial.panasonic.com/ww/products/pt/inductors-for-consumer/models/ETQP4LR19WFC" TargetMode="External"/></Relationships>
</file>

<file path=xl/worksheets/_rels/sheet7.xml.rels><?xml version="1.0" encoding="UTF-8" standalone="yes"?>
<Relationships xmlns="http://schemas.openxmlformats.org/package/2006/relationships"><Relationship Id="rId13" Type="http://schemas.openxmlformats.org/officeDocument/2006/relationships/hyperlink" Target="https://industrial.panasonic.com/ww/ss/technical/lc5" TargetMode="External"/><Relationship Id="rId18" Type="http://schemas.openxmlformats.org/officeDocument/2006/relationships/hyperlink" Target="https://www.onsemi.jp/design/tools-software/evaluation-board/str-adas-preregulator-gevk" TargetMode="External"/><Relationship Id="rId26" Type="http://schemas.openxmlformats.org/officeDocument/2006/relationships/hyperlink" Target="https://www.ti.com/tool/PMP30059" TargetMode="External"/><Relationship Id="rId3" Type="http://schemas.openxmlformats.org/officeDocument/2006/relationships/hyperlink" Target="https://industrial.panasonic.com/content/data/CC/pictures/en_pcc_car1.png" TargetMode="External"/><Relationship Id="rId21" Type="http://schemas.openxmlformats.org/officeDocument/2006/relationships/hyperlink" Target="https://www.renesas.com/us/en/products/automotive-products/automotive-power-management/automotive-multiple-output-controllers/isl78263-automotive-42v-dual-synchronous-boost-and-low-iq-buck-controllers-integrated-drivers" TargetMode="External"/><Relationship Id="rId34" Type="http://schemas.openxmlformats.org/officeDocument/2006/relationships/comments" Target="../comments3.xml"/><Relationship Id="rId7" Type="http://schemas.openxmlformats.org/officeDocument/2006/relationships/hyperlink" Target="https://industrial.panasonic.com/content/data/common/ss-files/tech60-00.png" TargetMode="External"/><Relationship Id="rId12" Type="http://schemas.openxmlformats.org/officeDocument/2006/relationships/hyperlink" Target="https://encrypted-tbn0.gstatic.com/images?q=tbn:ANd9GcSMZlEXv7IM3HZ1_qdbP2OIpmkb2lKs6WvZCg&amp;usqp=CAU" TargetMode="External"/><Relationship Id="rId17" Type="http://schemas.openxmlformats.org/officeDocument/2006/relationships/hyperlink" Target="https://www.ti.com/tool/en-us/LM3414HVSDEVAL" TargetMode="External"/><Relationship Id="rId25" Type="http://schemas.openxmlformats.org/officeDocument/2006/relationships/hyperlink" Target="https://www.ti.com/content/dam/ticom/images/products/design-boards/systems/pds-ace-europe/PMP30059-design-board.JPG:large" TargetMode="External"/><Relationship Id="rId33" Type="http://schemas.openxmlformats.org/officeDocument/2006/relationships/vmlDrawing" Target="../drawings/vmlDrawing5.vml"/><Relationship Id="rId2" Type="http://schemas.openxmlformats.org/officeDocument/2006/relationships/hyperlink" Target="https://upload.wikimedia.org/wikipedia/commons/thumb/e/e7/Tesla_Autopilot_Engaged_in_Model_X.jpg/1280px-Tesla_Autopilot_Engaged_in_Model_X.jpg" TargetMode="External"/><Relationship Id="rId16" Type="http://schemas.openxmlformats.org/officeDocument/2006/relationships/hyperlink" Target="https://industrial.panasonic.com/jp/ss/technical/p5" TargetMode="External"/><Relationship Id="rId20" Type="http://schemas.openxmlformats.org/officeDocument/2006/relationships/hyperlink" Target="https://www.digikey.fi/en/products/detail/analog-devices-inc/DC2738A/9809406" TargetMode="External"/><Relationship Id="rId29" Type="http://schemas.openxmlformats.org/officeDocument/2006/relationships/hyperlink" Target="https://www.renesas.com/us/en/products/automotive-products/automotive-power-management/mcu-pmic/da9213-multiphase-20a-output-current-sub-pmic" TargetMode="External"/><Relationship Id="rId1" Type="http://schemas.openxmlformats.org/officeDocument/2006/relationships/pivotTable" Target="../pivotTables/pivotTable2.xml"/><Relationship Id="rId6" Type="http://schemas.openxmlformats.org/officeDocument/2006/relationships/hyperlink" Target="https://industrial.panasonic.com/content/data/common/ss-files/tech35-10.png" TargetMode="External"/><Relationship Id="rId11" Type="http://schemas.openxmlformats.org/officeDocument/2006/relationships/hyperlink" Target="https://industrial.panasonic.com/content/data/CP/pictures/custom_made_xev_01.jpg" TargetMode="External"/><Relationship Id="rId24" Type="http://schemas.openxmlformats.org/officeDocument/2006/relationships/hyperlink" Target="https://vayyar.com/auto/technology/60ghz/" TargetMode="External"/><Relationship Id="rId32" Type="http://schemas.openxmlformats.org/officeDocument/2006/relationships/drawing" Target="../drawings/drawing7.xml"/><Relationship Id="rId5" Type="http://schemas.openxmlformats.org/officeDocument/2006/relationships/hyperlink" Target="https://media.rs-online.com/t_large/R1859636-01.jpg" TargetMode="External"/><Relationship Id="rId15" Type="http://schemas.openxmlformats.org/officeDocument/2006/relationships/hyperlink" Target="https://industrial.panasonic.com/jp/ss/technical/ap1" TargetMode="External"/><Relationship Id="rId23" Type="http://schemas.openxmlformats.org/officeDocument/2006/relationships/hyperlink" Target="https://www.mouser.cn/images/marketingid/2020/img/108757013.png" TargetMode="External"/><Relationship Id="rId28" Type="http://schemas.openxmlformats.org/officeDocument/2006/relationships/hyperlink" Target="https://vayyar.com/auto/technology/79ghz/" TargetMode="External"/><Relationship Id="rId10" Type="http://schemas.openxmlformats.org/officeDocument/2006/relationships/hyperlink" Target="https://industrial.panasonic.com/content/data/common/ss-files/tech53-02_ww.png" TargetMode="External"/><Relationship Id="rId19" Type="http://schemas.openxmlformats.org/officeDocument/2006/relationships/hyperlink" Target="https://www.onsemi.jp/design/tools-software/evaluation-board/str-usbc-2port-100w-evk" TargetMode="External"/><Relationship Id="rId31" Type="http://schemas.openxmlformats.org/officeDocument/2006/relationships/printerSettings" Target="../printerSettings/printerSettings7.bin"/><Relationship Id="rId4" Type="http://schemas.openxmlformats.org/officeDocument/2006/relationships/hyperlink" Target="https://industrial.panasonic.com/content/data/CP/pictures/almi-app01-01b.jpg" TargetMode="External"/><Relationship Id="rId9" Type="http://schemas.openxmlformats.org/officeDocument/2006/relationships/hyperlink" Target="https://industrial.panasonic.com/content/data/ID/pictures/appli_automotive_caravsystem_rwd.jpg" TargetMode="External"/><Relationship Id="rId14" Type="http://schemas.openxmlformats.org/officeDocument/2006/relationships/hyperlink" Target="https://industrial.panasonic.com/ww/products/pt/automotive-inductors" TargetMode="External"/><Relationship Id="rId22" Type="http://schemas.openxmlformats.org/officeDocument/2006/relationships/hyperlink" Target="https://www.ti.com/content/dam/ticom/images/products/ic/power-management/led-driver/boards/lm3414hvsdevalnopb-top.png" TargetMode="External"/><Relationship Id="rId27" Type="http://schemas.openxmlformats.org/officeDocument/2006/relationships/hyperlink" Target="https://www.onsemi.jp/site/images/STR-USBC-2PORT-100W-EVK.gif" TargetMode="External"/><Relationship Id="rId30" Type="http://schemas.openxmlformats.org/officeDocument/2006/relationships/hyperlink" Target="https://www.renesas.com/sites/default/files/styles/two_columns/public/blockdiagram_da9213.jpg?itok=uRKNgnAx" TargetMode="External"/><Relationship Id="rId8" Type="http://schemas.openxmlformats.org/officeDocument/2006/relationships/hyperlink" Target="https://industrial.panasonic.com/content/data/common/ss-files/tech62-top.jpg"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tabColor rgb="FF0070C0"/>
    <pageSetUpPr fitToPage="1"/>
  </sheetPr>
  <dimension ref="A1:CE1890"/>
  <sheetViews>
    <sheetView showGridLines="0" zoomScale="90" zoomScaleNormal="90" workbookViewId="0">
      <selection activeCell="B4" sqref="B4"/>
    </sheetView>
  </sheetViews>
  <sheetFormatPr defaultColWidth="9" defaultRowHeight="13.9" customHeight="1" outlineLevelCol="1"/>
  <cols>
    <col min="1" max="1" width="0.85546875" style="15" customWidth="1" outlineLevel="1"/>
    <col min="2" max="2" width="13.28515625" style="15" customWidth="1" outlineLevel="1"/>
    <col min="3" max="3" width="7.140625" style="15" customWidth="1" outlineLevel="1"/>
    <col min="4" max="4" width="14.7109375" style="15" customWidth="1" outlineLevel="1"/>
    <col min="5" max="5" width="13" style="15" customWidth="1" outlineLevel="1"/>
    <col min="6" max="6" width="14.42578125" style="15" customWidth="1" outlineLevel="1"/>
    <col min="7" max="7" width="13.7109375" style="15" customWidth="1" outlineLevel="1"/>
    <col min="8" max="8" width="0.85546875" style="15" customWidth="1" outlineLevel="1"/>
    <col min="9" max="39" width="2.7109375" style="15" customWidth="1"/>
    <col min="40" max="40" width="7.7109375" style="22" customWidth="1"/>
    <col min="41" max="41" width="4.7109375" style="294" customWidth="1" outlineLevel="1"/>
    <col min="42" max="42" width="8.7109375" style="22" customWidth="1"/>
    <col min="43" max="43" width="8.7109375" style="146" customWidth="1" outlineLevel="1"/>
    <col min="44" max="44" width="8.7109375" style="22" customWidth="1"/>
    <col min="45" max="45" width="8.7109375" style="27" customWidth="1" outlineLevel="1"/>
    <col min="46" max="46" width="7.7109375" style="22" customWidth="1"/>
    <col min="47" max="47" width="7.7109375" style="22" customWidth="1" outlineLevel="1"/>
    <col min="48" max="48" width="10.7109375" style="22" customWidth="1"/>
    <col min="49" max="49" width="6.7109375" style="22" customWidth="1"/>
    <col min="50" max="50" width="11.85546875" style="22" customWidth="1"/>
    <col min="51" max="51" width="7.28515625" style="22" customWidth="1"/>
    <col min="52" max="52" width="5.85546875" style="22" customWidth="1"/>
    <col min="53" max="53" width="18.7109375" style="22" customWidth="1"/>
    <col min="54" max="54" width="11.5703125" style="22" customWidth="1"/>
    <col min="55" max="55" width="11.5703125" style="579" customWidth="1"/>
    <col min="56" max="56" width="3.28515625" style="579" customWidth="1"/>
    <col min="57" max="57" width="7.28515625" style="22" customWidth="1"/>
    <col min="58" max="58" width="10.7109375" style="22" customWidth="1"/>
    <col min="59" max="59" width="10.140625" style="15" customWidth="1"/>
    <col min="60" max="60" width="0.7109375" style="15" customWidth="1"/>
    <col min="61" max="61" width="10.28515625" style="15" customWidth="1" outlineLevel="1"/>
    <col min="62" max="62" width="9.7109375" style="22" customWidth="1" outlineLevel="1"/>
    <col min="63" max="63" width="10.85546875" style="22" customWidth="1"/>
    <col min="64" max="64" width="18.7109375" style="15" customWidth="1"/>
    <col min="65" max="16384" width="9" style="15"/>
  </cols>
  <sheetData>
    <row r="1" spans="1:83" ht="15" customHeight="1">
      <c r="A1" s="261" t="s">
        <v>0</v>
      </c>
      <c r="F1" s="16"/>
      <c r="G1" s="16"/>
      <c r="H1" s="16"/>
      <c r="I1" s="16"/>
      <c r="J1" s="16"/>
      <c r="K1" s="16"/>
      <c r="L1" s="16"/>
      <c r="M1" s="16"/>
      <c r="N1" s="16"/>
      <c r="O1" s="16"/>
      <c r="P1" s="16"/>
      <c r="Q1" s="16"/>
      <c r="R1" s="16"/>
      <c r="S1" s="16"/>
      <c r="T1" s="16"/>
      <c r="U1" s="16"/>
      <c r="V1" s="16"/>
      <c r="W1" s="16"/>
      <c r="X1" s="16"/>
      <c r="Y1" s="16"/>
      <c r="Z1" s="16"/>
      <c r="AA1" s="16"/>
      <c r="AB1" s="16"/>
      <c r="AC1" s="16"/>
      <c r="AD1" s="16"/>
      <c r="AE1" s="16"/>
      <c r="AF1" s="16"/>
      <c r="AG1" s="16"/>
      <c r="AH1" s="16"/>
      <c r="AI1" s="16"/>
      <c r="AJ1" s="16"/>
      <c r="AK1" s="16"/>
      <c r="AL1" s="16"/>
      <c r="AM1" s="16"/>
      <c r="AN1" s="16"/>
      <c r="AO1" s="289"/>
      <c r="AP1" s="16"/>
      <c r="AQ1" s="28"/>
      <c r="AR1" s="16"/>
      <c r="AS1" s="25"/>
      <c r="AT1" s="16"/>
      <c r="AU1" s="16"/>
      <c r="AV1" s="16"/>
      <c r="AW1" s="16"/>
      <c r="AX1" s="16"/>
      <c r="AY1" s="16"/>
      <c r="AZ1" s="16"/>
      <c r="BA1" s="16"/>
      <c r="BB1" s="16"/>
      <c r="BC1" s="575"/>
      <c r="BD1" s="575"/>
      <c r="BE1" s="16"/>
      <c r="BF1" s="16"/>
      <c r="BG1" s="16"/>
      <c r="BH1" s="16"/>
      <c r="BI1" s="16"/>
      <c r="BJ1" s="33"/>
      <c r="BK1" s="33"/>
      <c r="BL1" s="16"/>
      <c r="BM1" s="16"/>
      <c r="BN1" s="16"/>
      <c r="BO1" s="16"/>
      <c r="BP1" s="16"/>
      <c r="BQ1" s="16"/>
      <c r="CE1" s="15">
        <f>COUNTA(BA:BA)-1</f>
        <v>150</v>
      </c>
    </row>
    <row r="2" spans="1:83" ht="15" customHeight="1">
      <c r="A2" s="263" t="s">
        <v>1</v>
      </c>
      <c r="B2" s="262"/>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289"/>
      <c r="AP2" s="16"/>
      <c r="AQ2" s="28"/>
      <c r="AR2" s="16"/>
      <c r="AS2" s="25"/>
      <c r="AT2" s="16"/>
      <c r="AU2" s="16"/>
      <c r="AV2" s="16"/>
      <c r="AW2" s="16"/>
      <c r="AX2" s="16"/>
      <c r="AY2" s="16"/>
      <c r="AZ2" s="16"/>
      <c r="BA2" s="16"/>
      <c r="BB2" s="16"/>
      <c r="BC2" s="575"/>
      <c r="BD2" s="575"/>
      <c r="BE2" s="16"/>
      <c r="BF2" s="16"/>
      <c r="BG2" s="16"/>
      <c r="BH2" s="16"/>
      <c r="BI2" s="16"/>
      <c r="BJ2" s="33"/>
      <c r="BK2" s="33"/>
      <c r="BL2" s="16"/>
      <c r="BM2" s="16"/>
      <c r="BN2" s="16"/>
      <c r="BO2" s="16"/>
      <c r="BP2" s="16"/>
      <c r="BQ2" s="16"/>
    </row>
    <row r="3" spans="1:83" ht="25.15" customHeight="1">
      <c r="A3" s="8" t="s">
        <v>2</v>
      </c>
      <c r="B3" s="9"/>
      <c r="C3" s="10"/>
      <c r="D3" s="14"/>
      <c r="E3" s="10"/>
      <c r="F3" s="10"/>
      <c r="G3" s="13"/>
      <c r="H3" s="13"/>
      <c r="AM3" s="11"/>
      <c r="AN3" s="287" t="s">
        <v>3</v>
      </c>
      <c r="AO3" s="290"/>
      <c r="AP3" s="23"/>
      <c r="AQ3" s="29"/>
      <c r="AR3" s="23"/>
      <c r="AS3" s="26"/>
      <c r="AT3" s="24"/>
      <c r="AU3" s="23"/>
      <c r="AV3" s="23"/>
      <c r="AW3" s="17"/>
      <c r="AX3" s="17"/>
      <c r="AY3" s="17"/>
      <c r="AZ3" s="17"/>
      <c r="BA3" s="17"/>
      <c r="BB3" s="16"/>
      <c r="BC3" s="575"/>
      <c r="BD3" s="575"/>
      <c r="BE3" s="16"/>
      <c r="BF3" s="16"/>
      <c r="BG3" s="16"/>
      <c r="BH3"/>
      <c r="BI3"/>
      <c r="BJ3"/>
      <c r="BK3"/>
      <c r="BL3"/>
    </row>
    <row r="4" spans="1:83" ht="13.9" customHeight="1">
      <c r="A4" s="17"/>
      <c r="B4" s="17"/>
      <c r="C4" s="17"/>
      <c r="D4" s="17"/>
      <c r="E4" s="17"/>
      <c r="F4" s="17"/>
      <c r="G4" s="17"/>
      <c r="H4" s="17"/>
      <c r="AN4" s="288"/>
      <c r="AO4" s="291"/>
      <c r="AP4" s="19"/>
      <c r="AQ4" s="19"/>
      <c r="AR4" s="19"/>
      <c r="AS4" s="19"/>
      <c r="AT4" s="19"/>
      <c r="AU4" s="19"/>
      <c r="AV4" s="18"/>
      <c r="AW4" s="18"/>
      <c r="AX4" s="20"/>
      <c r="AY4" s="20"/>
      <c r="AZ4" s="20"/>
      <c r="BA4" s="20"/>
      <c r="BB4" s="16"/>
      <c r="BC4" s="575"/>
      <c r="BD4" s="575"/>
      <c r="BE4" s="16"/>
      <c r="BF4" s="16"/>
      <c r="BG4" s="16"/>
      <c r="BH4"/>
      <c r="BI4"/>
      <c r="BJ4"/>
      <c r="BK4"/>
      <c r="BL4"/>
    </row>
    <row r="5" spans="1:83" ht="25.9" customHeight="1">
      <c r="A5" s="17"/>
      <c r="B5" s="17"/>
      <c r="C5" s="17"/>
      <c r="D5" s="17"/>
      <c r="E5" s="17"/>
      <c r="F5" s="17"/>
      <c r="G5" s="17"/>
      <c r="H5" s="17"/>
      <c r="AN5" s="21"/>
      <c r="AO5" s="292"/>
      <c r="AP5" s="21"/>
      <c r="AQ5" s="30"/>
      <c r="AR5" s="15"/>
      <c r="AT5" s="15"/>
      <c r="AU5" s="7"/>
      <c r="AV5" s="7"/>
      <c r="AW5" s="7"/>
      <c r="AX5" s="15"/>
      <c r="AY5" s="15"/>
      <c r="AZ5" s="15"/>
      <c r="BA5" s="15"/>
      <c r="BB5" s="15"/>
      <c r="BC5" s="576"/>
      <c r="BD5" s="576"/>
      <c r="BE5" s="15"/>
      <c r="BF5"/>
      <c r="BG5"/>
      <c r="BH5"/>
      <c r="BI5"/>
      <c r="BJ5"/>
      <c r="BK5"/>
      <c r="BL5"/>
      <c r="BV5" s="65"/>
    </row>
    <row r="6" spans="1:83" ht="36">
      <c r="A6" s="17"/>
      <c r="B6" s="17"/>
      <c r="C6" s="17"/>
      <c r="D6" s="17"/>
      <c r="E6" s="17"/>
      <c r="F6" s="17"/>
      <c r="G6" s="17"/>
      <c r="H6" s="17"/>
      <c r="AN6" s="606" t="s">
        <v>4</v>
      </c>
      <c r="AO6" s="592" t="s">
        <v>5</v>
      </c>
      <c r="AP6" s="587" t="s">
        <v>6</v>
      </c>
      <c r="AQ6" s="587" t="s">
        <v>7</v>
      </c>
      <c r="AR6" s="587" t="s">
        <v>8</v>
      </c>
      <c r="AS6" s="591" t="s">
        <v>1089</v>
      </c>
      <c r="AT6" s="587" t="s">
        <v>10</v>
      </c>
      <c r="AU6" s="587" t="s">
        <v>11</v>
      </c>
      <c r="AV6" s="580" t="s">
        <v>12</v>
      </c>
      <c r="AW6" s="581" t="s">
        <v>13</v>
      </c>
      <c r="AX6" s="581" t="s">
        <v>14</v>
      </c>
      <c r="AY6" s="591" t="s">
        <v>15</v>
      </c>
      <c r="AZ6" s="580" t="s">
        <v>16</v>
      </c>
      <c r="BA6" s="588" t="s">
        <v>17</v>
      </c>
      <c r="BB6" s="582" t="s">
        <v>18</v>
      </c>
      <c r="BC6" s="577"/>
      <c r="BD6" s="577"/>
      <c r="BE6"/>
      <c r="BF6"/>
      <c r="BI6" s="229" t="s">
        <v>19</v>
      </c>
      <c r="BJ6" s="229" t="s">
        <v>20</v>
      </c>
      <c r="BK6"/>
      <c r="BL6"/>
      <c r="BM6"/>
    </row>
    <row r="7" spans="1:83" ht="12.75">
      <c r="A7" s="17"/>
      <c r="B7" s="17"/>
      <c r="C7" s="17"/>
      <c r="D7" s="17"/>
      <c r="E7" s="17"/>
      <c r="F7" s="17"/>
      <c r="G7" s="17"/>
      <c r="H7" s="17"/>
      <c r="AN7" s="583">
        <v>0.105</v>
      </c>
      <c r="AO7" s="583">
        <v>0.2</v>
      </c>
      <c r="AP7" s="583">
        <v>22.7</v>
      </c>
      <c r="AQ7" s="583">
        <v>18.899999999999999</v>
      </c>
      <c r="AR7" s="583">
        <v>37.299999999999997</v>
      </c>
      <c r="AS7" s="583">
        <v>25.5</v>
      </c>
      <c r="AT7" s="583">
        <v>1.52</v>
      </c>
      <c r="AU7" s="583">
        <v>1.67</v>
      </c>
      <c r="AV7" s="583" t="s">
        <v>26</v>
      </c>
      <c r="AW7" s="583">
        <v>3</v>
      </c>
      <c r="AX7" s="583" t="s">
        <v>851</v>
      </c>
      <c r="AY7" s="583" t="s">
        <v>22</v>
      </c>
      <c r="AZ7" s="583" t="s">
        <v>23</v>
      </c>
      <c r="BA7" s="589" t="s">
        <v>861</v>
      </c>
      <c r="BB7" s="584" t="s">
        <v>1015</v>
      </c>
      <c r="BC7" s="576" t="str">
        <f>IF(BA7="","",
INDEX('All Data'!$AT:$AT,MATCH(BA7,'All Data'!$O:$O,0)))</f>
        <v>https://industrial.panasonic.com/content/data/CC/pictures/lineup-LP.gif</v>
      </c>
      <c r="BD7" s="576" t="e" vm="1">
        <f>IF(BA7="","",IFERROR(_xlfn.IMAGE(BC7,"--"),"--"))</f>
        <v>#VALUE!</v>
      </c>
      <c r="BE7"/>
      <c r="BF7"/>
      <c r="BI7" s="574" t="str">
        <f>IF(BA7="","",
INDEX('All Data'!$K:$K,MATCH(BA7,'All Data'!$O:$O,0)))</f>
        <v>LP (Low Profile)</v>
      </c>
      <c r="BJ7" s="267" t="str">
        <f>IF(BB7="","",HYPERLINK(BB7))</f>
        <v>https://industrial.panasonic.com/ww/products/pt/automotive-inductors/models/ETQP3MR10KVP</v>
      </c>
      <c r="BK7"/>
      <c r="BL7"/>
      <c r="BM7"/>
    </row>
    <row r="8" spans="1:83" ht="12.75">
      <c r="A8" s="17"/>
      <c r="B8" s="17"/>
      <c r="C8" s="17"/>
      <c r="D8" s="17"/>
      <c r="E8" s="17"/>
      <c r="F8" s="17"/>
      <c r="G8" s="17"/>
      <c r="H8" s="17"/>
      <c r="AN8" s="583">
        <v>0.22</v>
      </c>
      <c r="AO8" s="583">
        <v>0.2</v>
      </c>
      <c r="AP8" s="583">
        <v>44</v>
      </c>
      <c r="AQ8" s="583">
        <v>32</v>
      </c>
      <c r="AR8" s="583">
        <v>63.7</v>
      </c>
      <c r="AS8" s="583">
        <v>45</v>
      </c>
      <c r="AT8" s="583">
        <v>0.71</v>
      </c>
      <c r="AU8" s="583">
        <v>0.78</v>
      </c>
      <c r="AV8" s="583" t="s">
        <v>849</v>
      </c>
      <c r="AW8" s="583">
        <v>5</v>
      </c>
      <c r="AX8" s="583" t="s">
        <v>851</v>
      </c>
      <c r="AY8" s="583" t="s">
        <v>22</v>
      </c>
      <c r="AZ8" s="583" t="s">
        <v>23</v>
      </c>
      <c r="BA8" s="589" t="s">
        <v>1030</v>
      </c>
      <c r="BB8" s="584" t="s">
        <v>1012</v>
      </c>
      <c r="BC8" s="576" t="str">
        <f>IF(BA8="","",
INDEX('All Data'!$AT:$AT,MATCH(BA8,'All Data'!$O:$O,0)))</f>
        <v>https://industrial.panasonic.com/content/data/CC/pictures/lineup-LL.gif</v>
      </c>
      <c r="BD8" s="576" t="e" vm="2">
        <f t="shared" ref="BD8:BD46" si="0">IF(BA8="","",IFERROR(_xlfn.IMAGE(BC8,"--"),"--"))</f>
        <v>#VALUE!</v>
      </c>
      <c r="BE8"/>
      <c r="BF8"/>
      <c r="BG8"/>
      <c r="BH8"/>
      <c r="BI8" s="574" t="str">
        <f>IF(BA8="","",
INDEX('All Data'!$K:$K,MATCH(BA8,'All Data'!$O:$O,0)))</f>
        <v>LL (Low Inductance)</v>
      </c>
      <c r="BJ8" s="267" t="str">
        <f t="shared" ref="BJ8:BJ39" si="1">IF(BB8="","",HYPERLINK(BB8))</f>
        <v>https://industrial.panasonic.com/ww/products/pt/automotive-inductors/models/ETQP3M220KVP</v>
      </c>
      <c r="BK8"/>
      <c r="BL8"/>
      <c r="BM8"/>
    </row>
    <row r="9" spans="1:83" ht="12.75">
      <c r="A9" s="17"/>
      <c r="B9" s="17"/>
      <c r="C9" s="17"/>
      <c r="D9" s="17"/>
      <c r="E9" s="17"/>
      <c r="F9" s="17"/>
      <c r="G9" s="17"/>
      <c r="H9" s="17"/>
      <c r="AN9" s="583">
        <v>0.33</v>
      </c>
      <c r="AO9" s="604">
        <v>0.2</v>
      </c>
      <c r="AP9" s="583">
        <v>39.700000000000003</v>
      </c>
      <c r="AQ9" s="583">
        <v>33.200000000000003</v>
      </c>
      <c r="AR9" s="583">
        <v>56.7</v>
      </c>
      <c r="AS9" s="583">
        <v>42.63</v>
      </c>
      <c r="AT9" s="583">
        <v>1.1000000000000001</v>
      </c>
      <c r="AU9" s="583">
        <v>1.21</v>
      </c>
      <c r="AV9" s="583" t="s">
        <v>21</v>
      </c>
      <c r="AW9" s="583">
        <v>5</v>
      </c>
      <c r="AX9" s="583" t="s">
        <v>852</v>
      </c>
      <c r="AY9" s="583" t="s">
        <v>22</v>
      </c>
      <c r="AZ9" s="583" t="s">
        <v>23</v>
      </c>
      <c r="BA9" s="589" t="s">
        <v>24</v>
      </c>
      <c r="BB9" s="584" t="s">
        <v>878</v>
      </c>
      <c r="BC9" s="576" t="str">
        <f>IF(BA9="","",
INDEX('All Data'!$AT:$AT,MATCH(BA9,'All Data'!$O:$O,0)))</f>
        <v>https://industrial.panasonic.com/content/data/CC/pictures/lineup-Metal-core.gif</v>
      </c>
      <c r="BD9" s="576" t="e" vm="3">
        <f t="shared" si="0"/>
        <v>#VALUE!</v>
      </c>
      <c r="BE9"/>
      <c r="BF9"/>
      <c r="BG9"/>
      <c r="BH9"/>
      <c r="BI9" s="574" t="str">
        <f>IF(BA9="","",
INDEX('All Data'!$K:$K,MATCH(BA9,'All Data'!$O:$O,0)))</f>
        <v>High Isat (Standard)</v>
      </c>
      <c r="BJ9" s="267" t="str">
        <f t="shared" si="1"/>
        <v>https://industrial.panasonic.com/ww/products/pt/automotive-inductors/models/ETQP5MR33YLC</v>
      </c>
      <c r="BK9"/>
      <c r="BL9"/>
      <c r="BM9"/>
    </row>
    <row r="10" spans="1:83" ht="12.75">
      <c r="A10" s="17"/>
      <c r="B10" s="17"/>
      <c r="C10" s="17"/>
      <c r="D10" s="17"/>
      <c r="E10" s="17"/>
      <c r="F10" s="17"/>
      <c r="G10" s="17"/>
      <c r="H10" s="17"/>
      <c r="AN10" s="603"/>
      <c r="AO10" s="605"/>
      <c r="AP10" s="583">
        <v>53.5</v>
      </c>
      <c r="AQ10" s="583">
        <v>44.4</v>
      </c>
      <c r="AR10" s="583">
        <v>84.5</v>
      </c>
      <c r="AS10" s="583">
        <v>55.85</v>
      </c>
      <c r="AT10" s="583">
        <v>0.7</v>
      </c>
      <c r="AU10" s="583">
        <v>0.77</v>
      </c>
      <c r="AV10" s="583" t="s">
        <v>25</v>
      </c>
      <c r="AW10" s="583">
        <v>8</v>
      </c>
      <c r="AX10" s="583" t="s">
        <v>1031</v>
      </c>
      <c r="AY10" s="583" t="s">
        <v>22</v>
      </c>
      <c r="AZ10" s="583" t="s">
        <v>23</v>
      </c>
      <c r="BA10" s="589" t="s">
        <v>1032</v>
      </c>
      <c r="BB10" s="584" t="s">
        <v>879</v>
      </c>
      <c r="BC10" s="576" t="str">
        <f>IF(BA10="","",
INDEX('All Data'!$AT:$AT,MATCH(BA10,'All Data'!$O:$O,0)))</f>
        <v>https://industrial.panasonic.com/content/data/CC/pictures/lineup-Large%20current.gif</v>
      </c>
      <c r="BD10" s="576" t="e" vm="4">
        <f t="shared" si="0"/>
        <v>#VALUE!</v>
      </c>
      <c r="BE10"/>
      <c r="BF10"/>
      <c r="BG10"/>
      <c r="BH10"/>
      <c r="BI10" s="574" t="str">
        <f>IF(BA10="","",
INDEX('All Data'!$K:$K,MATCH(BA10,'All Data'!$O:$O,0)))</f>
        <v>High Current (≥□12)</v>
      </c>
      <c r="BJ10" s="267" t="str">
        <f t="shared" si="1"/>
        <v>https://industrial.panasonic.com/ww/products/pt/automotive-inductors/models/ETQP8MR33JFA</v>
      </c>
      <c r="BK10"/>
      <c r="BL10"/>
      <c r="BM10"/>
    </row>
    <row r="11" spans="1:83" ht="12.75">
      <c r="A11" s="17"/>
      <c r="B11" s="17"/>
      <c r="C11" s="17"/>
      <c r="D11" s="17"/>
      <c r="E11" s="17"/>
      <c r="F11" s="17"/>
      <c r="G11" s="17"/>
      <c r="H11" s="17"/>
      <c r="AN11" s="603"/>
      <c r="AO11" s="605"/>
      <c r="AP11" s="583">
        <v>12.7</v>
      </c>
      <c r="AQ11" s="583">
        <v>10.6</v>
      </c>
      <c r="AR11" s="583">
        <v>21.8</v>
      </c>
      <c r="AS11" s="583">
        <v>14.5</v>
      </c>
      <c r="AT11" s="583">
        <v>4.8499999999999996</v>
      </c>
      <c r="AU11" s="583">
        <v>5.34</v>
      </c>
      <c r="AV11" s="583" t="s">
        <v>26</v>
      </c>
      <c r="AW11" s="583">
        <v>3</v>
      </c>
      <c r="AX11" s="583" t="s">
        <v>851</v>
      </c>
      <c r="AY11" s="583" t="s">
        <v>22</v>
      </c>
      <c r="AZ11" s="583" t="s">
        <v>23</v>
      </c>
      <c r="BA11" s="589" t="s">
        <v>1033</v>
      </c>
      <c r="BB11" s="584" t="s">
        <v>880</v>
      </c>
      <c r="BC11" s="576" t="str">
        <f>IF(BA11="","",
INDEX('All Data'!$AT:$AT,MATCH(BA11,'All Data'!$O:$O,0)))</f>
        <v>https://industrial.panasonic.com/content/data/CC/pictures/lineup-LP.gif</v>
      </c>
      <c r="BD11" s="576" t="e" vm="1">
        <f t="shared" si="0"/>
        <v>#VALUE!</v>
      </c>
      <c r="BE11"/>
      <c r="BF11"/>
      <c r="BG11"/>
      <c r="BH11"/>
      <c r="BI11" s="574" t="str">
        <f>IF(BA11="","",
INDEX('All Data'!$K:$K,MATCH(BA11,'All Data'!$O:$O,0)))</f>
        <v>LP (Low Profile)</v>
      </c>
      <c r="BJ11" s="267" t="str">
        <f t="shared" si="1"/>
        <v>https://industrial.panasonic.com/ww/products/pt/automotive-inductors/models/ETQP3MR33KVP</v>
      </c>
      <c r="BK11"/>
      <c r="BL11"/>
      <c r="BM11"/>
    </row>
    <row r="12" spans="1:83" ht="12.75">
      <c r="A12" s="17"/>
      <c r="B12" s="17"/>
      <c r="C12" s="17"/>
      <c r="D12" s="17"/>
      <c r="E12" s="17"/>
      <c r="F12" s="17"/>
      <c r="G12" s="17"/>
      <c r="H12" s="17"/>
      <c r="AN12" s="603"/>
      <c r="AO12" s="605"/>
      <c r="AP12" s="583">
        <v>83</v>
      </c>
      <c r="AQ12" s="583">
        <v>69</v>
      </c>
      <c r="AR12" s="583">
        <v>103</v>
      </c>
      <c r="AS12" s="583">
        <v>75</v>
      </c>
      <c r="AT12" s="583">
        <v>0.42</v>
      </c>
      <c r="AU12" s="583">
        <v>0.48</v>
      </c>
      <c r="AV12" s="583" t="s">
        <v>27</v>
      </c>
      <c r="AW12" s="583">
        <v>10.5</v>
      </c>
      <c r="AX12" s="583" t="s">
        <v>1031</v>
      </c>
      <c r="AY12" s="583" t="s">
        <v>22</v>
      </c>
      <c r="AZ12" s="583" t="s">
        <v>23</v>
      </c>
      <c r="BA12" s="589" t="s">
        <v>1034</v>
      </c>
      <c r="BB12" s="584" t="s">
        <v>1005</v>
      </c>
      <c r="BC12" s="576" t="str">
        <f>IF(BA12="","",
INDEX('All Data'!$AT:$AT,MATCH(BA12,'All Data'!$O:$O,0)))</f>
        <v>https://industrial.panasonic.com/content/data/CC/pictures/lineup-Large%20current.gif</v>
      </c>
      <c r="BD12" s="576" t="e" vm="4">
        <f t="shared" si="0"/>
        <v>#VALUE!</v>
      </c>
      <c r="BE12"/>
      <c r="BF12"/>
      <c r="BG12"/>
      <c r="BH12"/>
      <c r="BI12" s="574" t="str">
        <f>IF(BA12="","",
INDEX('All Data'!$K:$K,MATCH(BA12,'All Data'!$O:$O,0)))</f>
        <v>High Current (≥□12)</v>
      </c>
      <c r="BJ12" s="267" t="str">
        <f t="shared" si="1"/>
        <v>https://industrial.panasonic.com/ww/products/pt/automotive-inductors/models/ETQPAMR33JFW</v>
      </c>
      <c r="BK12"/>
      <c r="BL12"/>
      <c r="BM12"/>
    </row>
    <row r="13" spans="1:83" ht="12.75">
      <c r="A13" s="17"/>
      <c r="B13" s="17"/>
      <c r="C13" s="17"/>
      <c r="D13" s="17"/>
      <c r="E13" s="17"/>
      <c r="F13" s="17"/>
      <c r="G13" s="17"/>
      <c r="H13" s="17"/>
      <c r="AN13" s="603"/>
      <c r="AO13" s="605"/>
      <c r="AP13" s="583">
        <v>37.1</v>
      </c>
      <c r="AQ13" s="583">
        <v>30.4</v>
      </c>
      <c r="AR13" s="583">
        <v>45.9</v>
      </c>
      <c r="AS13" s="583">
        <v>33.4</v>
      </c>
      <c r="AT13" s="583">
        <v>1.08</v>
      </c>
      <c r="AU13" s="583">
        <v>1.19</v>
      </c>
      <c r="AV13" s="583" t="s">
        <v>21</v>
      </c>
      <c r="AW13" s="583">
        <v>4</v>
      </c>
      <c r="AX13" s="583" t="s">
        <v>852</v>
      </c>
      <c r="AY13" s="583" t="s">
        <v>22</v>
      </c>
      <c r="AZ13" s="583" t="s">
        <v>23</v>
      </c>
      <c r="BA13" s="589" t="s">
        <v>1079</v>
      </c>
      <c r="BB13" s="584" t="s">
        <v>1085</v>
      </c>
      <c r="BC13" s="576">
        <f>IF(BA13="","",
INDEX('All Data'!$AT:$AT,MATCH(BA13,'All Data'!$O:$O,0)))</f>
        <v>0</v>
      </c>
      <c r="BD13" s="576" t="str">
        <f t="shared" si="0"/>
        <v>--</v>
      </c>
      <c r="BE13"/>
      <c r="BF13"/>
      <c r="BG13"/>
      <c r="BH13"/>
      <c r="BI13" s="574" t="str">
        <f>IF(BA13="","",
INDEX('All Data'!$K:$K,MATCH(BA13,'All Data'!$O:$O,0)))</f>
        <v>High Isat (Standard)</v>
      </c>
      <c r="BJ13" s="267" t="str">
        <f t="shared" si="1"/>
        <v>https://industrial.panasonic.com/ww/products/pt/automotive-inductors/models/ETQP4MR33KLC</v>
      </c>
      <c r="BK13"/>
      <c r="BL13"/>
      <c r="BM13"/>
    </row>
    <row r="14" spans="1:83" ht="12.75">
      <c r="A14" s="17"/>
      <c r="B14" s="17"/>
      <c r="C14" s="17"/>
      <c r="D14" s="17"/>
      <c r="E14" s="17"/>
      <c r="F14" s="17"/>
      <c r="G14" s="17"/>
      <c r="H14" s="17"/>
      <c r="AN14" s="583">
        <v>0.47</v>
      </c>
      <c r="AO14" s="583">
        <v>0.2</v>
      </c>
      <c r="AP14" s="583">
        <v>15.7</v>
      </c>
      <c r="AQ14" s="583">
        <v>12.8</v>
      </c>
      <c r="AR14" s="583">
        <v>20</v>
      </c>
      <c r="AS14" s="583">
        <v>15.5</v>
      </c>
      <c r="AT14" s="583">
        <v>3.7</v>
      </c>
      <c r="AU14" s="583">
        <v>4.07</v>
      </c>
      <c r="AV14" s="583" t="s">
        <v>875</v>
      </c>
      <c r="AW14" s="583">
        <v>3</v>
      </c>
      <c r="AX14" s="583" t="s">
        <v>851</v>
      </c>
      <c r="AY14" s="583" t="s">
        <v>22</v>
      </c>
      <c r="AZ14" s="583" t="s">
        <v>23</v>
      </c>
      <c r="BA14" s="589" t="s">
        <v>1035</v>
      </c>
      <c r="BB14" s="584" t="s">
        <v>1018</v>
      </c>
      <c r="BC14" s="576" t="str">
        <f>IF(BA14="","",
INDEX('All Data'!$AT:$AT,MATCH(BA14,'All Data'!$O:$O,0)))</f>
        <v>https://industrial.panasonic.com/content/data/CC/pictures/lineup-LP.gif</v>
      </c>
      <c r="BD14" s="576" t="e" vm="1">
        <f t="shared" si="0"/>
        <v>#VALUE!</v>
      </c>
      <c r="BE14"/>
      <c r="BF14"/>
      <c r="BG14"/>
      <c r="BH14"/>
      <c r="BI14" s="574" t="str">
        <f>IF(BA14="","",
INDEX('All Data'!$K:$K,MATCH(BA14,'All Data'!$O:$O,0)))</f>
        <v>LP (Low Profile)</v>
      </c>
      <c r="BJ14" s="267" t="str">
        <f t="shared" si="1"/>
        <v>https://industrial.panasonic.com/ww/products/pt/automotive-inductors/models/ETQP3MR47KVN</v>
      </c>
      <c r="BK14"/>
      <c r="BL14"/>
      <c r="BM14"/>
    </row>
    <row r="15" spans="1:83" ht="12.75">
      <c r="A15" s="17"/>
      <c r="B15" s="17"/>
      <c r="C15" s="17"/>
      <c r="D15" s="17"/>
      <c r="E15" s="17"/>
      <c r="F15" s="17"/>
      <c r="G15" s="17"/>
      <c r="H15" s="17"/>
      <c r="AN15" s="603"/>
      <c r="AO15" s="603"/>
      <c r="AP15" s="583">
        <v>19.8</v>
      </c>
      <c r="AQ15" s="583">
        <v>14.7</v>
      </c>
      <c r="AR15" s="583">
        <v>29.8</v>
      </c>
      <c r="AS15" s="583">
        <v>21.7</v>
      </c>
      <c r="AT15" s="583">
        <v>3.3</v>
      </c>
      <c r="AU15" s="583">
        <v>3.63</v>
      </c>
      <c r="AV15" s="583" t="s">
        <v>83</v>
      </c>
      <c r="AW15" s="583">
        <v>4.8</v>
      </c>
      <c r="AX15" s="583" t="s">
        <v>852</v>
      </c>
      <c r="AY15" s="583" t="s">
        <v>22</v>
      </c>
      <c r="AZ15" s="583" t="s">
        <v>23</v>
      </c>
      <c r="BA15" s="589" t="s">
        <v>863</v>
      </c>
      <c r="BB15" s="584" t="s">
        <v>1016</v>
      </c>
      <c r="BC15" s="576" t="str">
        <f>IF(BA15="","",
INDEX('All Data'!$AT:$AT,MATCH(BA15,'All Data'!$O:$O,0)))</f>
        <v>https://industrial.panasonic.com/content/data/CC/pictures/lineup-LE.gif</v>
      </c>
      <c r="BD15" s="576" t="e" vm="5">
        <f t="shared" si="0"/>
        <v>#VALUE!</v>
      </c>
      <c r="BE15"/>
      <c r="BF15"/>
      <c r="BG15"/>
      <c r="BH15"/>
      <c r="BI15" s="574" t="str">
        <f>IF(BA15="","",
INDEX('All Data'!$K:$K,MATCH(BA15,'All Data'!$O:$O,0)))</f>
        <v>LE (Low Price)</v>
      </c>
      <c r="BJ15" s="267" t="str">
        <f t="shared" si="1"/>
        <v>https://industrial.panasonic.com/ww/products/pt/automotive-inductors/models/ETQP4MR47KFM</v>
      </c>
      <c r="BK15"/>
      <c r="BL15"/>
      <c r="BM15"/>
    </row>
    <row r="16" spans="1:83" ht="12.75">
      <c r="A16" s="17"/>
      <c r="B16" s="17"/>
      <c r="C16" s="17"/>
      <c r="D16" s="17"/>
      <c r="E16" s="17"/>
      <c r="F16" s="17"/>
      <c r="G16" s="17"/>
      <c r="H16" s="17"/>
      <c r="AN16" s="603"/>
      <c r="AO16" s="603"/>
      <c r="AP16" s="583">
        <v>11.6</v>
      </c>
      <c r="AQ16" s="583">
        <v>9.6</v>
      </c>
      <c r="AR16" s="583">
        <v>17.899999999999999</v>
      </c>
      <c r="AS16" s="583">
        <v>12.9</v>
      </c>
      <c r="AT16" s="583">
        <v>5.8</v>
      </c>
      <c r="AU16" s="583">
        <v>6.38</v>
      </c>
      <c r="AV16" s="583" t="s">
        <v>26</v>
      </c>
      <c r="AW16" s="583">
        <v>3</v>
      </c>
      <c r="AX16" s="583" t="s">
        <v>851</v>
      </c>
      <c r="AY16" s="583" t="s">
        <v>22</v>
      </c>
      <c r="AZ16" s="583" t="s">
        <v>23</v>
      </c>
      <c r="BA16" s="589" t="s">
        <v>1036</v>
      </c>
      <c r="BB16" s="584" t="s">
        <v>881</v>
      </c>
      <c r="BC16" s="576" t="str">
        <f>IF(BA16="","",
INDEX('All Data'!$AT:$AT,MATCH(BA16,'All Data'!$O:$O,0)))</f>
        <v>https://industrial.panasonic.com/content/data/CC/pictures/lineup-LP.gif</v>
      </c>
      <c r="BD16" s="576" t="e" vm="1">
        <f t="shared" si="0"/>
        <v>#VALUE!</v>
      </c>
      <c r="BE16"/>
      <c r="BF16"/>
      <c r="BG16"/>
      <c r="BH16"/>
      <c r="BI16" s="574" t="str">
        <f>IF(BA16="","",
INDEX('All Data'!$K:$K,MATCH(BA16,'All Data'!$O:$O,0)))</f>
        <v>LP (Low Profile)</v>
      </c>
      <c r="BJ16" s="267" t="str">
        <f t="shared" si="1"/>
        <v>https://industrial.panasonic.com/ww/products/pt/automotive-inductors/models/ETQP3MR47KVP</v>
      </c>
      <c r="BK16"/>
      <c r="BL16"/>
      <c r="BM16"/>
    </row>
    <row r="17" spans="1:65" ht="12.75">
      <c r="A17" s="17"/>
      <c r="B17" s="17"/>
      <c r="C17" s="17"/>
      <c r="D17" s="17"/>
      <c r="E17" s="17"/>
      <c r="F17" s="17"/>
      <c r="G17" s="17"/>
      <c r="H17" s="17"/>
      <c r="AN17" s="603"/>
      <c r="AO17" s="603"/>
      <c r="AP17" s="583">
        <v>31.1</v>
      </c>
      <c r="AQ17" s="583">
        <v>24.9</v>
      </c>
      <c r="AR17" s="583">
        <v>47.3</v>
      </c>
      <c r="AS17" s="583">
        <v>33.200000000000003</v>
      </c>
      <c r="AT17" s="583">
        <v>1.53</v>
      </c>
      <c r="AU17" s="583">
        <v>1.68</v>
      </c>
      <c r="AV17" s="583" t="s">
        <v>21</v>
      </c>
      <c r="AW17" s="583">
        <v>4</v>
      </c>
      <c r="AX17" s="583" t="s">
        <v>852</v>
      </c>
      <c r="AY17" s="583" t="s">
        <v>22</v>
      </c>
      <c r="AZ17" s="583" t="s">
        <v>23</v>
      </c>
      <c r="BA17" s="589" t="s">
        <v>1037</v>
      </c>
      <c r="BB17" s="584" t="s">
        <v>882</v>
      </c>
      <c r="BC17" s="576" t="str">
        <f>IF(BA17="","",
INDEX('All Data'!$AT:$AT,MATCH(BA17,'All Data'!$O:$O,0)))</f>
        <v>https://industrial.panasonic.com/content/data/CC/pictures/lineup-Metal-core.gif</v>
      </c>
      <c r="BD17" s="576" t="e" vm="3">
        <f t="shared" si="0"/>
        <v>#VALUE!</v>
      </c>
      <c r="BE17"/>
      <c r="BF17"/>
      <c r="BG17"/>
      <c r="BH17"/>
      <c r="BI17" s="574" t="str">
        <f>IF(BA17="","",
INDEX('All Data'!$K:$K,MATCH(BA17,'All Data'!$O:$O,0)))</f>
        <v>High Isat (Standard)</v>
      </c>
      <c r="BJ17" s="267" t="str">
        <f t="shared" si="1"/>
        <v>https://industrial.panasonic.com/ww/products/pt/automotive-inductors/models/ETQP4MR47KLC</v>
      </c>
      <c r="BK17"/>
      <c r="BL17"/>
      <c r="BM17"/>
    </row>
    <row r="18" spans="1:65" ht="12.75">
      <c r="A18" s="17"/>
      <c r="B18" s="17"/>
      <c r="C18" s="17"/>
      <c r="D18" s="17"/>
      <c r="E18" s="17"/>
      <c r="F18" s="17"/>
      <c r="G18" s="17"/>
      <c r="H18" s="17"/>
      <c r="AN18" s="603"/>
      <c r="AO18" s="603"/>
      <c r="AP18" s="583">
        <v>22.5</v>
      </c>
      <c r="AQ18" s="583">
        <v>19.2</v>
      </c>
      <c r="AR18" s="583">
        <v>37.200000000000003</v>
      </c>
      <c r="AS18" s="583">
        <v>27.4</v>
      </c>
      <c r="AT18" s="583">
        <v>2.2000000000000002</v>
      </c>
      <c r="AU18" s="583">
        <v>2.42</v>
      </c>
      <c r="AV18" s="583" t="s">
        <v>1027</v>
      </c>
      <c r="AW18" s="583">
        <v>4</v>
      </c>
      <c r="AX18" s="583" t="s">
        <v>851</v>
      </c>
      <c r="AY18" s="583" t="s">
        <v>22</v>
      </c>
      <c r="AZ18" s="583" t="s">
        <v>23</v>
      </c>
      <c r="BA18" s="589" t="s">
        <v>1038</v>
      </c>
      <c r="BB18" s="584" t="s">
        <v>984</v>
      </c>
      <c r="BC18" s="576" t="str">
        <f>IF(BA18="","",
INDEX('All Data'!$AT:$AT,MATCH(BA18,'All Data'!$O:$O,0)))</f>
        <v>https://industrial.panasonic.com/content/data/CC/pictures/lineup-LP.gif</v>
      </c>
      <c r="BD18" s="576" t="e" vm="1">
        <f t="shared" si="0"/>
        <v>#VALUE!</v>
      </c>
      <c r="BE18"/>
      <c r="BF18"/>
      <c r="BG18"/>
      <c r="BH18"/>
      <c r="BI18" s="574" t="str">
        <f>IF(BA18="","",
INDEX('All Data'!$K:$K,MATCH(BA18,'All Data'!$O:$O,0)))</f>
        <v>LP (Low Profile)</v>
      </c>
      <c r="BJ18" s="267" t="str">
        <f t="shared" si="1"/>
        <v>https://industrial.panasonic.com/ww/products/pt/automotive-inductors/models/ETQP4M330KVK</v>
      </c>
      <c r="BK18"/>
      <c r="BL18"/>
      <c r="BM18"/>
    </row>
    <row r="19" spans="1:65" ht="12.75">
      <c r="A19" s="17"/>
      <c r="B19" s="17"/>
      <c r="C19" s="17"/>
      <c r="D19" s="17"/>
      <c r="E19" s="17"/>
      <c r="F19" s="17"/>
      <c r="G19" s="17"/>
      <c r="H19" s="17"/>
      <c r="AN19" s="583">
        <v>0.68</v>
      </c>
      <c r="AO19" s="583">
        <v>0.2</v>
      </c>
      <c r="AP19" s="583">
        <v>12</v>
      </c>
      <c r="AQ19" s="583">
        <v>9.8000000000000007</v>
      </c>
      <c r="AR19" s="583">
        <v>24</v>
      </c>
      <c r="AS19" s="583">
        <v>17.66</v>
      </c>
      <c r="AT19" s="583">
        <v>6.3</v>
      </c>
      <c r="AU19" s="583">
        <v>6.9300000000000006</v>
      </c>
      <c r="AV19" s="583" t="s">
        <v>28</v>
      </c>
      <c r="AW19" s="583">
        <v>3</v>
      </c>
      <c r="AX19" s="583" t="s">
        <v>852</v>
      </c>
      <c r="AY19" s="583" t="s">
        <v>22</v>
      </c>
      <c r="AZ19" s="583" t="s">
        <v>23</v>
      </c>
      <c r="BA19" s="589" t="s">
        <v>1039</v>
      </c>
      <c r="BB19" s="584" t="s">
        <v>883</v>
      </c>
      <c r="BC19" s="576" t="str">
        <f>IF(BA19="","",
INDEX('All Data'!$AT:$AT,MATCH(BA19,'All Data'!$O:$O,0)))</f>
        <v>https://industrial.panasonic.com/content/data/CC/pictures/lineup-Metal-core.gif</v>
      </c>
      <c r="BD19" s="576" t="e" vm="3">
        <f t="shared" si="0"/>
        <v>#VALUE!</v>
      </c>
      <c r="BE19"/>
      <c r="BF19"/>
      <c r="BG19"/>
      <c r="BH19"/>
      <c r="BI19" s="574" t="str">
        <f>IF(BA19="","",
INDEX('All Data'!$K:$K,MATCH(BA19,'All Data'!$O:$O,0)))</f>
        <v>High Isat (Standard)</v>
      </c>
      <c r="BJ19" s="267" t="str">
        <f t="shared" si="1"/>
        <v>https://industrial.panasonic.com/ww/products/pt/automotive-inductors/models/ETQP3MR68YFN</v>
      </c>
      <c r="BK19"/>
      <c r="BL19"/>
      <c r="BM19"/>
    </row>
    <row r="20" spans="1:65" ht="12.75">
      <c r="A20" s="17"/>
      <c r="B20" s="17"/>
      <c r="C20" s="17"/>
      <c r="D20" s="17"/>
      <c r="E20" s="17"/>
      <c r="F20" s="17"/>
      <c r="G20" s="17"/>
      <c r="H20" s="17"/>
      <c r="AN20" s="603"/>
      <c r="AO20" s="603"/>
      <c r="AP20" s="583">
        <v>31.5</v>
      </c>
      <c r="AQ20" s="583">
        <v>26.3</v>
      </c>
      <c r="AR20" s="583">
        <v>40</v>
      </c>
      <c r="AS20" s="583">
        <v>28.37</v>
      </c>
      <c r="AT20" s="583">
        <v>1.75</v>
      </c>
      <c r="AU20" s="583">
        <v>1.93</v>
      </c>
      <c r="AV20" s="583" t="s">
        <v>21</v>
      </c>
      <c r="AW20" s="583">
        <v>5</v>
      </c>
      <c r="AX20" s="583" t="s">
        <v>852</v>
      </c>
      <c r="AY20" s="583" t="s">
        <v>22</v>
      </c>
      <c r="AZ20" s="583" t="s">
        <v>23</v>
      </c>
      <c r="BA20" s="589" t="s">
        <v>29</v>
      </c>
      <c r="BB20" s="584" t="s">
        <v>884</v>
      </c>
      <c r="BC20" s="576" t="str">
        <f>IF(BA20="","",
INDEX('All Data'!$AT:$AT,MATCH(BA20,'All Data'!$O:$O,0)))</f>
        <v>https://industrial.panasonic.com/content/data/CC/pictures/lineup-Metal-core.gif</v>
      </c>
      <c r="BD20" s="576" t="e" vm="3">
        <f t="shared" si="0"/>
        <v>#VALUE!</v>
      </c>
      <c r="BE20"/>
      <c r="BF20"/>
      <c r="BG20"/>
      <c r="BH20"/>
      <c r="BI20" s="574" t="str">
        <f>IF(BA20="","",
INDEX('All Data'!$K:$K,MATCH(BA20,'All Data'!$O:$O,0)))</f>
        <v>High Isat (Standard)</v>
      </c>
      <c r="BJ20" s="267" t="str">
        <f t="shared" si="1"/>
        <v>https://industrial.panasonic.com/ww/products/pt/automotive-inductors/models/ETQP5MR68YLC</v>
      </c>
      <c r="BK20"/>
      <c r="BL20"/>
      <c r="BM20"/>
    </row>
    <row r="21" spans="1:65" ht="12.75">
      <c r="A21" s="17"/>
      <c r="B21" s="17"/>
      <c r="C21" s="17"/>
      <c r="D21" s="17"/>
      <c r="E21" s="17"/>
      <c r="F21" s="17"/>
      <c r="G21" s="17"/>
      <c r="H21" s="17"/>
      <c r="AN21" s="603"/>
      <c r="AO21" s="603"/>
      <c r="AP21" s="583">
        <v>42.6</v>
      </c>
      <c r="AQ21" s="583">
        <v>35.4</v>
      </c>
      <c r="AR21" s="583">
        <v>56.9</v>
      </c>
      <c r="AS21" s="583">
        <v>40.33</v>
      </c>
      <c r="AT21" s="583">
        <v>1.1000000000000001</v>
      </c>
      <c r="AU21" s="583">
        <v>1.21</v>
      </c>
      <c r="AV21" s="583" t="s">
        <v>25</v>
      </c>
      <c r="AW21" s="583">
        <v>8</v>
      </c>
      <c r="AX21" s="583" t="s">
        <v>1031</v>
      </c>
      <c r="AY21" s="583" t="s">
        <v>22</v>
      </c>
      <c r="AZ21" s="583" t="s">
        <v>23</v>
      </c>
      <c r="BA21" s="589" t="s">
        <v>30</v>
      </c>
      <c r="BB21" s="584" t="s">
        <v>885</v>
      </c>
      <c r="BC21" s="576" t="str">
        <f>IF(BA21="","",
INDEX('All Data'!$AT:$AT,MATCH(BA21,'All Data'!$O:$O,0)))</f>
        <v>https://industrial.panasonic.com/content/data/CC/pictures/lineup-Large%20current.gif</v>
      </c>
      <c r="BD21" s="576" t="e" vm="4">
        <f t="shared" si="0"/>
        <v>#VALUE!</v>
      </c>
      <c r="BE21"/>
      <c r="BF21"/>
      <c r="BG21"/>
      <c r="BH21"/>
      <c r="BI21" s="574" t="str">
        <f>IF(BA21="","",
INDEX('All Data'!$K:$K,MATCH(BA21,'All Data'!$O:$O,0)))</f>
        <v>High Current (≥□12)</v>
      </c>
      <c r="BJ21" s="267" t="str">
        <f t="shared" si="1"/>
        <v>https://industrial.panasonic.com/ww/products/pt/automotive-inductors/models/ETQP8MR68JFA</v>
      </c>
      <c r="BK21"/>
      <c r="BL21"/>
      <c r="BM21"/>
    </row>
    <row r="22" spans="1:65" ht="12.75">
      <c r="A22" s="17"/>
      <c r="B22" s="17"/>
      <c r="C22" s="17"/>
      <c r="D22" s="17"/>
      <c r="E22" s="17"/>
      <c r="F22" s="17"/>
      <c r="G22" s="17"/>
      <c r="H22" s="17"/>
      <c r="AN22" s="603"/>
      <c r="AO22" s="603"/>
      <c r="AP22" s="583">
        <v>10.199999999999999</v>
      </c>
      <c r="AQ22" s="583">
        <v>8.4</v>
      </c>
      <c r="AR22" s="583">
        <v>15.9</v>
      </c>
      <c r="AS22" s="583">
        <v>10.4</v>
      </c>
      <c r="AT22" s="583">
        <v>7.6</v>
      </c>
      <c r="AU22" s="583">
        <v>8.36</v>
      </c>
      <c r="AV22" s="583" t="s">
        <v>26</v>
      </c>
      <c r="AW22" s="583">
        <v>3</v>
      </c>
      <c r="AX22" s="583" t="s">
        <v>851</v>
      </c>
      <c r="AY22" s="583" t="s">
        <v>22</v>
      </c>
      <c r="AZ22" s="583" t="s">
        <v>23</v>
      </c>
      <c r="BA22" s="589" t="s">
        <v>31</v>
      </c>
      <c r="BB22" s="584" t="s">
        <v>886</v>
      </c>
      <c r="BC22" s="576" t="str">
        <f>IF(BA22="","",
INDEX('All Data'!$AT:$AT,MATCH(BA22,'All Data'!$O:$O,0)))</f>
        <v>https://industrial.panasonic.com/content/data/CC/pictures/lineup-LP.gif</v>
      </c>
      <c r="BD22" s="576" t="e" vm="1">
        <f t="shared" si="0"/>
        <v>#VALUE!</v>
      </c>
      <c r="BE22"/>
      <c r="BF22"/>
      <c r="BG22"/>
      <c r="BH22"/>
      <c r="BI22" s="574" t="str">
        <f>IF(BA22="","",
INDEX('All Data'!$K:$K,MATCH(BA22,'All Data'!$O:$O,0)))</f>
        <v>LP (Low Profile)</v>
      </c>
      <c r="BJ22" s="267" t="str">
        <f t="shared" si="1"/>
        <v>https://industrial.panasonic.com/ww/products/pt/automotive-inductors/models/ETQP3MR68KVP</v>
      </c>
      <c r="BK22"/>
      <c r="BL22"/>
      <c r="BM22"/>
    </row>
    <row r="23" spans="1:65" ht="12.75">
      <c r="A23" s="17"/>
      <c r="B23" s="17"/>
      <c r="C23" s="17"/>
      <c r="D23" s="17"/>
      <c r="E23" s="17"/>
      <c r="F23" s="17"/>
      <c r="G23" s="17"/>
      <c r="H23" s="17"/>
      <c r="AN23" s="603"/>
      <c r="AO23" s="603"/>
      <c r="AP23" s="583">
        <v>13.2</v>
      </c>
      <c r="AQ23" s="583">
        <v>10.8</v>
      </c>
      <c r="AR23" s="583">
        <v>20.2</v>
      </c>
      <c r="AS23" s="583">
        <v>14.25</v>
      </c>
      <c r="AT23" s="583">
        <v>5.2</v>
      </c>
      <c r="AU23" s="583">
        <v>5.7200000000000006</v>
      </c>
      <c r="AV23" s="583" t="s">
        <v>32</v>
      </c>
      <c r="AW23" s="583">
        <v>3</v>
      </c>
      <c r="AX23" s="583" t="s">
        <v>851</v>
      </c>
      <c r="AY23" s="583" t="s">
        <v>22</v>
      </c>
      <c r="AZ23" s="583" t="s">
        <v>23</v>
      </c>
      <c r="BA23" s="589" t="s">
        <v>33</v>
      </c>
      <c r="BB23" s="584" t="s">
        <v>887</v>
      </c>
      <c r="BC23" s="576" t="str">
        <f>IF(BA23="","",
INDEX('All Data'!$AT:$AT,MATCH(BA23,'All Data'!$O:$O,0)))</f>
        <v>https://industrial.panasonic.com/content/data/CC/pictures/lineup-LP.gif</v>
      </c>
      <c r="BD23" s="576" t="e" vm="1">
        <f t="shared" si="0"/>
        <v>#VALUE!</v>
      </c>
      <c r="BE23"/>
      <c r="BF23"/>
      <c r="BG23"/>
      <c r="BH23"/>
      <c r="BI23" s="574" t="str">
        <f>IF(BA23="","",
INDEX('All Data'!$K:$K,MATCH(BA23,'All Data'!$O:$O,0)))</f>
        <v>LP (Low Profile)</v>
      </c>
      <c r="BJ23" s="267" t="str">
        <f t="shared" si="1"/>
        <v>https://industrial.panasonic.com/ww/products/pt/automotive-inductors/models/ETQP3MR68KVN</v>
      </c>
      <c r="BK23"/>
      <c r="BL23"/>
      <c r="BM23"/>
    </row>
    <row r="24" spans="1:65" ht="12.75">
      <c r="A24" s="17"/>
      <c r="B24" s="17"/>
      <c r="C24" s="17"/>
      <c r="D24" s="17"/>
      <c r="E24" s="17"/>
      <c r="F24" s="17"/>
      <c r="G24" s="17"/>
      <c r="H24" s="17"/>
      <c r="AN24" s="603"/>
      <c r="AO24" s="603"/>
      <c r="AP24" s="583">
        <v>19.5</v>
      </c>
      <c r="AQ24" s="583">
        <v>16.600000000000001</v>
      </c>
      <c r="AR24" s="583">
        <v>29</v>
      </c>
      <c r="AS24" s="583">
        <v>20.99</v>
      </c>
      <c r="AT24" s="583">
        <v>2.92</v>
      </c>
      <c r="AU24" s="583">
        <v>3.21</v>
      </c>
      <c r="AV24" s="583" t="s">
        <v>1027</v>
      </c>
      <c r="AW24" s="583">
        <v>4</v>
      </c>
      <c r="AX24" s="583" t="s">
        <v>851</v>
      </c>
      <c r="AY24" s="583" t="s">
        <v>22</v>
      </c>
      <c r="AZ24" s="583" t="s">
        <v>23</v>
      </c>
      <c r="BA24" s="589" t="s">
        <v>35</v>
      </c>
      <c r="BB24" s="584" t="s">
        <v>888</v>
      </c>
      <c r="BC24" s="576" t="str">
        <f>IF(BA24="","",
INDEX('All Data'!$AT:$AT,MATCH(BA24,'All Data'!$O:$O,0)))</f>
        <v>https://industrial.panasonic.com/content/data/CC/pictures/lineup-LP.gif</v>
      </c>
      <c r="BD24" s="576" t="e" vm="1">
        <f t="shared" si="0"/>
        <v>#VALUE!</v>
      </c>
      <c r="BE24"/>
      <c r="BF24"/>
      <c r="BG24"/>
      <c r="BH24"/>
      <c r="BI24" s="574" t="str">
        <f>IF(BA24="","",
INDEX('All Data'!$K:$K,MATCH(BA24,'All Data'!$O:$O,0)))</f>
        <v>LP (Low Profile)</v>
      </c>
      <c r="BJ24" s="267" t="str">
        <f t="shared" si="1"/>
        <v>https://industrial.panasonic.com/ww/products/pt/automotive-inductors/models/ETQP4MR68KVK</v>
      </c>
      <c r="BK24"/>
      <c r="BL24"/>
      <c r="BM24"/>
    </row>
    <row r="25" spans="1:65" ht="12.75">
      <c r="A25" s="17"/>
      <c r="B25" s="17"/>
      <c r="C25" s="17"/>
      <c r="D25" s="17"/>
      <c r="E25" s="17"/>
      <c r="F25" s="17"/>
      <c r="G25" s="17"/>
      <c r="H25" s="17"/>
      <c r="AN25" s="603"/>
      <c r="AO25" s="603"/>
      <c r="AP25" s="583">
        <v>32.299999999999997</v>
      </c>
      <c r="AQ25" s="583">
        <v>27</v>
      </c>
      <c r="AR25" s="583">
        <v>40</v>
      </c>
      <c r="AS25" s="583">
        <v>28.1</v>
      </c>
      <c r="AT25" s="583">
        <v>1.66</v>
      </c>
      <c r="AU25" s="583">
        <v>1.83</v>
      </c>
      <c r="AV25" s="583" t="s">
        <v>21</v>
      </c>
      <c r="AW25" s="583">
        <v>5</v>
      </c>
      <c r="AX25" s="583" t="s">
        <v>852</v>
      </c>
      <c r="AY25" s="583" t="s">
        <v>22</v>
      </c>
      <c r="AZ25" s="583" t="s">
        <v>23</v>
      </c>
      <c r="BA25" s="589" t="s">
        <v>36</v>
      </c>
      <c r="BB25" s="584" t="s">
        <v>889</v>
      </c>
      <c r="BC25" s="576" t="str">
        <f>IF(BA25="","",
INDEX('All Data'!$AT:$AT,MATCH(BA25,'All Data'!$O:$O,0)))</f>
        <v>https://industrial.panasonic.com/content/data/CC/pictures/lineup-High%20Vibration%20Acceleration.gif</v>
      </c>
      <c r="BD25" s="576" t="e" vm="6">
        <f t="shared" si="0"/>
        <v>#VALUE!</v>
      </c>
      <c r="BE25"/>
      <c r="BF25"/>
      <c r="BG25"/>
      <c r="BH25"/>
      <c r="BI25" s="574" t="str">
        <f>IF(BA25="","",
INDEX('All Data'!$K:$K,MATCH(BA25,'All Data'!$O:$O,0)))</f>
        <v>High Anti-vibration</v>
      </c>
      <c r="BJ25" s="267" t="str">
        <f t="shared" si="1"/>
        <v>https://industrial.panasonic.com/ww/products/pt/automotive-inductors/models/ETQP5MR68YSC</v>
      </c>
      <c r="BK25"/>
      <c r="BL25"/>
      <c r="BM25"/>
    </row>
    <row r="26" spans="1:65" ht="12.75">
      <c r="A26" s="17"/>
      <c r="B26" s="17"/>
      <c r="C26" s="17"/>
      <c r="D26" s="17"/>
      <c r="E26" s="17"/>
      <c r="F26" s="17"/>
      <c r="G26" s="17"/>
      <c r="H26" s="17"/>
      <c r="AN26" s="603"/>
      <c r="AO26" s="603"/>
      <c r="AP26" s="583">
        <v>65</v>
      </c>
      <c r="AQ26" s="583">
        <v>53</v>
      </c>
      <c r="AR26" s="583">
        <v>71</v>
      </c>
      <c r="AS26" s="583">
        <v>51</v>
      </c>
      <c r="AT26" s="583">
        <v>0.7</v>
      </c>
      <c r="AU26" s="583">
        <v>0.77</v>
      </c>
      <c r="AV26" s="583" t="s">
        <v>27</v>
      </c>
      <c r="AW26" s="583">
        <v>10.5</v>
      </c>
      <c r="AX26" s="583" t="s">
        <v>1031</v>
      </c>
      <c r="AY26" s="583" t="s">
        <v>22</v>
      </c>
      <c r="AZ26" s="583" t="s">
        <v>23</v>
      </c>
      <c r="BA26" s="589" t="s">
        <v>1040</v>
      </c>
      <c r="BB26" s="584" t="s">
        <v>1006</v>
      </c>
      <c r="BC26" s="576" t="str">
        <f>IF(BA26="","",
INDEX('All Data'!$AT:$AT,MATCH(BA26,'All Data'!$O:$O,0)))</f>
        <v>https://industrial.panasonic.com/content/data/CC/pictures/lineup-Large%20current.gif</v>
      </c>
      <c r="BD26" s="576" t="e" vm="4">
        <f t="shared" si="0"/>
        <v>#VALUE!</v>
      </c>
      <c r="BE26"/>
      <c r="BF26"/>
      <c r="BG26"/>
      <c r="BH26"/>
      <c r="BI26" s="574" t="str">
        <f>IF(BA26="","",
INDEX('All Data'!$K:$K,MATCH(BA26,'All Data'!$O:$O,0)))</f>
        <v>High Current (≥□12)</v>
      </c>
      <c r="BJ26" s="267" t="str">
        <f t="shared" si="1"/>
        <v>https://industrial.panasonic.com/ww/products/pt/automotive-inductors/models/ETQPAMR68JFW</v>
      </c>
      <c r="BK26"/>
      <c r="BL26"/>
      <c r="BM26"/>
    </row>
    <row r="27" spans="1:65" ht="12.75">
      <c r="A27" s="17"/>
      <c r="B27" s="227"/>
      <c r="C27" s="17"/>
      <c r="D27" s="17"/>
      <c r="E27" s="17"/>
      <c r="F27" s="17"/>
      <c r="G27" s="17"/>
      <c r="H27" s="17"/>
      <c r="AN27" s="583">
        <v>1</v>
      </c>
      <c r="AO27" s="583">
        <v>0.2</v>
      </c>
      <c r="AP27" s="583">
        <v>10.7</v>
      </c>
      <c r="AQ27" s="583">
        <v>8.8000000000000007</v>
      </c>
      <c r="AR27" s="583">
        <v>20</v>
      </c>
      <c r="AS27" s="583">
        <v>14.47</v>
      </c>
      <c r="AT27" s="583">
        <v>7.9</v>
      </c>
      <c r="AU27" s="583">
        <v>8.6900000000000013</v>
      </c>
      <c r="AV27" s="583" t="s">
        <v>28</v>
      </c>
      <c r="AW27" s="583">
        <v>3</v>
      </c>
      <c r="AX27" s="583" t="s">
        <v>852</v>
      </c>
      <c r="AY27" s="583" t="s">
        <v>22</v>
      </c>
      <c r="AZ27" s="583" t="s">
        <v>23</v>
      </c>
      <c r="BA27" s="589" t="s">
        <v>37</v>
      </c>
      <c r="BB27" s="584" t="s">
        <v>890</v>
      </c>
      <c r="BC27" s="576" t="str">
        <f>IF(BA27="","",
INDEX('All Data'!$AT:$AT,MATCH(BA27,'All Data'!$O:$O,0)))</f>
        <v>https://industrial.panasonic.com/content/data/CC/pictures/lineup-Metal-core.gif</v>
      </c>
      <c r="BD27" s="576" t="e" vm="3">
        <f t="shared" si="0"/>
        <v>#VALUE!</v>
      </c>
      <c r="BE27"/>
      <c r="BF27"/>
      <c r="BG27"/>
      <c r="BH27"/>
      <c r="BI27" s="574" t="str">
        <f>IF(BA27="","",
INDEX('All Data'!$K:$K,MATCH(BA27,'All Data'!$O:$O,0)))</f>
        <v>High Isat (Standard)</v>
      </c>
      <c r="BJ27" s="267" t="str">
        <f t="shared" si="1"/>
        <v>https://industrial.panasonic.com/ww/products/pt/automotive-inductors/models/ETQP3M1R0YFN</v>
      </c>
      <c r="BK27"/>
      <c r="BL27"/>
      <c r="BM27"/>
    </row>
    <row r="28" spans="1:65" ht="12.75">
      <c r="A28" s="17"/>
      <c r="B28" s="236"/>
      <c r="C28" s="17"/>
      <c r="D28" s="17"/>
      <c r="E28" s="17"/>
      <c r="F28" s="17"/>
      <c r="G28" s="17"/>
      <c r="H28" s="17"/>
      <c r="AN28" s="603"/>
      <c r="AO28" s="603"/>
      <c r="AP28" s="583">
        <v>27.5</v>
      </c>
      <c r="AQ28" s="583">
        <v>23</v>
      </c>
      <c r="AR28" s="583">
        <v>37.799999999999997</v>
      </c>
      <c r="AS28" s="583">
        <v>24.6</v>
      </c>
      <c r="AT28" s="583">
        <v>2.2999999999999998</v>
      </c>
      <c r="AU28" s="583">
        <v>2.5299999999999998</v>
      </c>
      <c r="AV28" s="583" t="s">
        <v>21</v>
      </c>
      <c r="AW28" s="583">
        <v>5</v>
      </c>
      <c r="AX28" s="583" t="s">
        <v>852</v>
      </c>
      <c r="AY28" s="583" t="s">
        <v>22</v>
      </c>
      <c r="AZ28" s="583" t="s">
        <v>23</v>
      </c>
      <c r="BA28" s="589" t="s">
        <v>38</v>
      </c>
      <c r="BB28" s="584" t="s">
        <v>891</v>
      </c>
      <c r="BC28" s="576" t="str">
        <f>IF(BA28="","",
INDEX('All Data'!$AT:$AT,MATCH(BA28,'All Data'!$O:$O,0)))</f>
        <v>https://industrial.panasonic.com/content/data/CC/pictures/lineup-Metal-core.gif</v>
      </c>
      <c r="BD28" s="576" t="e" vm="3">
        <f t="shared" si="0"/>
        <v>#VALUE!</v>
      </c>
      <c r="BE28"/>
      <c r="BF28"/>
      <c r="BG28"/>
      <c r="BH28"/>
      <c r="BI28" s="574" t="str">
        <f>IF(BA28="","",
INDEX('All Data'!$K:$K,MATCH(BA28,'All Data'!$O:$O,0)))</f>
        <v>High Isat (Standard)</v>
      </c>
      <c r="BJ28" s="267" t="str">
        <f t="shared" si="1"/>
        <v>https://industrial.panasonic.com/ww/products/pt/automotive-inductors/models/ETQP5M1R0YLC</v>
      </c>
      <c r="BK28"/>
      <c r="BL28"/>
      <c r="BM28"/>
    </row>
    <row r="29" spans="1:65" ht="12.75">
      <c r="A29" s="17"/>
      <c r="B29" s="236"/>
      <c r="C29" s="17"/>
      <c r="D29" s="17"/>
      <c r="E29" s="17"/>
      <c r="F29" s="17"/>
      <c r="G29" s="17"/>
      <c r="H29" s="17"/>
      <c r="AN29" s="603"/>
      <c r="AO29" s="603"/>
      <c r="AP29" s="583">
        <v>38.299999999999997</v>
      </c>
      <c r="AQ29" s="583">
        <v>31.8</v>
      </c>
      <c r="AR29" s="583">
        <v>44.4</v>
      </c>
      <c r="AS29" s="583">
        <v>31.56</v>
      </c>
      <c r="AT29" s="583">
        <v>1.36</v>
      </c>
      <c r="AU29" s="583">
        <v>1.5</v>
      </c>
      <c r="AV29" s="583" t="s">
        <v>25</v>
      </c>
      <c r="AW29" s="583">
        <v>8</v>
      </c>
      <c r="AX29" s="583" t="s">
        <v>1031</v>
      </c>
      <c r="AY29" s="583" t="s">
        <v>22</v>
      </c>
      <c r="AZ29" s="583" t="s">
        <v>23</v>
      </c>
      <c r="BA29" s="589" t="s">
        <v>39</v>
      </c>
      <c r="BB29" s="584" t="s">
        <v>892</v>
      </c>
      <c r="BC29" s="576" t="str">
        <f>IF(BA29="","",
INDEX('All Data'!$AT:$AT,MATCH(BA29,'All Data'!$O:$O,0)))</f>
        <v>https://industrial.panasonic.com/content/data/CC/pictures/lineup-Large%20current.gif</v>
      </c>
      <c r="BD29" s="576" t="e" vm="4">
        <f t="shared" si="0"/>
        <v>#VALUE!</v>
      </c>
      <c r="BE29"/>
      <c r="BF29"/>
      <c r="BG29"/>
      <c r="BH29"/>
      <c r="BI29" s="574" t="str">
        <f>IF(BA29="","",
INDEX('All Data'!$K:$K,MATCH(BA29,'All Data'!$O:$O,0)))</f>
        <v>High Current (≥□12)</v>
      </c>
      <c r="BJ29" s="267" t="str">
        <f t="shared" si="1"/>
        <v>https://industrial.panasonic.com/ww/products/pt/automotive-inductors/models/ETQP8M1R0JFA</v>
      </c>
      <c r="BK29"/>
      <c r="BL29"/>
      <c r="BM29"/>
    </row>
    <row r="30" spans="1:65" ht="12.75">
      <c r="A30" s="17"/>
      <c r="B30" s="17"/>
      <c r="C30" s="17"/>
      <c r="D30" s="17"/>
      <c r="E30" s="17"/>
      <c r="F30" s="17"/>
      <c r="G30" s="17"/>
      <c r="H30" s="17"/>
      <c r="AN30" s="603"/>
      <c r="AO30" s="603"/>
      <c r="AP30" s="583">
        <v>9</v>
      </c>
      <c r="AQ30" s="583">
        <v>7.5</v>
      </c>
      <c r="AR30" s="583">
        <v>14.1</v>
      </c>
      <c r="AS30" s="583">
        <v>10.4</v>
      </c>
      <c r="AT30" s="583">
        <v>9.6</v>
      </c>
      <c r="AU30" s="583">
        <v>10.56</v>
      </c>
      <c r="AV30" s="583" t="s">
        <v>26</v>
      </c>
      <c r="AW30" s="583">
        <v>3</v>
      </c>
      <c r="AX30" s="583" t="s">
        <v>851</v>
      </c>
      <c r="AY30" s="583" t="s">
        <v>22</v>
      </c>
      <c r="AZ30" s="583" t="s">
        <v>23</v>
      </c>
      <c r="BA30" s="589" t="s">
        <v>40</v>
      </c>
      <c r="BB30" s="584" t="s">
        <v>893</v>
      </c>
      <c r="BC30" s="576" t="str">
        <f>IF(BA30="","",
INDEX('All Data'!$AT:$AT,MATCH(BA30,'All Data'!$O:$O,0)))</f>
        <v>https://industrial.panasonic.com/content/data/CC/pictures/lineup-LP.gif</v>
      </c>
      <c r="BD30" s="576" t="e" vm="1">
        <f t="shared" si="0"/>
        <v>#VALUE!</v>
      </c>
      <c r="BE30"/>
      <c r="BF30"/>
      <c r="BG30"/>
      <c r="BH30"/>
      <c r="BI30" s="574" t="str">
        <f>IF(BA30="","",
INDEX('All Data'!$K:$K,MATCH(BA30,'All Data'!$O:$O,0)))</f>
        <v>LP (Low Profile)</v>
      </c>
      <c r="BJ30" s="267" t="str">
        <f t="shared" si="1"/>
        <v>https://industrial.panasonic.com/ww/products/pt/automotive-inductors/models/ETQP3M1R0KVP</v>
      </c>
      <c r="BK30"/>
      <c r="BL30"/>
      <c r="BM30"/>
    </row>
    <row r="31" spans="1:65" ht="12.75">
      <c r="A31" s="17"/>
      <c r="B31" s="17"/>
      <c r="C31" s="17"/>
      <c r="D31" s="17"/>
      <c r="E31" s="17"/>
      <c r="F31" s="17"/>
      <c r="G31" s="17"/>
      <c r="H31" s="17"/>
      <c r="AN31" s="603"/>
      <c r="AO31" s="603"/>
      <c r="AP31" s="583">
        <v>12.1</v>
      </c>
      <c r="AQ31" s="583">
        <v>9.9</v>
      </c>
      <c r="AR31" s="583">
        <v>16</v>
      </c>
      <c r="AS31" s="583">
        <v>10.65</v>
      </c>
      <c r="AT31" s="583">
        <v>6.2</v>
      </c>
      <c r="AU31" s="583">
        <v>6.8200000000000012</v>
      </c>
      <c r="AV31" s="583" t="s">
        <v>32</v>
      </c>
      <c r="AW31" s="583">
        <v>3</v>
      </c>
      <c r="AX31" s="583" t="s">
        <v>851</v>
      </c>
      <c r="AY31" s="583" t="s">
        <v>22</v>
      </c>
      <c r="AZ31" s="583" t="s">
        <v>23</v>
      </c>
      <c r="BA31" s="589" t="s">
        <v>41</v>
      </c>
      <c r="BB31" s="584" t="s">
        <v>894</v>
      </c>
      <c r="BC31" s="576" t="str">
        <f>IF(BA31="","",
INDEX('All Data'!$AT:$AT,MATCH(BA31,'All Data'!$O:$O,0)))</f>
        <v>https://industrial.panasonic.com/content/data/CC/pictures/lineup-LP.gif</v>
      </c>
      <c r="BD31" s="576" t="e" vm="1">
        <f t="shared" si="0"/>
        <v>#VALUE!</v>
      </c>
      <c r="BE31"/>
      <c r="BF31"/>
      <c r="BG31"/>
      <c r="BH31"/>
      <c r="BI31" s="574" t="str">
        <f>IF(BA31="","",
INDEX('All Data'!$K:$K,MATCH(BA31,'All Data'!$O:$O,0)))</f>
        <v>LP (Low Profile)</v>
      </c>
      <c r="BJ31" s="267" t="str">
        <f t="shared" si="1"/>
        <v>https://industrial.panasonic.com/ww/products/pt/automotive-inductors/models/ETQP3M1R0KVN</v>
      </c>
      <c r="BK31"/>
      <c r="BL31"/>
      <c r="BM31"/>
    </row>
    <row r="32" spans="1:65" ht="12.75">
      <c r="AN32" s="603"/>
      <c r="AO32" s="603"/>
      <c r="AP32" s="583">
        <v>17.3</v>
      </c>
      <c r="AQ32" s="583">
        <v>14.8</v>
      </c>
      <c r="AR32" s="583">
        <v>24.4</v>
      </c>
      <c r="AS32" s="583">
        <v>19.059999999999999</v>
      </c>
      <c r="AT32" s="583">
        <v>3.7</v>
      </c>
      <c r="AU32" s="583">
        <v>4.07</v>
      </c>
      <c r="AV32" s="583" t="s">
        <v>1027</v>
      </c>
      <c r="AW32" s="583">
        <v>4</v>
      </c>
      <c r="AX32" s="583" t="s">
        <v>851</v>
      </c>
      <c r="AY32" s="583" t="s">
        <v>22</v>
      </c>
      <c r="AZ32" s="583" t="s">
        <v>23</v>
      </c>
      <c r="BA32" s="589" t="s">
        <v>42</v>
      </c>
      <c r="BB32" s="584" t="s">
        <v>895</v>
      </c>
      <c r="BC32" s="576" t="str">
        <f>IF(BA32="","",
INDEX('All Data'!$AT:$AT,MATCH(BA32,'All Data'!$O:$O,0)))</f>
        <v>https://industrial.panasonic.com/content/data/CC/pictures/lineup-LP.gif</v>
      </c>
      <c r="BD32" s="576" t="e" vm="1">
        <f t="shared" si="0"/>
        <v>#VALUE!</v>
      </c>
      <c r="BE32"/>
      <c r="BF32"/>
      <c r="BG32"/>
      <c r="BH32"/>
      <c r="BI32" s="574" t="str">
        <f>IF(BA32="","",
INDEX('All Data'!$K:$K,MATCH(BA32,'All Data'!$O:$O,0)))</f>
        <v>LP (Low Profile)</v>
      </c>
      <c r="BJ32" s="267" t="str">
        <f t="shared" si="1"/>
        <v>https://industrial.panasonic.com/ww/products/pt/automotive-inductors/models/ETQP4M1R0KVK</v>
      </c>
      <c r="BK32"/>
      <c r="BL32"/>
      <c r="BM32"/>
    </row>
    <row r="33" spans="40:65" ht="12.75">
      <c r="AN33" s="603"/>
      <c r="AO33" s="603"/>
      <c r="AP33" s="583">
        <v>23.9</v>
      </c>
      <c r="AQ33" s="583">
        <v>19.600000000000001</v>
      </c>
      <c r="AR33" s="583">
        <v>34.6</v>
      </c>
      <c r="AS33" s="583">
        <v>24.000000000000028</v>
      </c>
      <c r="AT33" s="583">
        <v>2.6</v>
      </c>
      <c r="AU33" s="583">
        <v>2.8600000000000003</v>
      </c>
      <c r="AV33" s="583" t="s">
        <v>43</v>
      </c>
      <c r="AW33" s="583">
        <v>4</v>
      </c>
      <c r="AX33" s="583" t="s">
        <v>851</v>
      </c>
      <c r="AY33" s="583" t="s">
        <v>22</v>
      </c>
      <c r="AZ33" s="583" t="s">
        <v>23</v>
      </c>
      <c r="BA33" s="589" t="s">
        <v>44</v>
      </c>
      <c r="BB33" s="584" t="s">
        <v>896</v>
      </c>
      <c r="BC33" s="576" t="str">
        <f>IF(BA33="","",
INDEX('All Data'!$AT:$AT,MATCH(BA33,'All Data'!$O:$O,0)))</f>
        <v>https://industrial.panasonic.com/content/data/CC/pictures/lineup-LP.gif</v>
      </c>
      <c r="BD33" s="576" t="e" vm="1">
        <f t="shared" si="0"/>
        <v>#VALUE!</v>
      </c>
      <c r="BE33"/>
      <c r="BF33"/>
      <c r="BG33"/>
      <c r="BH33"/>
      <c r="BI33" s="574" t="str">
        <f>IF(BA33="","",
INDEX('All Data'!$K:$K,MATCH(BA33,'All Data'!$O:$O,0)))</f>
        <v>LP (Low Profile)</v>
      </c>
      <c r="BJ33" s="267" t="str">
        <f t="shared" si="1"/>
        <v>https://industrial.panasonic.com/ww/products/pt/automotive-inductors/models/ETQP4M1R0KVC</v>
      </c>
      <c r="BK33"/>
      <c r="BL33"/>
      <c r="BM33"/>
    </row>
    <row r="34" spans="40:65" ht="12.75">
      <c r="AN34" s="603"/>
      <c r="AO34" s="603"/>
      <c r="AP34" s="583">
        <v>57</v>
      </c>
      <c r="AQ34" s="583">
        <v>47</v>
      </c>
      <c r="AR34" s="583">
        <v>52</v>
      </c>
      <c r="AS34" s="583">
        <v>36.200000000000003</v>
      </c>
      <c r="AT34" s="583">
        <v>0.88</v>
      </c>
      <c r="AU34" s="583">
        <v>0.97</v>
      </c>
      <c r="AV34" s="583" t="s">
        <v>27</v>
      </c>
      <c r="AW34" s="583">
        <v>10.5</v>
      </c>
      <c r="AX34" s="583" t="s">
        <v>1031</v>
      </c>
      <c r="AY34" s="583" t="s">
        <v>22</v>
      </c>
      <c r="AZ34" s="583" t="s">
        <v>23</v>
      </c>
      <c r="BA34" s="589" t="s">
        <v>1041</v>
      </c>
      <c r="BB34" s="584" t="s">
        <v>1007</v>
      </c>
      <c r="BC34" s="576" t="str">
        <f>IF(BA34="","",
INDEX('All Data'!$AT:$AT,MATCH(BA34,'All Data'!$O:$O,0)))</f>
        <v>https://industrial.panasonic.com/content/data/CC/pictures/lineup-Large%20current.gif</v>
      </c>
      <c r="BD34" s="576" t="e" vm="4">
        <f t="shared" si="0"/>
        <v>#VALUE!</v>
      </c>
      <c r="BE34"/>
      <c r="BF34"/>
      <c r="BG34"/>
      <c r="BH34"/>
      <c r="BI34" s="574" t="str">
        <f>IF(BA34="","",
INDEX('All Data'!$K:$K,MATCH(BA34,'All Data'!$O:$O,0)))</f>
        <v>High Current (≥□12)</v>
      </c>
      <c r="BJ34" s="267" t="str">
        <f t="shared" si="1"/>
        <v>https://industrial.panasonic.com/ww/products/pt/automotive-inductors/models/ETQPAM1R0JFW</v>
      </c>
      <c r="BK34"/>
      <c r="BL34"/>
      <c r="BM34"/>
    </row>
    <row r="35" spans="40:65" ht="12.75">
      <c r="AN35" s="583">
        <v>1.2</v>
      </c>
      <c r="AO35" s="583">
        <v>0.2</v>
      </c>
      <c r="AP35" s="583">
        <v>14</v>
      </c>
      <c r="AQ35" s="583">
        <v>10.4</v>
      </c>
      <c r="AR35" s="583">
        <v>20.7</v>
      </c>
      <c r="AS35" s="583">
        <v>15.8</v>
      </c>
      <c r="AT35" s="583">
        <v>6.6</v>
      </c>
      <c r="AU35" s="583">
        <v>7.26</v>
      </c>
      <c r="AV35" s="583" t="s">
        <v>83</v>
      </c>
      <c r="AW35" s="583">
        <v>4.8</v>
      </c>
      <c r="AX35" s="583" t="s">
        <v>852</v>
      </c>
      <c r="AY35" s="583" t="s">
        <v>22</v>
      </c>
      <c r="AZ35" s="583" t="s">
        <v>23</v>
      </c>
      <c r="BA35" s="589" t="s">
        <v>1042</v>
      </c>
      <c r="BB35" s="584" t="s">
        <v>1016</v>
      </c>
      <c r="BC35" s="576" t="str">
        <f>IF(BA35="","",
INDEX('All Data'!$AT:$AT,MATCH(BA35,'All Data'!$O:$O,0)))</f>
        <v>https://industrial.panasonic.com/content/data/CC/pictures/lineup-LE.gif</v>
      </c>
      <c r="BD35" s="576" t="e" vm="5">
        <f t="shared" si="0"/>
        <v>#VALUE!</v>
      </c>
      <c r="BE35"/>
      <c r="BF35"/>
      <c r="BG35"/>
      <c r="BH35"/>
      <c r="BI35" s="574" t="str">
        <f>IF(BA35="","",
INDEX('All Data'!$K:$K,MATCH(BA35,'All Data'!$O:$O,0)))</f>
        <v>LE (Low Price)</v>
      </c>
      <c r="BJ35" s="267" t="str">
        <f t="shared" si="1"/>
        <v>https://industrial.panasonic.com/ww/products/pt/automotive-inductors/models/ETQP4MR47KFM</v>
      </c>
      <c r="BK35"/>
      <c r="BL35"/>
      <c r="BM35"/>
    </row>
    <row r="36" spans="40:65" ht="12.75">
      <c r="AN36" s="583">
        <v>1.5</v>
      </c>
      <c r="AO36" s="583">
        <v>0.2</v>
      </c>
      <c r="AP36" s="583">
        <v>21.4</v>
      </c>
      <c r="AQ36" s="583">
        <v>17.899999999999999</v>
      </c>
      <c r="AR36" s="583">
        <v>35.1</v>
      </c>
      <c r="AS36" s="583">
        <v>25.52</v>
      </c>
      <c r="AT36" s="583">
        <v>3.8</v>
      </c>
      <c r="AU36" s="583">
        <v>4.18</v>
      </c>
      <c r="AV36" s="583" t="s">
        <v>43</v>
      </c>
      <c r="AW36" s="583">
        <v>5.4</v>
      </c>
      <c r="AX36" s="583" t="s">
        <v>852</v>
      </c>
      <c r="AY36" s="583" t="s">
        <v>22</v>
      </c>
      <c r="AZ36" s="583" t="s">
        <v>23</v>
      </c>
      <c r="BA36" s="589" t="s">
        <v>45</v>
      </c>
      <c r="BB36" s="584" t="s">
        <v>897</v>
      </c>
      <c r="BC36" s="576" t="str">
        <f>IF(BA36="","",
INDEX('All Data'!$AT:$AT,MATCH(BA36,'All Data'!$O:$O,0)))</f>
        <v>https://industrial.panasonic.com/content/data/CC/pictures/lineup-Metal-core.gif</v>
      </c>
      <c r="BD36" s="576" t="e" vm="3">
        <f t="shared" si="0"/>
        <v>#VALUE!</v>
      </c>
      <c r="BE36"/>
      <c r="BF36"/>
      <c r="BG36"/>
      <c r="BH36"/>
      <c r="BI36" s="574" t="str">
        <f>IF(BA36="","",
INDEX('All Data'!$K:$K,MATCH(BA36,'All Data'!$O:$O,0)))</f>
        <v>High Isat (Standard)</v>
      </c>
      <c r="BJ36" s="267" t="str">
        <f t="shared" si="1"/>
        <v>https://industrial.panasonic.com/ww/products/pt/automotive-inductors/models/ETQP5M1R5YFC</v>
      </c>
      <c r="BK36"/>
      <c r="BL36"/>
      <c r="BM36"/>
    </row>
    <row r="37" spans="40:65" ht="12.75">
      <c r="AN37" s="603"/>
      <c r="AO37" s="603"/>
      <c r="AP37" s="583">
        <v>23.3</v>
      </c>
      <c r="AQ37" s="583">
        <v>19.5</v>
      </c>
      <c r="AR37" s="583">
        <v>32</v>
      </c>
      <c r="AS37" s="583">
        <v>22.19</v>
      </c>
      <c r="AT37" s="583">
        <v>3.2</v>
      </c>
      <c r="AU37" s="583">
        <v>3.52</v>
      </c>
      <c r="AV37" s="583" t="s">
        <v>21</v>
      </c>
      <c r="AW37" s="583">
        <v>6</v>
      </c>
      <c r="AX37" s="583" t="s">
        <v>852</v>
      </c>
      <c r="AY37" s="583" t="s">
        <v>22</v>
      </c>
      <c r="AZ37" s="583" t="s">
        <v>23</v>
      </c>
      <c r="BA37" s="589" t="s">
        <v>46</v>
      </c>
      <c r="BB37" s="584" t="s">
        <v>898</v>
      </c>
      <c r="BC37" s="576" t="str">
        <f>IF(BA37="","",
INDEX('All Data'!$AT:$AT,MATCH(BA37,'All Data'!$O:$O,0)))</f>
        <v>https://industrial.panasonic.com/content/data/CC/pictures/lineup-Metal-core.gif</v>
      </c>
      <c r="BD37" s="576" t="e" vm="3">
        <f t="shared" si="0"/>
        <v>#VALUE!</v>
      </c>
      <c r="BE37"/>
      <c r="BF37"/>
      <c r="BG37"/>
      <c r="BH37"/>
      <c r="BI37" s="574" t="str">
        <f>IF(BA37="","",
INDEX('All Data'!$K:$K,MATCH(BA37,'All Data'!$O:$O,0)))</f>
        <v>High Isat (Standard)</v>
      </c>
      <c r="BJ37" s="267" t="str">
        <f t="shared" si="1"/>
        <v>https://industrial.panasonic.com/ww/products/pt/automotive-inductors/models/ETQP6M1R5YLC</v>
      </c>
      <c r="BK37"/>
      <c r="BL37"/>
      <c r="BM37"/>
    </row>
    <row r="38" spans="40:65" ht="12.75">
      <c r="AN38" s="603"/>
      <c r="AO38" s="603"/>
      <c r="AP38" s="583">
        <v>33.299999999999997</v>
      </c>
      <c r="AQ38" s="583">
        <v>27.7</v>
      </c>
      <c r="AR38" s="583">
        <v>29.9</v>
      </c>
      <c r="AS38" s="583">
        <v>21.51</v>
      </c>
      <c r="AT38" s="583">
        <v>1.8</v>
      </c>
      <c r="AU38" s="583">
        <v>1.9800000000000002</v>
      </c>
      <c r="AV38" s="583" t="s">
        <v>25</v>
      </c>
      <c r="AW38" s="583">
        <v>8</v>
      </c>
      <c r="AX38" s="583" t="s">
        <v>1031</v>
      </c>
      <c r="AY38" s="583" t="s">
        <v>22</v>
      </c>
      <c r="AZ38" s="583" t="s">
        <v>23</v>
      </c>
      <c r="BA38" s="589" t="s">
        <v>47</v>
      </c>
      <c r="BB38" s="584" t="s">
        <v>899</v>
      </c>
      <c r="BC38" s="576" t="str">
        <f>IF(BA38="","",
INDEX('All Data'!$AT:$AT,MATCH(BA38,'All Data'!$O:$O,0)))</f>
        <v>https://industrial.panasonic.com/content/data/CC/pictures/lineup-Large%20current.gif</v>
      </c>
      <c r="BD38" s="576" t="e" vm="4">
        <f t="shared" si="0"/>
        <v>#VALUE!</v>
      </c>
      <c r="BE38"/>
      <c r="BF38"/>
      <c r="BG38"/>
      <c r="BH38"/>
      <c r="BI38" s="574" t="str">
        <f>IF(BA38="","",
INDEX('All Data'!$K:$K,MATCH(BA38,'All Data'!$O:$O,0)))</f>
        <v>High Current (≥□12)</v>
      </c>
      <c r="BJ38" s="267" t="str">
        <f t="shared" si="1"/>
        <v>https://industrial.panasonic.com/ww/products/pt/automotive-inductors/models/ETQP8M1R5JFA</v>
      </c>
      <c r="BK38"/>
      <c r="BL38"/>
      <c r="BM38"/>
    </row>
    <row r="39" spans="40:65" ht="12.75">
      <c r="AN39" s="603"/>
      <c r="AO39" s="603"/>
      <c r="AP39" s="583">
        <v>8.1</v>
      </c>
      <c r="AQ39" s="583">
        <v>6.7</v>
      </c>
      <c r="AR39" s="583">
        <v>12</v>
      </c>
      <c r="AS39" s="583">
        <v>9.61</v>
      </c>
      <c r="AT39" s="583">
        <v>12</v>
      </c>
      <c r="AU39" s="583">
        <v>13.200000000000001</v>
      </c>
      <c r="AV39" s="583" t="s">
        <v>26</v>
      </c>
      <c r="AW39" s="583">
        <v>3</v>
      </c>
      <c r="AX39" s="583" t="s">
        <v>851</v>
      </c>
      <c r="AY39" s="583" t="s">
        <v>22</v>
      </c>
      <c r="AZ39" s="583" t="s">
        <v>23</v>
      </c>
      <c r="BA39" s="589" t="s">
        <v>48</v>
      </c>
      <c r="BB39" s="584" t="s">
        <v>900</v>
      </c>
      <c r="BC39" s="576" t="str">
        <f>IF(BA39="","",
INDEX('All Data'!$AT:$AT,MATCH(BA39,'All Data'!$O:$O,0)))</f>
        <v>https://industrial.panasonic.com/content/data/CC/pictures/lineup-LP.gif</v>
      </c>
      <c r="BD39" s="576" t="e" vm="1">
        <f t="shared" si="0"/>
        <v>#VALUE!</v>
      </c>
      <c r="BE39"/>
      <c r="BF39"/>
      <c r="BG39"/>
      <c r="BH39"/>
      <c r="BI39" s="574" t="str">
        <f>IF(BA39="","",
INDEX('All Data'!$K:$K,MATCH(BA39,'All Data'!$O:$O,0)))</f>
        <v>LP (Low Profile)</v>
      </c>
      <c r="BJ39" s="267" t="str">
        <f t="shared" si="1"/>
        <v>https://industrial.panasonic.com/ww/products/pt/automotive-inductors/models/ETQP3M1R5KVP</v>
      </c>
      <c r="BK39"/>
      <c r="BL39"/>
      <c r="BM39"/>
    </row>
    <row r="40" spans="40:65" ht="12.75">
      <c r="AN40" s="603"/>
      <c r="AO40" s="603"/>
      <c r="AP40" s="583">
        <v>9.1</v>
      </c>
      <c r="AQ40" s="583">
        <v>7.4</v>
      </c>
      <c r="AR40" s="583">
        <v>14.2</v>
      </c>
      <c r="AS40" s="583">
        <v>10.37</v>
      </c>
      <c r="AT40" s="583">
        <v>11</v>
      </c>
      <c r="AU40" s="583">
        <v>12.100000000000001</v>
      </c>
      <c r="AV40" s="583" t="s">
        <v>32</v>
      </c>
      <c r="AW40" s="583">
        <v>3</v>
      </c>
      <c r="AX40" s="583" t="s">
        <v>851</v>
      </c>
      <c r="AY40" s="583" t="s">
        <v>22</v>
      </c>
      <c r="AZ40" s="583" t="s">
        <v>23</v>
      </c>
      <c r="BA40" s="589" t="s">
        <v>49</v>
      </c>
      <c r="BB40" s="584" t="s">
        <v>901</v>
      </c>
      <c r="BC40" s="576" t="str">
        <f>IF(BA40="","",
INDEX('All Data'!$AT:$AT,MATCH(BA40,'All Data'!$O:$O,0)))</f>
        <v>https://industrial.panasonic.com/content/data/CC/pictures/lineup-LP.gif</v>
      </c>
      <c r="BD40" s="576" t="e" vm="1">
        <f t="shared" si="0"/>
        <v>#VALUE!</v>
      </c>
      <c r="BE40"/>
      <c r="BF40"/>
      <c r="BG40"/>
      <c r="BH40"/>
      <c r="BI40" s="574" t="str">
        <f>IF(BA40="","",
INDEX('All Data'!$K:$K,MATCH(BA40,'All Data'!$O:$O,0)))</f>
        <v>LP (Low Profile)</v>
      </c>
      <c r="BJ40" s="267" t="str">
        <f t="shared" ref="BJ40:BJ45" si="2">IF(BB40="","",HYPERLINK(BB40))</f>
        <v>https://industrial.panasonic.com/ww/products/pt/automotive-inductors/models/ETQP3M1R5KVN</v>
      </c>
      <c r="BK40"/>
      <c r="BL40"/>
      <c r="BM40"/>
    </row>
    <row r="41" spans="40:65" ht="12.75">
      <c r="AN41" s="603"/>
      <c r="AO41" s="603"/>
      <c r="AP41" s="583">
        <v>15.1</v>
      </c>
      <c r="AQ41" s="583">
        <v>12.8</v>
      </c>
      <c r="AR41" s="583">
        <v>22.5</v>
      </c>
      <c r="AS41" s="583">
        <v>17.559999999999999</v>
      </c>
      <c r="AT41" s="583">
        <v>4.9000000000000004</v>
      </c>
      <c r="AU41" s="583">
        <v>5.3900000000000006</v>
      </c>
      <c r="AV41" s="583" t="s">
        <v>1027</v>
      </c>
      <c r="AW41" s="583">
        <v>4</v>
      </c>
      <c r="AX41" s="583" t="s">
        <v>851</v>
      </c>
      <c r="AY41" s="583" t="s">
        <v>22</v>
      </c>
      <c r="AZ41" s="583" t="s">
        <v>23</v>
      </c>
      <c r="BA41" s="589" t="s">
        <v>50</v>
      </c>
      <c r="BB41" s="584" t="s">
        <v>902</v>
      </c>
      <c r="BC41" s="576" t="str">
        <f>IF(BA41="","",
INDEX('All Data'!$AT:$AT,MATCH(BA41,'All Data'!$O:$O,0)))</f>
        <v>https://industrial.panasonic.com/content/data/CC/pictures/lineup-LP.gif</v>
      </c>
      <c r="BD41" s="576" t="e" vm="1">
        <f t="shared" si="0"/>
        <v>#VALUE!</v>
      </c>
      <c r="BE41"/>
      <c r="BF41"/>
      <c r="BG41"/>
      <c r="BH41"/>
      <c r="BI41" s="574" t="str">
        <f>IF(BA41="","",
INDEX('All Data'!$K:$K,MATCH(BA41,'All Data'!$O:$O,0)))</f>
        <v>LP (Low Profile)</v>
      </c>
      <c r="BJ41" s="267" t="str">
        <f t="shared" si="2"/>
        <v>https://industrial.panasonic.com/ww/products/pt/automotive-inductors/models/ETQP4M1R5KVK</v>
      </c>
      <c r="BK41"/>
      <c r="BL41"/>
      <c r="BM41"/>
    </row>
    <row r="42" spans="40:65" ht="12.75">
      <c r="AN42" s="603"/>
      <c r="AO42" s="603"/>
      <c r="AP42" s="583">
        <v>12.6</v>
      </c>
      <c r="AQ42" s="583">
        <v>9.3000000000000007</v>
      </c>
      <c r="AR42" s="583">
        <v>18.2</v>
      </c>
      <c r="AS42" s="583">
        <v>12.5</v>
      </c>
      <c r="AT42" s="583">
        <v>8.1</v>
      </c>
      <c r="AU42" s="583">
        <v>8.91</v>
      </c>
      <c r="AV42" s="583" t="s">
        <v>83</v>
      </c>
      <c r="AW42" s="583">
        <v>4.8</v>
      </c>
      <c r="AX42" s="583" t="s">
        <v>852</v>
      </c>
      <c r="AY42" s="583" t="s">
        <v>22</v>
      </c>
      <c r="AZ42" s="583" t="s">
        <v>23</v>
      </c>
      <c r="BA42" s="589" t="s">
        <v>1043</v>
      </c>
      <c r="BB42" s="584" t="s">
        <v>1016</v>
      </c>
      <c r="BC42" s="576" t="str">
        <f>IF(BA42="","",
INDEX('All Data'!$AT:$AT,MATCH(BA42,'All Data'!$O:$O,0)))</f>
        <v>https://industrial.panasonic.com/content/data/CC/pictures/lineup-LE.gif</v>
      </c>
      <c r="BD42" s="576" t="e" vm="5">
        <f t="shared" si="0"/>
        <v>#VALUE!</v>
      </c>
      <c r="BE42"/>
      <c r="BF42"/>
      <c r="BG42"/>
      <c r="BH42"/>
      <c r="BI42" s="574" t="str">
        <f>IF(BA42="","",
INDEX('All Data'!$K:$K,MATCH(BA42,'All Data'!$O:$O,0)))</f>
        <v>LE (Low Price)</v>
      </c>
      <c r="BJ42" s="267" t="str">
        <f t="shared" si="2"/>
        <v>https://industrial.panasonic.com/ww/products/pt/automotive-inductors/models/ETQP4MR47KFM</v>
      </c>
      <c r="BK42"/>
      <c r="BL42"/>
      <c r="BM42"/>
    </row>
    <row r="43" spans="40:65" ht="12.75">
      <c r="AN43" s="603"/>
      <c r="AO43" s="603"/>
      <c r="AP43" s="583">
        <v>17.399999999999999</v>
      </c>
      <c r="AQ43" s="583">
        <v>14.3</v>
      </c>
      <c r="AR43" s="583">
        <v>25</v>
      </c>
      <c r="AS43" s="583">
        <v>19.36</v>
      </c>
      <c r="AT43" s="583">
        <v>4.9000000000000004</v>
      </c>
      <c r="AU43" s="583">
        <v>5.3900000000000006</v>
      </c>
      <c r="AV43" s="583" t="s">
        <v>43</v>
      </c>
      <c r="AW43" s="583">
        <v>4</v>
      </c>
      <c r="AX43" s="583" t="s">
        <v>851</v>
      </c>
      <c r="AY43" s="583" t="s">
        <v>22</v>
      </c>
      <c r="AZ43" s="583" t="s">
        <v>23</v>
      </c>
      <c r="BA43" s="589" t="s">
        <v>51</v>
      </c>
      <c r="BB43" s="584" t="s">
        <v>903</v>
      </c>
      <c r="BC43" s="576" t="str">
        <f>IF(BA43="","",
INDEX('All Data'!$AT:$AT,MATCH(BA43,'All Data'!$O:$O,0)))</f>
        <v>https://industrial.panasonic.com/content/data/CC/pictures/lineup-LP.gif</v>
      </c>
      <c r="BD43" s="576" t="e" vm="1">
        <f t="shared" si="0"/>
        <v>#VALUE!</v>
      </c>
      <c r="BE43"/>
      <c r="BF43"/>
      <c r="BG43"/>
      <c r="BH43"/>
      <c r="BI43" s="574" t="str">
        <f>IF(BA43="","",
INDEX('All Data'!$K:$K,MATCH(BA43,'All Data'!$O:$O,0)))</f>
        <v>LP (Low Profile)</v>
      </c>
      <c r="BJ43" s="267" t="str">
        <f t="shared" si="2"/>
        <v>https://industrial.panasonic.com/ww/products/pt/automotive-inductors/models/ETQP4M1R5KVC</v>
      </c>
      <c r="BK43"/>
      <c r="BL43"/>
      <c r="BM43"/>
    </row>
    <row r="44" spans="40:65" ht="12.75">
      <c r="AN44" s="603"/>
      <c r="AO44" s="603"/>
      <c r="AP44" s="583">
        <v>52</v>
      </c>
      <c r="AQ44" s="583">
        <v>43</v>
      </c>
      <c r="AR44" s="583">
        <v>43</v>
      </c>
      <c r="AS44" s="583">
        <v>30.5</v>
      </c>
      <c r="AT44" s="583">
        <v>1.1000000000000001</v>
      </c>
      <c r="AU44" s="583">
        <v>1.21</v>
      </c>
      <c r="AV44" s="583" t="s">
        <v>27</v>
      </c>
      <c r="AW44" s="583">
        <v>10.5</v>
      </c>
      <c r="AX44" s="583" t="s">
        <v>1031</v>
      </c>
      <c r="AY44" s="583" t="s">
        <v>22</v>
      </c>
      <c r="AZ44" s="583" t="s">
        <v>23</v>
      </c>
      <c r="BA44" s="589" t="s">
        <v>1044</v>
      </c>
      <c r="BB44" s="584" t="s">
        <v>1008</v>
      </c>
      <c r="BC44" s="576" t="str">
        <f>IF(BA44="","",
INDEX('All Data'!$AT:$AT,MATCH(BA44,'All Data'!$O:$O,0)))</f>
        <v>https://industrial.panasonic.com/content/data/CC/pictures/lineup-Large%20current.gif</v>
      </c>
      <c r="BD44" s="576" t="e" vm="4">
        <f t="shared" si="0"/>
        <v>#VALUE!</v>
      </c>
      <c r="BE44"/>
      <c r="BF44"/>
      <c r="BG44"/>
      <c r="BH44"/>
      <c r="BI44" s="574" t="str">
        <f>IF(BA44="","",
INDEX('All Data'!$K:$K,MATCH(BA44,'All Data'!$O:$O,0)))</f>
        <v>High Current (≥□12)</v>
      </c>
      <c r="BJ44" s="267" t="str">
        <f t="shared" si="2"/>
        <v>https://industrial.panasonic.com/ww/products/pt/automotive-inductors/models/ETQPAM1R5JFW</v>
      </c>
      <c r="BK44"/>
      <c r="BL44"/>
      <c r="BM44"/>
    </row>
    <row r="45" spans="40:65" ht="12.75">
      <c r="AN45" s="583">
        <v>1.9</v>
      </c>
      <c r="AO45" s="583">
        <v>0.2</v>
      </c>
      <c r="AP45" s="583">
        <v>19.8</v>
      </c>
      <c r="AQ45" s="583">
        <v>16.5</v>
      </c>
      <c r="AR45" s="583">
        <v>29.8</v>
      </c>
      <c r="AS45" s="583">
        <v>21</v>
      </c>
      <c r="AT45" s="583">
        <v>4.45</v>
      </c>
      <c r="AU45" s="583">
        <v>4.9000000000000004</v>
      </c>
      <c r="AV45" s="583" t="s">
        <v>21</v>
      </c>
      <c r="AW45" s="583">
        <v>5</v>
      </c>
      <c r="AX45" s="583" t="s">
        <v>852</v>
      </c>
      <c r="AY45" s="583" t="s">
        <v>22</v>
      </c>
      <c r="AZ45" s="583" t="s">
        <v>23</v>
      </c>
      <c r="BA45" s="589" t="s">
        <v>1045</v>
      </c>
      <c r="BB45" s="584" t="s">
        <v>904</v>
      </c>
      <c r="BC45" s="576" t="str">
        <f>IF(BA45="","",
INDEX('All Data'!$AT:$AT,MATCH(BA45,'All Data'!$O:$O,0)))</f>
        <v>https://industrial.panasonic.com/content/data/CC/pictures/lineup-Metal-core.gif</v>
      </c>
      <c r="BD45" s="576" t="e" vm="3">
        <f t="shared" si="0"/>
        <v>#VALUE!</v>
      </c>
      <c r="BE45"/>
      <c r="BF45"/>
      <c r="BG45"/>
      <c r="BH45"/>
      <c r="BI45" s="574" t="str">
        <f>IF(BA45="","",
INDEX('All Data'!$K:$K,MATCH(BA45,'All Data'!$O:$O,0)))</f>
        <v>High Anti-vibration</v>
      </c>
      <c r="BJ45" s="267" t="str">
        <f t="shared" si="2"/>
        <v>https://industrial.panasonic.com/ww/products/pt/automotive-inductors/models/ETQP5M2R0YSC</v>
      </c>
      <c r="BK45"/>
      <c r="BL45"/>
      <c r="BM45"/>
    </row>
    <row r="46" spans="40:65" ht="12.75">
      <c r="AN46" s="583">
        <v>2</v>
      </c>
      <c r="AO46" s="583">
        <v>0.2</v>
      </c>
      <c r="AP46" s="583">
        <v>19.399999999999999</v>
      </c>
      <c r="AQ46" s="583">
        <v>16.2</v>
      </c>
      <c r="AR46" s="583">
        <v>31.3</v>
      </c>
      <c r="AS46" s="583">
        <v>22.17</v>
      </c>
      <c r="AT46" s="583">
        <v>4.5999999999999996</v>
      </c>
      <c r="AU46" s="583">
        <v>5.0599999999999996</v>
      </c>
      <c r="AV46" s="583" t="s">
        <v>21</v>
      </c>
      <c r="AW46" s="583">
        <v>5</v>
      </c>
      <c r="AX46" s="583" t="s">
        <v>852</v>
      </c>
      <c r="AY46" s="583" t="s">
        <v>22</v>
      </c>
      <c r="AZ46" s="583" t="s">
        <v>23</v>
      </c>
      <c r="BA46" s="589" t="s">
        <v>52</v>
      </c>
      <c r="BB46" s="584" t="s">
        <v>905</v>
      </c>
      <c r="BC46" s="576" t="str">
        <f>IF(BA46="","",
INDEX('All Data'!$AT:$AT,MATCH(BA46,'All Data'!$O:$O,0)))</f>
        <v>https://industrial.panasonic.com/content/data/CC/pictures/lineup-Metal-core.gif</v>
      </c>
      <c r="BD46" s="576" t="e" vm="3">
        <f t="shared" si="0"/>
        <v>#VALUE!</v>
      </c>
      <c r="BE46"/>
      <c r="BF46"/>
      <c r="BG46"/>
      <c r="BH46"/>
      <c r="BI46" s="574" t="str">
        <f>IF(BA46="","",
INDEX('All Data'!$K:$K,MATCH(BA46,'All Data'!$O:$O,0)))</f>
        <v>High Isat (Standard)</v>
      </c>
      <c r="BJ46" s="267" t="str">
        <f t="shared" ref="BJ46" si="3">IF(BB46="","",HYPERLINK(BB46))</f>
        <v>https://industrial.panasonic.com/ww/products/pt/automotive-inductors/models/ETQP5M2R0YLC</v>
      </c>
      <c r="BK46"/>
      <c r="BL46"/>
      <c r="BM46"/>
    </row>
    <row r="47" spans="40:65" ht="12.75">
      <c r="AN47" s="583">
        <v>2.2000000000000002</v>
      </c>
      <c r="AO47" s="583">
        <v>0.2</v>
      </c>
      <c r="AP47" s="583">
        <v>5.8</v>
      </c>
      <c r="AQ47" s="583">
        <v>4.8</v>
      </c>
      <c r="AR47" s="583">
        <v>10.9</v>
      </c>
      <c r="AS47" s="583">
        <v>7.96</v>
      </c>
      <c r="AT47" s="583">
        <v>22.6</v>
      </c>
      <c r="AU47" s="583">
        <v>24.8</v>
      </c>
      <c r="AV47" s="583" t="s">
        <v>26</v>
      </c>
      <c r="AW47" s="583">
        <v>3</v>
      </c>
      <c r="AX47" s="583" t="s">
        <v>852</v>
      </c>
      <c r="AY47" s="583" t="s">
        <v>22</v>
      </c>
      <c r="AZ47" s="583" t="s">
        <v>23</v>
      </c>
      <c r="BA47" s="589" t="s">
        <v>1046</v>
      </c>
      <c r="BB47" s="584" t="s">
        <v>906</v>
      </c>
      <c r="BC47" s="576"/>
      <c r="BD47" s="576"/>
      <c r="BE47"/>
      <c r="BF47"/>
      <c r="BG47"/>
      <c r="BH47"/>
      <c r="BI47" s="574"/>
      <c r="BJ47" s="267"/>
      <c r="BK47"/>
      <c r="BL47"/>
      <c r="BM47"/>
    </row>
    <row r="48" spans="40:65" ht="12.75">
      <c r="AN48" s="603"/>
      <c r="AO48" s="603"/>
      <c r="AP48" s="583">
        <v>6.3</v>
      </c>
      <c r="AQ48" s="583">
        <v>5.2</v>
      </c>
      <c r="AR48" s="583">
        <v>9</v>
      </c>
      <c r="AS48" s="583">
        <v>6.4</v>
      </c>
      <c r="AT48" s="583">
        <v>19.5</v>
      </c>
      <c r="AU48" s="583">
        <v>21.45</v>
      </c>
      <c r="AV48" s="583" t="s">
        <v>26</v>
      </c>
      <c r="AW48" s="583">
        <v>3</v>
      </c>
      <c r="AX48" s="583" t="s">
        <v>852</v>
      </c>
      <c r="AY48" s="583" t="s">
        <v>22</v>
      </c>
      <c r="AZ48" s="583" t="s">
        <v>23</v>
      </c>
      <c r="BA48" s="589" t="s">
        <v>1047</v>
      </c>
      <c r="BB48" s="584" t="s">
        <v>911</v>
      </c>
      <c r="BC48" s="576"/>
      <c r="BD48" s="576"/>
      <c r="BE48"/>
      <c r="BF48"/>
      <c r="BG48"/>
      <c r="BH48"/>
      <c r="BI48" s="574"/>
      <c r="BJ48" s="267"/>
      <c r="BK48"/>
      <c r="BL48"/>
      <c r="BM48"/>
    </row>
    <row r="49" spans="40:65" ht="12.75">
      <c r="AN49" s="603"/>
      <c r="AO49" s="603"/>
      <c r="AP49" s="603"/>
      <c r="AQ49" s="603"/>
      <c r="AR49" s="583">
        <v>10.1</v>
      </c>
      <c r="AS49" s="583">
        <v>7.38</v>
      </c>
      <c r="AT49" s="583">
        <v>20</v>
      </c>
      <c r="AU49" s="583">
        <v>22</v>
      </c>
      <c r="AV49" s="583" t="s">
        <v>26</v>
      </c>
      <c r="AW49" s="583">
        <v>3</v>
      </c>
      <c r="AX49" s="583" t="s">
        <v>851</v>
      </c>
      <c r="AY49" s="583" t="s">
        <v>22</v>
      </c>
      <c r="AZ49" s="583" t="s">
        <v>23</v>
      </c>
      <c r="BA49" s="589" t="s">
        <v>53</v>
      </c>
      <c r="BB49" s="584" t="s">
        <v>907</v>
      </c>
      <c r="BC49" s="576"/>
      <c r="BD49" s="576"/>
      <c r="BE49"/>
      <c r="BF49"/>
      <c r="BG49"/>
      <c r="BH49"/>
      <c r="BI49" s="574"/>
      <c r="BJ49" s="267"/>
      <c r="BK49"/>
      <c r="BL49"/>
      <c r="BM49"/>
    </row>
    <row r="50" spans="40:65" ht="12.75">
      <c r="AN50" s="603"/>
      <c r="AO50" s="603"/>
      <c r="AP50" s="583">
        <v>10.199999999999999</v>
      </c>
      <c r="AQ50" s="583">
        <v>8</v>
      </c>
      <c r="AR50" s="583">
        <v>14.4</v>
      </c>
      <c r="AS50" s="583">
        <v>10.41</v>
      </c>
      <c r="AT50" s="583">
        <v>10.4</v>
      </c>
      <c r="AU50" s="583">
        <v>11.440000000000001</v>
      </c>
      <c r="AV50" s="583" t="s">
        <v>28</v>
      </c>
      <c r="AW50" s="583">
        <v>4.5</v>
      </c>
      <c r="AX50" s="583" t="s">
        <v>852</v>
      </c>
      <c r="AY50" s="583" t="s">
        <v>22</v>
      </c>
      <c r="AZ50" s="583" t="s">
        <v>23</v>
      </c>
      <c r="BA50" s="589" t="s">
        <v>1048</v>
      </c>
      <c r="BB50" s="584" t="s">
        <v>912</v>
      </c>
      <c r="BC50" s="576"/>
      <c r="BD50" s="576"/>
      <c r="BE50"/>
      <c r="BF50"/>
      <c r="BG50"/>
      <c r="BH50"/>
      <c r="BI50" s="574"/>
      <c r="BJ50" s="267"/>
      <c r="BK50"/>
      <c r="BL50"/>
      <c r="BM50"/>
    </row>
    <row r="51" spans="40:65" ht="12.75">
      <c r="AN51" s="603"/>
      <c r="AO51" s="603"/>
      <c r="AP51" s="583">
        <v>7.9</v>
      </c>
      <c r="AQ51" s="583">
        <v>6.5</v>
      </c>
      <c r="AR51" s="583">
        <v>12.8</v>
      </c>
      <c r="AS51" s="583">
        <v>8.9</v>
      </c>
      <c r="AT51" s="583">
        <v>14.5</v>
      </c>
      <c r="AU51" s="583">
        <v>15.950000000000001</v>
      </c>
      <c r="AV51" s="583" t="s">
        <v>32</v>
      </c>
      <c r="AW51" s="583">
        <v>3</v>
      </c>
      <c r="AX51" s="583" t="s">
        <v>851</v>
      </c>
      <c r="AY51" s="583" t="s">
        <v>22</v>
      </c>
      <c r="AZ51" s="583" t="s">
        <v>23</v>
      </c>
      <c r="BA51" s="589" t="s">
        <v>54</v>
      </c>
      <c r="BB51" s="584" t="s">
        <v>908</v>
      </c>
      <c r="BC51" s="576"/>
      <c r="BD51" s="576"/>
      <c r="BE51"/>
      <c r="BF51"/>
      <c r="BG51"/>
      <c r="BH51"/>
      <c r="BI51" s="574"/>
      <c r="BJ51" s="267"/>
      <c r="BK51"/>
      <c r="BL51"/>
      <c r="BM51"/>
    </row>
    <row r="52" spans="40:65" ht="12.75">
      <c r="AN52" s="603"/>
      <c r="AO52" s="603"/>
      <c r="AP52" s="583">
        <v>11.4</v>
      </c>
      <c r="AQ52" s="583">
        <v>9.8000000000000007</v>
      </c>
      <c r="AR52" s="583">
        <v>20.399999999999999</v>
      </c>
      <c r="AS52" s="583">
        <v>15.16</v>
      </c>
      <c r="AT52" s="583">
        <v>8.5</v>
      </c>
      <c r="AU52" s="583">
        <v>9.3500000000000014</v>
      </c>
      <c r="AV52" s="583" t="s">
        <v>1027</v>
      </c>
      <c r="AW52" s="583">
        <v>4</v>
      </c>
      <c r="AX52" s="583" t="s">
        <v>851</v>
      </c>
      <c r="AY52" s="583" t="s">
        <v>22</v>
      </c>
      <c r="AZ52" s="583" t="s">
        <v>23</v>
      </c>
      <c r="BA52" s="589" t="s">
        <v>55</v>
      </c>
      <c r="BB52" s="584" t="s">
        <v>909</v>
      </c>
      <c r="BC52" s="576"/>
      <c r="BD52" s="576"/>
      <c r="BE52"/>
      <c r="BF52"/>
      <c r="BG52"/>
      <c r="BH52"/>
      <c r="BI52" s="574"/>
      <c r="BJ52" s="267"/>
      <c r="BK52"/>
      <c r="BL52"/>
      <c r="BM52"/>
    </row>
    <row r="53" spans="40:65" ht="12.75">
      <c r="AN53" s="603"/>
      <c r="AO53" s="603"/>
      <c r="AP53" s="583">
        <v>14.8</v>
      </c>
      <c r="AQ53" s="583">
        <v>12.1</v>
      </c>
      <c r="AR53" s="583">
        <v>21</v>
      </c>
      <c r="AS53" s="583">
        <v>16.920000000000002</v>
      </c>
      <c r="AT53" s="583">
        <v>6.8</v>
      </c>
      <c r="AU53" s="583">
        <v>7.48</v>
      </c>
      <c r="AV53" s="583" t="s">
        <v>43</v>
      </c>
      <c r="AW53" s="583">
        <v>4</v>
      </c>
      <c r="AX53" s="583" t="s">
        <v>851</v>
      </c>
      <c r="AY53" s="583" t="s">
        <v>22</v>
      </c>
      <c r="AZ53" s="583" t="s">
        <v>23</v>
      </c>
      <c r="BA53" s="589" t="s">
        <v>56</v>
      </c>
      <c r="BB53" s="584" t="s">
        <v>910</v>
      </c>
      <c r="BC53" s="576"/>
      <c r="BD53" s="576"/>
      <c r="BE53"/>
      <c r="BF53"/>
      <c r="BG53"/>
      <c r="BH53"/>
      <c r="BI53" s="574"/>
      <c r="BJ53" s="267"/>
      <c r="BK53"/>
      <c r="BL53"/>
      <c r="BM53"/>
    </row>
    <row r="54" spans="40:65" ht="12.75">
      <c r="AN54" s="603"/>
      <c r="AO54" s="603"/>
      <c r="AP54" s="583">
        <v>11.7</v>
      </c>
      <c r="AQ54" s="583">
        <v>8.6</v>
      </c>
      <c r="AR54" s="583">
        <v>16.100000000000001</v>
      </c>
      <c r="AS54" s="583">
        <v>11</v>
      </c>
      <c r="AT54" s="583">
        <v>9.5</v>
      </c>
      <c r="AU54" s="583">
        <v>10.45</v>
      </c>
      <c r="AV54" s="583" t="s">
        <v>83</v>
      </c>
      <c r="AW54" s="583">
        <v>4.8</v>
      </c>
      <c r="AX54" s="583" t="s">
        <v>852</v>
      </c>
      <c r="AY54" s="583" t="s">
        <v>22</v>
      </c>
      <c r="AZ54" s="583" t="s">
        <v>23</v>
      </c>
      <c r="BA54" s="589" t="s">
        <v>1049</v>
      </c>
      <c r="BB54" s="584" t="s">
        <v>1016</v>
      </c>
      <c r="BC54" s="576"/>
      <c r="BD54" s="576"/>
      <c r="BE54"/>
      <c r="BF54"/>
      <c r="BG54"/>
      <c r="BH54"/>
      <c r="BI54" s="574"/>
      <c r="BJ54" s="267"/>
      <c r="BK54"/>
      <c r="BL54"/>
      <c r="BM54"/>
    </row>
    <row r="55" spans="40:65" ht="12.75">
      <c r="AN55" s="583">
        <v>2.4500000000000002</v>
      </c>
      <c r="AO55" s="583">
        <v>0.2</v>
      </c>
      <c r="AP55" s="583">
        <v>14.1</v>
      </c>
      <c r="AQ55" s="583">
        <v>12</v>
      </c>
      <c r="AR55" s="583">
        <v>19.3</v>
      </c>
      <c r="AS55" s="583">
        <v>13.7</v>
      </c>
      <c r="AT55" s="583">
        <v>7.4</v>
      </c>
      <c r="AU55" s="583">
        <v>8.14</v>
      </c>
      <c r="AV55" s="583" t="s">
        <v>34</v>
      </c>
      <c r="AW55" s="583">
        <v>5.4</v>
      </c>
      <c r="AX55" s="583" t="s">
        <v>852</v>
      </c>
      <c r="AY55" s="583" t="s">
        <v>22</v>
      </c>
      <c r="AZ55" s="583" t="s">
        <v>23</v>
      </c>
      <c r="BA55" s="589" t="s">
        <v>1050</v>
      </c>
      <c r="BB55" s="584" t="s">
        <v>913</v>
      </c>
      <c r="BC55" s="576"/>
      <c r="BD55" s="576"/>
      <c r="BE55"/>
      <c r="BF55"/>
      <c r="BG55"/>
      <c r="BH55"/>
      <c r="BI55" s="574"/>
      <c r="BJ55" s="267"/>
      <c r="BK55"/>
      <c r="BL55"/>
      <c r="BM55"/>
    </row>
    <row r="56" spans="40:65" ht="12.75">
      <c r="AN56" s="583">
        <v>2.5</v>
      </c>
      <c r="AO56" s="583">
        <v>0.2</v>
      </c>
      <c r="AP56" s="583">
        <v>18.100000000000001</v>
      </c>
      <c r="AQ56" s="583">
        <v>15.1</v>
      </c>
      <c r="AR56" s="583">
        <v>27.2</v>
      </c>
      <c r="AS56" s="583">
        <v>19.739999999999998</v>
      </c>
      <c r="AT56" s="583">
        <v>5.3</v>
      </c>
      <c r="AU56" s="583">
        <v>5.9</v>
      </c>
      <c r="AV56" s="583" t="s">
        <v>43</v>
      </c>
      <c r="AW56" s="583">
        <v>5.4</v>
      </c>
      <c r="AX56" s="583" t="s">
        <v>852</v>
      </c>
      <c r="AY56" s="583" t="s">
        <v>22</v>
      </c>
      <c r="AZ56" s="583" t="s">
        <v>23</v>
      </c>
      <c r="BA56" s="589" t="s">
        <v>57</v>
      </c>
      <c r="BB56" s="584" t="s">
        <v>914</v>
      </c>
      <c r="BC56" s="576"/>
      <c r="BD56" s="576"/>
      <c r="BE56"/>
      <c r="BF56"/>
      <c r="BG56"/>
      <c r="BH56"/>
      <c r="BI56" s="574"/>
      <c r="BJ56" s="267"/>
      <c r="BK56"/>
      <c r="BL56"/>
      <c r="BM56"/>
    </row>
    <row r="57" spans="40:65" ht="12.75">
      <c r="AN57" s="603"/>
      <c r="AO57" s="603"/>
      <c r="AP57" s="603"/>
      <c r="AQ57" s="603"/>
      <c r="AR57" s="603"/>
      <c r="AS57" s="583">
        <v>20</v>
      </c>
      <c r="AT57" s="583">
        <v>5.3</v>
      </c>
      <c r="AU57" s="583">
        <v>5.83</v>
      </c>
      <c r="AV57" s="583" t="s">
        <v>21</v>
      </c>
      <c r="AW57" s="583">
        <v>5.4</v>
      </c>
      <c r="AX57" s="583" t="s">
        <v>852</v>
      </c>
      <c r="AY57" s="583" t="s">
        <v>22</v>
      </c>
      <c r="AZ57" s="583" t="s">
        <v>23</v>
      </c>
      <c r="BA57" s="589" t="s">
        <v>855</v>
      </c>
      <c r="BB57" s="584" t="s">
        <v>1013</v>
      </c>
      <c r="BC57" s="576"/>
      <c r="BD57" s="576"/>
      <c r="BE57"/>
      <c r="BF57"/>
      <c r="BG57"/>
      <c r="BH57"/>
      <c r="BI57" s="574"/>
      <c r="BJ57" s="267"/>
      <c r="BK57"/>
      <c r="BL57"/>
      <c r="BM57"/>
    </row>
    <row r="58" spans="40:65" ht="12.75">
      <c r="AN58" s="603"/>
      <c r="AO58" s="603"/>
      <c r="AP58" s="583">
        <v>14</v>
      </c>
      <c r="AQ58" s="583">
        <v>11.9</v>
      </c>
      <c r="AR58" s="583">
        <v>20.100000000000001</v>
      </c>
      <c r="AS58" s="583">
        <v>14.54</v>
      </c>
      <c r="AT58" s="583">
        <v>7.6</v>
      </c>
      <c r="AU58" s="583">
        <v>8.36</v>
      </c>
      <c r="AV58" s="583" t="s">
        <v>34</v>
      </c>
      <c r="AW58" s="583">
        <v>5.4</v>
      </c>
      <c r="AX58" s="583" t="s">
        <v>852</v>
      </c>
      <c r="AY58" s="583" t="s">
        <v>22</v>
      </c>
      <c r="AZ58" s="583" t="s">
        <v>23</v>
      </c>
      <c r="BA58" s="589" t="s">
        <v>58</v>
      </c>
      <c r="BB58" s="584" t="s">
        <v>915</v>
      </c>
      <c r="BC58" s="576"/>
      <c r="BD58" s="576"/>
      <c r="BE58"/>
      <c r="BF58"/>
      <c r="BG58"/>
      <c r="BH58"/>
      <c r="BI58" s="574"/>
      <c r="BJ58" s="267"/>
      <c r="BK58"/>
      <c r="BL58"/>
      <c r="BM58"/>
    </row>
    <row r="59" spans="40:65" ht="12.75">
      <c r="AN59" s="603"/>
      <c r="AO59" s="603"/>
      <c r="AP59" s="583">
        <v>19.600000000000001</v>
      </c>
      <c r="AQ59" s="583">
        <v>16.3</v>
      </c>
      <c r="AR59" s="583">
        <v>25.8</v>
      </c>
      <c r="AS59" s="583">
        <v>17.2</v>
      </c>
      <c r="AT59" s="583">
        <v>4.55</v>
      </c>
      <c r="AU59" s="583">
        <v>5</v>
      </c>
      <c r="AV59" s="583" t="s">
        <v>21</v>
      </c>
      <c r="AW59" s="583">
        <v>6</v>
      </c>
      <c r="AX59" s="583" t="s">
        <v>852</v>
      </c>
      <c r="AY59" s="583" t="s">
        <v>22</v>
      </c>
      <c r="AZ59" s="583" t="s">
        <v>23</v>
      </c>
      <c r="BA59" s="589" t="s">
        <v>59</v>
      </c>
      <c r="BB59" s="584" t="s">
        <v>916</v>
      </c>
      <c r="BC59" s="576"/>
      <c r="BD59" s="576"/>
      <c r="BE59"/>
      <c r="BF59"/>
      <c r="BG59"/>
      <c r="BH59"/>
      <c r="BI59" s="574"/>
      <c r="BJ59" s="267"/>
      <c r="BK59"/>
      <c r="BL59"/>
      <c r="BM59"/>
    </row>
    <row r="60" spans="40:65" ht="12.75">
      <c r="AN60" s="603"/>
      <c r="AO60" s="603"/>
      <c r="AP60" s="583">
        <v>27.7</v>
      </c>
      <c r="AQ60" s="583">
        <v>23</v>
      </c>
      <c r="AR60" s="583">
        <v>32.1</v>
      </c>
      <c r="AS60" s="583">
        <v>23.07</v>
      </c>
      <c r="AT60" s="583">
        <v>2.6</v>
      </c>
      <c r="AU60" s="583">
        <v>2.8600000000000003</v>
      </c>
      <c r="AV60" s="583" t="s">
        <v>25</v>
      </c>
      <c r="AW60" s="583">
        <v>8</v>
      </c>
      <c r="AX60" s="583" t="s">
        <v>1031</v>
      </c>
      <c r="AY60" s="583" t="s">
        <v>22</v>
      </c>
      <c r="AZ60" s="583" t="s">
        <v>23</v>
      </c>
      <c r="BA60" s="589" t="s">
        <v>60</v>
      </c>
      <c r="BB60" s="584" t="s">
        <v>917</v>
      </c>
      <c r="BC60" s="576"/>
      <c r="BD60" s="576"/>
      <c r="BE60"/>
      <c r="BF60"/>
      <c r="BG60"/>
      <c r="BH60"/>
      <c r="BI60" s="574"/>
      <c r="BJ60" s="267"/>
      <c r="BK60"/>
      <c r="BL60"/>
      <c r="BM60"/>
    </row>
    <row r="61" spans="40:65" ht="12.75">
      <c r="AN61" s="603"/>
      <c r="AO61" s="603"/>
      <c r="AP61" s="583">
        <v>19.7</v>
      </c>
      <c r="AQ61" s="583">
        <v>16.399999999999999</v>
      </c>
      <c r="AR61" s="583">
        <v>23.7</v>
      </c>
      <c r="AS61" s="583">
        <v>16.600000000000001</v>
      </c>
      <c r="AT61" s="583">
        <v>4.4800000000000004</v>
      </c>
      <c r="AU61" s="583">
        <v>4.93</v>
      </c>
      <c r="AV61" s="583" t="s">
        <v>21</v>
      </c>
      <c r="AW61" s="583">
        <v>6</v>
      </c>
      <c r="AX61" s="583" t="s">
        <v>852</v>
      </c>
      <c r="AY61" s="583" t="s">
        <v>22</v>
      </c>
      <c r="AZ61" s="583" t="s">
        <v>23</v>
      </c>
      <c r="BA61" s="589" t="s">
        <v>1051</v>
      </c>
      <c r="BB61" s="584" t="s">
        <v>1004</v>
      </c>
      <c r="BC61" s="576"/>
      <c r="BD61" s="576"/>
      <c r="BE61"/>
      <c r="BF61"/>
      <c r="BG61"/>
      <c r="BH61"/>
      <c r="BI61" s="574"/>
      <c r="BJ61" s="267"/>
      <c r="BK61"/>
      <c r="BL61"/>
      <c r="BM61"/>
    </row>
    <row r="62" spans="40:65" ht="12.75">
      <c r="AN62" s="603"/>
      <c r="AO62" s="603"/>
      <c r="AP62" s="583">
        <v>42</v>
      </c>
      <c r="AQ62" s="583">
        <v>34</v>
      </c>
      <c r="AR62" s="583">
        <v>41</v>
      </c>
      <c r="AS62" s="583">
        <v>29.1</v>
      </c>
      <c r="AT62" s="583">
        <v>1.7</v>
      </c>
      <c r="AU62" s="583">
        <v>1.87</v>
      </c>
      <c r="AV62" s="583" t="s">
        <v>27</v>
      </c>
      <c r="AW62" s="583">
        <v>10.5</v>
      </c>
      <c r="AX62" s="583" t="s">
        <v>1031</v>
      </c>
      <c r="AY62" s="583" t="s">
        <v>22</v>
      </c>
      <c r="AZ62" s="583" t="s">
        <v>23</v>
      </c>
      <c r="BA62" s="589" t="s">
        <v>1052</v>
      </c>
      <c r="BB62" s="584" t="s">
        <v>1009</v>
      </c>
      <c r="BC62" s="576"/>
      <c r="BD62" s="576"/>
      <c r="BE62"/>
      <c r="BF62"/>
      <c r="BG62"/>
      <c r="BH62"/>
      <c r="BI62" s="574"/>
      <c r="BJ62" s="267"/>
      <c r="BK62"/>
      <c r="BL62"/>
      <c r="BM62"/>
    </row>
    <row r="63" spans="40:65" ht="12.75">
      <c r="AN63" s="583">
        <v>3.3</v>
      </c>
      <c r="AO63" s="583">
        <v>0.2</v>
      </c>
      <c r="AP63" s="583">
        <v>8.1999999999999993</v>
      </c>
      <c r="AQ63" s="583">
        <v>6.4</v>
      </c>
      <c r="AR63" s="583">
        <v>13.3</v>
      </c>
      <c r="AS63" s="583">
        <v>9.2799999999999994</v>
      </c>
      <c r="AT63" s="583">
        <v>16.100000000000001</v>
      </c>
      <c r="AU63" s="583">
        <v>17.71</v>
      </c>
      <c r="AV63" s="583" t="s">
        <v>28</v>
      </c>
      <c r="AW63" s="583">
        <v>4.5</v>
      </c>
      <c r="AX63" s="583" t="s">
        <v>852</v>
      </c>
      <c r="AY63" s="583" t="s">
        <v>22</v>
      </c>
      <c r="AZ63" s="583" t="s">
        <v>23</v>
      </c>
      <c r="BA63" s="589" t="s">
        <v>61</v>
      </c>
      <c r="BB63" s="584" t="s">
        <v>918</v>
      </c>
      <c r="BC63" s="576"/>
      <c r="BD63" s="576"/>
      <c r="BE63"/>
      <c r="BF63"/>
      <c r="BG63"/>
      <c r="BH63"/>
      <c r="BI63" s="574"/>
      <c r="BJ63" s="267"/>
      <c r="BK63"/>
      <c r="BL63"/>
      <c r="BM63"/>
    </row>
    <row r="64" spans="40:65" ht="12.75">
      <c r="AN64" s="603"/>
      <c r="AO64" s="603"/>
      <c r="AP64" s="583">
        <v>5</v>
      </c>
      <c r="AQ64" s="583">
        <v>4.0999999999999996</v>
      </c>
      <c r="AR64" s="583">
        <v>8.6</v>
      </c>
      <c r="AS64" s="583">
        <v>6.15</v>
      </c>
      <c r="AT64" s="583">
        <v>31.3</v>
      </c>
      <c r="AU64" s="583">
        <v>34.430000000000007</v>
      </c>
      <c r="AV64" s="583" t="s">
        <v>26</v>
      </c>
      <c r="AW64" s="583">
        <v>3</v>
      </c>
      <c r="AX64" s="583" t="s">
        <v>852</v>
      </c>
      <c r="AY64" s="583" t="s">
        <v>22</v>
      </c>
      <c r="AZ64" s="583" t="s">
        <v>23</v>
      </c>
      <c r="BA64" s="589" t="s">
        <v>62</v>
      </c>
      <c r="BB64" s="584" t="s">
        <v>919</v>
      </c>
      <c r="BC64" s="576"/>
      <c r="BD64" s="576"/>
      <c r="BE64"/>
      <c r="BF64"/>
      <c r="BG64"/>
      <c r="BH64"/>
      <c r="BI64" s="574"/>
      <c r="BJ64" s="267"/>
      <c r="BK64"/>
      <c r="BL64"/>
      <c r="BM64"/>
    </row>
    <row r="65" spans="40:65" ht="12.75">
      <c r="AN65" s="603"/>
      <c r="AO65" s="603"/>
      <c r="AP65" s="583">
        <v>15.7</v>
      </c>
      <c r="AQ65" s="583">
        <v>13.1</v>
      </c>
      <c r="AR65" s="583">
        <v>22.7</v>
      </c>
      <c r="AS65" s="583">
        <v>16.27</v>
      </c>
      <c r="AT65" s="583">
        <v>7.1</v>
      </c>
      <c r="AU65" s="583">
        <v>7.81</v>
      </c>
      <c r="AV65" s="583" t="s">
        <v>43</v>
      </c>
      <c r="AW65" s="583">
        <v>5.4</v>
      </c>
      <c r="AX65" s="583" t="s">
        <v>852</v>
      </c>
      <c r="AY65" s="583" t="s">
        <v>22</v>
      </c>
      <c r="AZ65" s="583" t="s">
        <v>23</v>
      </c>
      <c r="BA65" s="589" t="s">
        <v>63</v>
      </c>
      <c r="BB65" s="584" t="s">
        <v>920</v>
      </c>
      <c r="BC65" s="576"/>
      <c r="BD65" s="576"/>
      <c r="BE65"/>
      <c r="BF65"/>
      <c r="BG65"/>
      <c r="BH65"/>
      <c r="BI65" s="574"/>
      <c r="BJ65" s="267"/>
      <c r="BK65"/>
      <c r="BL65"/>
      <c r="BM65"/>
    </row>
    <row r="66" spans="40:65" ht="12.75">
      <c r="AN66" s="603"/>
      <c r="AO66" s="603"/>
      <c r="AP66" s="603"/>
      <c r="AQ66" s="603"/>
      <c r="AR66" s="603"/>
      <c r="AS66" s="583">
        <v>17.5</v>
      </c>
      <c r="AT66" s="583">
        <v>7.1</v>
      </c>
      <c r="AU66" s="583">
        <v>7.81</v>
      </c>
      <c r="AV66" s="583" t="s">
        <v>21</v>
      </c>
      <c r="AW66" s="583">
        <v>5.4</v>
      </c>
      <c r="AX66" s="583" t="s">
        <v>852</v>
      </c>
      <c r="AY66" s="583" t="s">
        <v>22</v>
      </c>
      <c r="AZ66" s="583" t="s">
        <v>23</v>
      </c>
      <c r="BA66" s="589" t="s">
        <v>857</v>
      </c>
      <c r="BB66" s="584" t="s">
        <v>1014</v>
      </c>
      <c r="BC66" s="576"/>
      <c r="BD66" s="576"/>
      <c r="BE66"/>
      <c r="BF66"/>
      <c r="BG66"/>
      <c r="BH66"/>
      <c r="BI66" s="574"/>
      <c r="BJ66" s="267"/>
      <c r="BK66"/>
      <c r="BL66"/>
      <c r="BM66"/>
    </row>
    <row r="67" spans="40:65" ht="12.75">
      <c r="AN67" s="603"/>
      <c r="AO67" s="603"/>
      <c r="AP67" s="583">
        <v>17</v>
      </c>
      <c r="AQ67" s="583">
        <v>14.2</v>
      </c>
      <c r="AR67" s="583">
        <v>26.3</v>
      </c>
      <c r="AS67" s="583">
        <v>19.690000000000001</v>
      </c>
      <c r="AT67" s="583">
        <v>6</v>
      </c>
      <c r="AU67" s="583">
        <v>6.6000000000000005</v>
      </c>
      <c r="AV67" s="583" t="s">
        <v>21</v>
      </c>
      <c r="AW67" s="583">
        <v>6</v>
      </c>
      <c r="AX67" s="583" t="s">
        <v>852</v>
      </c>
      <c r="AY67" s="583" t="s">
        <v>22</v>
      </c>
      <c r="AZ67" s="583" t="s">
        <v>23</v>
      </c>
      <c r="BA67" s="589" t="s">
        <v>64</v>
      </c>
      <c r="BB67" s="584" t="s">
        <v>921</v>
      </c>
      <c r="BC67" s="576"/>
      <c r="BD67" s="576"/>
      <c r="BE67"/>
      <c r="BF67"/>
      <c r="BG67"/>
      <c r="BH67"/>
      <c r="BI67" s="574"/>
      <c r="BJ67" s="267"/>
      <c r="BK67"/>
      <c r="BL67"/>
      <c r="BM67"/>
    </row>
    <row r="68" spans="40:65" ht="12.75">
      <c r="AN68" s="603"/>
      <c r="AO68" s="603"/>
      <c r="AP68" s="583">
        <v>23.6</v>
      </c>
      <c r="AQ68" s="583">
        <v>19.600000000000001</v>
      </c>
      <c r="AR68" s="583">
        <v>27.6</v>
      </c>
      <c r="AS68" s="583">
        <v>19.78</v>
      </c>
      <c r="AT68" s="583">
        <v>3.6</v>
      </c>
      <c r="AU68" s="583">
        <v>3.9600000000000004</v>
      </c>
      <c r="AV68" s="583" t="s">
        <v>65</v>
      </c>
      <c r="AW68" s="583">
        <v>8</v>
      </c>
      <c r="AX68" s="583" t="s">
        <v>1031</v>
      </c>
      <c r="AY68" s="583" t="s">
        <v>22</v>
      </c>
      <c r="AZ68" s="583" t="s">
        <v>23</v>
      </c>
      <c r="BA68" s="589" t="s">
        <v>66</v>
      </c>
      <c r="BB68" s="584" t="s">
        <v>922</v>
      </c>
      <c r="BC68" s="576"/>
      <c r="BD68" s="576"/>
      <c r="BE68"/>
      <c r="BF68"/>
      <c r="BG68"/>
      <c r="BH68"/>
      <c r="BI68" s="574"/>
      <c r="BJ68" s="267"/>
      <c r="BK68"/>
      <c r="BL68"/>
      <c r="BM68"/>
    </row>
    <row r="69" spans="40:65" ht="12.75">
      <c r="AN69" s="603"/>
      <c r="AO69" s="603"/>
      <c r="AP69" s="583">
        <v>5.4</v>
      </c>
      <c r="AQ69" s="583">
        <v>4.4000000000000004</v>
      </c>
      <c r="AR69" s="583">
        <v>8</v>
      </c>
      <c r="AS69" s="583">
        <v>5.81</v>
      </c>
      <c r="AT69" s="583">
        <v>27.3</v>
      </c>
      <c r="AU69" s="583">
        <v>30.030000000000005</v>
      </c>
      <c r="AV69" s="583" t="s">
        <v>26</v>
      </c>
      <c r="AW69" s="583">
        <v>3</v>
      </c>
      <c r="AX69" s="583" t="s">
        <v>851</v>
      </c>
      <c r="AY69" s="583" t="s">
        <v>22</v>
      </c>
      <c r="AZ69" s="583" t="s">
        <v>23</v>
      </c>
      <c r="BA69" s="589" t="s">
        <v>67</v>
      </c>
      <c r="BB69" s="584" t="s">
        <v>923</v>
      </c>
      <c r="BC69" s="576"/>
      <c r="BD69" s="576"/>
      <c r="BE69"/>
      <c r="BF69"/>
      <c r="BG69"/>
      <c r="BH69"/>
      <c r="BI69" s="574"/>
      <c r="BJ69" s="267"/>
      <c r="BK69"/>
      <c r="BL69"/>
      <c r="BM69"/>
    </row>
    <row r="70" spans="40:65" ht="12.75">
      <c r="AN70" s="603"/>
      <c r="AO70" s="603"/>
      <c r="AP70" s="583">
        <v>6.1</v>
      </c>
      <c r="AQ70" s="583">
        <v>5</v>
      </c>
      <c r="AR70" s="583">
        <v>11.5</v>
      </c>
      <c r="AS70" s="583">
        <v>7.3</v>
      </c>
      <c r="AT70" s="583">
        <v>24.1</v>
      </c>
      <c r="AU70" s="583">
        <v>26.510000000000005</v>
      </c>
      <c r="AV70" s="583" t="s">
        <v>32</v>
      </c>
      <c r="AW70" s="583">
        <v>3</v>
      </c>
      <c r="AX70" s="583" t="s">
        <v>851</v>
      </c>
      <c r="AY70" s="583" t="s">
        <v>22</v>
      </c>
      <c r="AZ70" s="583" t="s">
        <v>23</v>
      </c>
      <c r="BA70" s="589" t="s">
        <v>68</v>
      </c>
      <c r="BB70" s="584" t="s">
        <v>924</v>
      </c>
      <c r="BC70" s="576"/>
      <c r="BD70" s="576"/>
      <c r="BE70"/>
      <c r="BF70"/>
      <c r="BG70"/>
      <c r="BH70"/>
      <c r="BI70" s="574"/>
      <c r="BJ70" s="267"/>
      <c r="BK70"/>
      <c r="BL70"/>
      <c r="BM70"/>
    </row>
    <row r="71" spans="40:65" ht="12.75">
      <c r="AN71" s="603"/>
      <c r="AO71" s="603"/>
      <c r="AP71" s="583">
        <v>8.9</v>
      </c>
      <c r="AQ71" s="583">
        <v>7.6</v>
      </c>
      <c r="AR71" s="583">
        <v>17.399999999999999</v>
      </c>
      <c r="AS71" s="583">
        <v>11.71</v>
      </c>
      <c r="AT71" s="583">
        <v>14.1</v>
      </c>
      <c r="AU71" s="583">
        <v>15.51</v>
      </c>
      <c r="AV71" s="583" t="s">
        <v>1027</v>
      </c>
      <c r="AW71" s="583">
        <v>4</v>
      </c>
      <c r="AX71" s="583" t="s">
        <v>851</v>
      </c>
      <c r="AY71" s="583" t="s">
        <v>22</v>
      </c>
      <c r="AZ71" s="583" t="s">
        <v>23</v>
      </c>
      <c r="BA71" s="589" t="s">
        <v>69</v>
      </c>
      <c r="BB71" s="584" t="s">
        <v>925</v>
      </c>
      <c r="BC71" s="576"/>
      <c r="BD71" s="576"/>
      <c r="BE71"/>
      <c r="BF71"/>
      <c r="BG71"/>
      <c r="BH71"/>
      <c r="BI71" s="574"/>
      <c r="BJ71" s="267"/>
      <c r="BK71"/>
      <c r="BL71"/>
      <c r="BM71"/>
    </row>
    <row r="72" spans="40:65" ht="12.75">
      <c r="AN72" s="603"/>
      <c r="AO72" s="603"/>
      <c r="AP72" s="583">
        <v>12.6</v>
      </c>
      <c r="AQ72" s="583">
        <v>10.3</v>
      </c>
      <c r="AR72" s="583">
        <v>17.100000000000001</v>
      </c>
      <c r="AS72" s="583">
        <v>12.66</v>
      </c>
      <c r="AT72" s="583">
        <v>9.4</v>
      </c>
      <c r="AU72" s="583">
        <v>10.340000000000002</v>
      </c>
      <c r="AV72" s="583" t="s">
        <v>43</v>
      </c>
      <c r="AW72" s="583">
        <v>4</v>
      </c>
      <c r="AX72" s="583" t="s">
        <v>851</v>
      </c>
      <c r="AY72" s="583" t="s">
        <v>22</v>
      </c>
      <c r="AZ72" s="583" t="s">
        <v>23</v>
      </c>
      <c r="BA72" s="589" t="s">
        <v>70</v>
      </c>
      <c r="BB72" s="584" t="s">
        <v>926</v>
      </c>
      <c r="BC72" s="576"/>
      <c r="BD72" s="576"/>
      <c r="BE72"/>
      <c r="BF72"/>
      <c r="BG72"/>
      <c r="BH72"/>
      <c r="BI72" s="574"/>
      <c r="BJ72" s="267"/>
      <c r="BK72"/>
      <c r="BL72"/>
      <c r="BM72"/>
    </row>
    <row r="73" spans="40:65" ht="12.75">
      <c r="AN73" s="603"/>
      <c r="AO73" s="603"/>
      <c r="AP73" s="583">
        <v>9.1999999999999993</v>
      </c>
      <c r="AQ73" s="583">
        <v>7.2</v>
      </c>
      <c r="AR73" s="583">
        <v>12</v>
      </c>
      <c r="AS73" s="583">
        <v>8.9</v>
      </c>
      <c r="AT73" s="583">
        <v>13.1</v>
      </c>
      <c r="AU73" s="583">
        <v>14.41</v>
      </c>
      <c r="AV73" s="583" t="s">
        <v>32</v>
      </c>
      <c r="AW73" s="583">
        <v>4.8</v>
      </c>
      <c r="AX73" s="583" t="s">
        <v>852</v>
      </c>
      <c r="AY73" s="583" t="s">
        <v>22</v>
      </c>
      <c r="AZ73" s="583" t="s">
        <v>23</v>
      </c>
      <c r="BA73" s="589" t="s">
        <v>71</v>
      </c>
      <c r="BB73" s="584" t="s">
        <v>927</v>
      </c>
      <c r="BC73" s="576"/>
      <c r="BD73" s="576"/>
      <c r="BE73"/>
      <c r="BF73"/>
      <c r="BG73"/>
      <c r="BH73"/>
      <c r="BI73" s="574"/>
      <c r="BJ73" s="267"/>
      <c r="BK73"/>
      <c r="BL73"/>
      <c r="BM73"/>
    </row>
    <row r="74" spans="40:65" ht="12.75">
      <c r="AN74" s="603"/>
      <c r="AO74" s="603"/>
      <c r="AP74" s="583">
        <v>10.4</v>
      </c>
      <c r="AQ74" s="583">
        <v>8.3000000000000007</v>
      </c>
      <c r="AR74" s="583">
        <v>14.4</v>
      </c>
      <c r="AS74" s="583">
        <v>10.34</v>
      </c>
      <c r="AT74" s="583">
        <v>11.9</v>
      </c>
      <c r="AU74" s="583">
        <v>13.090000000000002</v>
      </c>
      <c r="AV74" s="583" t="s">
        <v>72</v>
      </c>
      <c r="AW74" s="583">
        <v>5.4</v>
      </c>
      <c r="AX74" s="583" t="s">
        <v>852</v>
      </c>
      <c r="AY74" s="583" t="s">
        <v>22</v>
      </c>
      <c r="AZ74" s="583" t="s">
        <v>23</v>
      </c>
      <c r="BA74" s="589" t="s">
        <v>1053</v>
      </c>
      <c r="BB74" s="584" t="s">
        <v>928</v>
      </c>
      <c r="BC74" s="576"/>
      <c r="BD74" s="576"/>
      <c r="BE74"/>
      <c r="BF74"/>
      <c r="BG74"/>
      <c r="BH74"/>
      <c r="BI74" s="574"/>
      <c r="BJ74" s="267"/>
      <c r="BK74"/>
      <c r="BL74"/>
      <c r="BM74"/>
    </row>
    <row r="75" spans="40:65" ht="12.75">
      <c r="AN75" s="603"/>
      <c r="AO75" s="603"/>
      <c r="AP75" s="583">
        <v>12.5</v>
      </c>
      <c r="AQ75" s="583">
        <v>10.7</v>
      </c>
      <c r="AR75" s="583">
        <v>17.899999999999999</v>
      </c>
      <c r="AS75" s="583">
        <v>12.96</v>
      </c>
      <c r="AT75" s="583">
        <v>9.5</v>
      </c>
      <c r="AU75" s="583">
        <v>10.450000000000001</v>
      </c>
      <c r="AV75" s="583" t="s">
        <v>34</v>
      </c>
      <c r="AW75" s="583">
        <v>5.4</v>
      </c>
      <c r="AX75" s="583" t="s">
        <v>852</v>
      </c>
      <c r="AY75" s="583" t="s">
        <v>22</v>
      </c>
      <c r="AZ75" s="583" t="s">
        <v>23</v>
      </c>
      <c r="BA75" s="589" t="s">
        <v>1054</v>
      </c>
      <c r="BB75" s="584" t="s">
        <v>929</v>
      </c>
      <c r="BC75" s="576"/>
      <c r="BD75" s="576"/>
      <c r="BE75"/>
      <c r="BF75"/>
      <c r="BG75"/>
      <c r="BH75"/>
      <c r="BI75" s="574"/>
      <c r="BJ75" s="267"/>
      <c r="BK75"/>
      <c r="BL75"/>
      <c r="BM75"/>
    </row>
    <row r="76" spans="40:65" ht="12.75">
      <c r="AN76" s="603"/>
      <c r="AO76" s="603"/>
      <c r="AP76" s="583">
        <v>14.7</v>
      </c>
      <c r="AQ76" s="583">
        <v>11.8</v>
      </c>
      <c r="AR76" s="583">
        <v>23.4</v>
      </c>
      <c r="AS76" s="583">
        <v>16.63</v>
      </c>
      <c r="AT76" s="583">
        <v>7.1</v>
      </c>
      <c r="AU76" s="583">
        <v>7.81</v>
      </c>
      <c r="AV76" s="583" t="s">
        <v>43</v>
      </c>
      <c r="AW76" s="583">
        <v>5</v>
      </c>
      <c r="AX76" s="583" t="s">
        <v>852</v>
      </c>
      <c r="AY76" s="583" t="s">
        <v>22</v>
      </c>
      <c r="AZ76" s="583" t="s">
        <v>23</v>
      </c>
      <c r="BA76" s="589" t="s">
        <v>1055</v>
      </c>
      <c r="BB76" s="584" t="s">
        <v>930</v>
      </c>
      <c r="BC76" s="576"/>
      <c r="BD76" s="576"/>
      <c r="BE76"/>
      <c r="BF76"/>
      <c r="BG76"/>
      <c r="BH76"/>
      <c r="BI76" s="574"/>
      <c r="BJ76" s="267"/>
      <c r="BK76"/>
      <c r="BL76"/>
      <c r="BM76"/>
    </row>
    <row r="77" spans="40:65" ht="12.75">
      <c r="AN77" s="603"/>
      <c r="AO77" s="603"/>
      <c r="AP77" s="583">
        <v>35</v>
      </c>
      <c r="AQ77" s="583">
        <v>29</v>
      </c>
      <c r="AR77" s="583">
        <v>37</v>
      </c>
      <c r="AS77" s="583">
        <v>26.1</v>
      </c>
      <c r="AT77" s="583">
        <v>2.4</v>
      </c>
      <c r="AU77" s="583">
        <v>2.64</v>
      </c>
      <c r="AV77" s="583" t="s">
        <v>27</v>
      </c>
      <c r="AW77" s="583">
        <v>10.5</v>
      </c>
      <c r="AX77" s="583" t="s">
        <v>1031</v>
      </c>
      <c r="AY77" s="583" t="s">
        <v>22</v>
      </c>
      <c r="AZ77" s="583" t="s">
        <v>23</v>
      </c>
      <c r="BA77" s="589" t="s">
        <v>1056</v>
      </c>
      <c r="BB77" s="584" t="s">
        <v>1010</v>
      </c>
      <c r="BC77" s="576"/>
      <c r="BD77" s="576"/>
      <c r="BE77"/>
      <c r="BF77"/>
      <c r="BG77"/>
      <c r="BH77"/>
      <c r="BI77" s="574"/>
      <c r="BJ77" s="267"/>
      <c r="BK77"/>
      <c r="BL77"/>
      <c r="BM77"/>
    </row>
    <row r="78" spans="40:65" ht="12.75">
      <c r="AN78" s="583">
        <v>4.7</v>
      </c>
      <c r="AO78" s="583">
        <v>0.2</v>
      </c>
      <c r="AP78" s="583">
        <v>4.8</v>
      </c>
      <c r="AQ78" s="583">
        <v>4</v>
      </c>
      <c r="AR78" s="583">
        <v>7.7</v>
      </c>
      <c r="AS78" s="583">
        <v>5.6</v>
      </c>
      <c r="AT78" s="583">
        <v>36</v>
      </c>
      <c r="AU78" s="583">
        <v>39.6</v>
      </c>
      <c r="AV78" s="583" t="s">
        <v>26</v>
      </c>
      <c r="AW78" s="583">
        <v>4</v>
      </c>
      <c r="AX78" s="583" t="s">
        <v>852</v>
      </c>
      <c r="AY78" s="583" t="s">
        <v>22</v>
      </c>
      <c r="AZ78" s="583" t="s">
        <v>23</v>
      </c>
      <c r="BA78" s="589" t="s">
        <v>73</v>
      </c>
      <c r="BB78" s="584" t="s">
        <v>931</v>
      </c>
      <c r="BC78" s="576"/>
      <c r="BD78" s="576"/>
      <c r="BE78"/>
      <c r="BF78"/>
      <c r="BG78"/>
      <c r="BH78"/>
      <c r="BI78" s="574"/>
      <c r="BJ78" s="267"/>
      <c r="BK78"/>
      <c r="BL78"/>
      <c r="BM78"/>
    </row>
    <row r="79" spans="40:65" ht="12.75">
      <c r="AN79" s="603"/>
      <c r="AO79" s="603"/>
      <c r="AP79" s="583">
        <v>13.1</v>
      </c>
      <c r="AQ79" s="583">
        <v>10.9</v>
      </c>
      <c r="AR79" s="583">
        <v>20</v>
      </c>
      <c r="AS79" s="583">
        <v>14.75</v>
      </c>
      <c r="AT79" s="583">
        <v>10.199999999999999</v>
      </c>
      <c r="AU79" s="583">
        <v>11.3</v>
      </c>
      <c r="AV79" s="583" t="s">
        <v>43</v>
      </c>
      <c r="AW79" s="583">
        <v>5.4</v>
      </c>
      <c r="AX79" s="583" t="s">
        <v>852</v>
      </c>
      <c r="AY79" s="583" t="s">
        <v>22</v>
      </c>
      <c r="AZ79" s="583" t="s">
        <v>23</v>
      </c>
      <c r="BA79" s="589" t="s">
        <v>74</v>
      </c>
      <c r="BB79" s="584" t="s">
        <v>932</v>
      </c>
      <c r="BC79" s="576"/>
      <c r="BD79" s="576"/>
      <c r="BE79"/>
      <c r="BF79"/>
      <c r="BG79"/>
      <c r="BH79"/>
      <c r="BI79" s="574"/>
      <c r="BJ79" s="267"/>
      <c r="BK79"/>
      <c r="BL79"/>
      <c r="BM79"/>
    </row>
    <row r="80" spans="40:65" ht="12.75">
      <c r="AN80" s="603"/>
      <c r="AO80" s="603"/>
      <c r="AP80" s="583">
        <v>8</v>
      </c>
      <c r="AQ80" s="583">
        <v>6.3</v>
      </c>
      <c r="AR80" s="583">
        <v>13.1</v>
      </c>
      <c r="AS80" s="583">
        <v>9.4499999999999993</v>
      </c>
      <c r="AT80" s="583">
        <v>20.399999999999999</v>
      </c>
      <c r="AU80" s="583">
        <v>22.5</v>
      </c>
      <c r="AV80" s="583" t="s">
        <v>72</v>
      </c>
      <c r="AW80" s="583">
        <v>5.4</v>
      </c>
      <c r="AX80" s="583" t="s">
        <v>852</v>
      </c>
      <c r="AY80" s="583" t="s">
        <v>22</v>
      </c>
      <c r="AZ80" s="583" t="s">
        <v>23</v>
      </c>
      <c r="BA80" s="589" t="s">
        <v>75</v>
      </c>
      <c r="BB80" s="584" t="s">
        <v>933</v>
      </c>
      <c r="BC80" s="576"/>
      <c r="BD80" s="576"/>
      <c r="BE80"/>
      <c r="BF80"/>
      <c r="BG80"/>
      <c r="BH80"/>
      <c r="BI80" s="574"/>
      <c r="BJ80" s="267"/>
      <c r="BK80"/>
      <c r="BL80"/>
      <c r="BM80"/>
    </row>
    <row r="81" spans="40:65" ht="12.75">
      <c r="AN81" s="603"/>
      <c r="AO81" s="603"/>
      <c r="AP81" s="583">
        <v>14.1</v>
      </c>
      <c r="AQ81" s="583">
        <v>11.8</v>
      </c>
      <c r="AR81" s="583">
        <v>22.5</v>
      </c>
      <c r="AS81" s="583">
        <v>15.17</v>
      </c>
      <c r="AT81" s="583">
        <v>8.6999999999999993</v>
      </c>
      <c r="AU81" s="583">
        <v>9.57</v>
      </c>
      <c r="AV81" s="583" t="s">
        <v>21</v>
      </c>
      <c r="AW81" s="583">
        <v>6</v>
      </c>
      <c r="AX81" s="583" t="s">
        <v>852</v>
      </c>
      <c r="AY81" s="583" t="s">
        <v>22</v>
      </c>
      <c r="AZ81" s="583" t="s">
        <v>23</v>
      </c>
      <c r="BA81" s="589" t="s">
        <v>76</v>
      </c>
      <c r="BB81" s="584" t="s">
        <v>934</v>
      </c>
      <c r="BC81" s="576"/>
      <c r="BD81" s="576"/>
      <c r="BE81"/>
      <c r="BF81"/>
      <c r="BG81"/>
      <c r="BH81"/>
      <c r="BI81" s="574"/>
      <c r="BJ81" s="267"/>
      <c r="BK81"/>
      <c r="BL81"/>
      <c r="BM81"/>
    </row>
    <row r="82" spans="40:65" ht="12.75">
      <c r="AN82" s="603"/>
      <c r="AO82" s="603"/>
      <c r="AP82" s="583">
        <v>20.2</v>
      </c>
      <c r="AQ82" s="583">
        <v>16.8</v>
      </c>
      <c r="AR82" s="583">
        <v>24.7</v>
      </c>
      <c r="AS82" s="583">
        <v>17.600000000000001</v>
      </c>
      <c r="AT82" s="583">
        <v>4.9000000000000004</v>
      </c>
      <c r="AU82" s="583">
        <v>5.39</v>
      </c>
      <c r="AV82" s="583" t="s">
        <v>65</v>
      </c>
      <c r="AW82" s="583">
        <v>8</v>
      </c>
      <c r="AX82" s="583" t="s">
        <v>1031</v>
      </c>
      <c r="AY82" s="583" t="s">
        <v>22</v>
      </c>
      <c r="AZ82" s="583" t="s">
        <v>23</v>
      </c>
      <c r="BA82" s="589" t="s">
        <v>77</v>
      </c>
      <c r="BB82" s="584" t="s">
        <v>935</v>
      </c>
      <c r="BC82" s="576"/>
      <c r="BD82" s="576"/>
      <c r="BE82"/>
      <c r="BF82"/>
      <c r="BG82"/>
      <c r="BH82"/>
      <c r="BI82" s="574"/>
      <c r="BJ82" s="267"/>
      <c r="BK82"/>
      <c r="BL82"/>
      <c r="BM82"/>
    </row>
    <row r="83" spans="40:65" ht="12.75">
      <c r="AN83" s="603"/>
      <c r="AO83" s="603"/>
      <c r="AP83" s="583">
        <v>4.0999999999999996</v>
      </c>
      <c r="AQ83" s="583">
        <v>3.4</v>
      </c>
      <c r="AR83" s="583">
        <v>6.7</v>
      </c>
      <c r="AS83" s="583">
        <v>5.4</v>
      </c>
      <c r="AT83" s="583">
        <v>45.6</v>
      </c>
      <c r="AU83" s="583">
        <v>50.160000000000004</v>
      </c>
      <c r="AV83" s="583" t="s">
        <v>26</v>
      </c>
      <c r="AW83" s="583">
        <v>3</v>
      </c>
      <c r="AX83" s="583" t="s">
        <v>851</v>
      </c>
      <c r="AY83" s="583" t="s">
        <v>22</v>
      </c>
      <c r="AZ83" s="583" t="s">
        <v>23</v>
      </c>
      <c r="BA83" s="589" t="s">
        <v>78</v>
      </c>
      <c r="BB83" s="584" t="s">
        <v>936</v>
      </c>
      <c r="BC83" s="576"/>
      <c r="BD83" s="576"/>
      <c r="BE83"/>
      <c r="BF83"/>
      <c r="BG83"/>
      <c r="BH83"/>
      <c r="BI83" s="574"/>
      <c r="BJ83" s="267"/>
      <c r="BK83"/>
      <c r="BL83"/>
      <c r="BM83"/>
    </row>
    <row r="84" spans="40:65" ht="12.75">
      <c r="AN84" s="603"/>
      <c r="AO84" s="603"/>
      <c r="AP84" s="583">
        <v>5.6</v>
      </c>
      <c r="AQ84" s="583">
        <v>4.5999999999999996</v>
      </c>
      <c r="AR84" s="583">
        <v>9.8000000000000007</v>
      </c>
      <c r="AS84" s="583">
        <v>7.19</v>
      </c>
      <c r="AT84" s="583">
        <v>29</v>
      </c>
      <c r="AU84" s="583">
        <v>31.900000000000002</v>
      </c>
      <c r="AV84" s="583" t="s">
        <v>32</v>
      </c>
      <c r="AW84" s="583">
        <v>3</v>
      </c>
      <c r="AX84" s="583" t="s">
        <v>851</v>
      </c>
      <c r="AY84" s="583" t="s">
        <v>22</v>
      </c>
      <c r="AZ84" s="583" t="s">
        <v>23</v>
      </c>
      <c r="BA84" s="589" t="s">
        <v>79</v>
      </c>
      <c r="BB84" s="584" t="s">
        <v>937</v>
      </c>
      <c r="BC84" s="576"/>
      <c r="BD84" s="576"/>
      <c r="BE84"/>
      <c r="BF84"/>
      <c r="BG84"/>
      <c r="BH84"/>
      <c r="BI84" s="574"/>
      <c r="BJ84" s="267"/>
      <c r="BK84"/>
      <c r="BL84"/>
      <c r="BM84"/>
    </row>
    <row r="85" spans="40:65" ht="12.75">
      <c r="AN85" s="603"/>
      <c r="AO85" s="603"/>
      <c r="AP85" s="583">
        <v>8.3000000000000007</v>
      </c>
      <c r="AQ85" s="583">
        <v>7.1</v>
      </c>
      <c r="AR85" s="583">
        <v>15.1</v>
      </c>
      <c r="AS85" s="583">
        <v>9.24</v>
      </c>
      <c r="AT85" s="583">
        <v>16.100000000000001</v>
      </c>
      <c r="AU85" s="583">
        <v>17.71</v>
      </c>
      <c r="AV85" s="583" t="s">
        <v>1027</v>
      </c>
      <c r="AW85" s="583">
        <v>4</v>
      </c>
      <c r="AX85" s="583" t="s">
        <v>851</v>
      </c>
      <c r="AY85" s="583" t="s">
        <v>22</v>
      </c>
      <c r="AZ85" s="583" t="s">
        <v>23</v>
      </c>
      <c r="BA85" s="589" t="s">
        <v>80</v>
      </c>
      <c r="BB85" s="584" t="s">
        <v>938</v>
      </c>
      <c r="BC85" s="576"/>
      <c r="BD85" s="576"/>
      <c r="BE85"/>
      <c r="BF85"/>
      <c r="BG85"/>
      <c r="BH85"/>
      <c r="BI85" s="574"/>
      <c r="BJ85" s="267"/>
      <c r="BK85"/>
      <c r="BL85"/>
      <c r="BM85"/>
    </row>
    <row r="86" spans="40:65" ht="12.75">
      <c r="AN86" s="603"/>
      <c r="AO86" s="603"/>
      <c r="AP86" s="583">
        <v>11.2</v>
      </c>
      <c r="AQ86" s="583">
        <v>9.1999999999999993</v>
      </c>
      <c r="AR86" s="583">
        <v>13.9</v>
      </c>
      <c r="AS86" s="583">
        <v>10.58</v>
      </c>
      <c r="AT86" s="583">
        <v>12.3</v>
      </c>
      <c r="AU86" s="583">
        <v>13.53</v>
      </c>
      <c r="AV86" s="583" t="s">
        <v>43</v>
      </c>
      <c r="AW86" s="583">
        <v>4</v>
      </c>
      <c r="AX86" s="583" t="s">
        <v>851</v>
      </c>
      <c r="AY86" s="583" t="s">
        <v>22</v>
      </c>
      <c r="AZ86" s="583" t="s">
        <v>23</v>
      </c>
      <c r="BA86" s="589" t="s">
        <v>81</v>
      </c>
      <c r="BB86" s="584" t="s">
        <v>939</v>
      </c>
      <c r="BC86" s="576"/>
      <c r="BD86" s="576"/>
      <c r="BE86"/>
      <c r="BF86"/>
      <c r="BG86"/>
      <c r="BH86"/>
      <c r="BI86" s="574"/>
      <c r="BJ86" s="267"/>
      <c r="BK86"/>
      <c r="BL86"/>
      <c r="BM86"/>
    </row>
    <row r="87" spans="40:65" ht="12.75">
      <c r="AN87" s="603"/>
      <c r="AO87" s="603"/>
      <c r="AP87" s="583">
        <v>7.3</v>
      </c>
      <c r="AQ87" s="583">
        <v>5.7</v>
      </c>
      <c r="AR87" s="583">
        <v>10.199999999999999</v>
      </c>
      <c r="AS87" s="583">
        <v>7.31</v>
      </c>
      <c r="AT87" s="583">
        <v>20.7</v>
      </c>
      <c r="AU87" s="583">
        <v>22.77</v>
      </c>
      <c r="AV87" s="583" t="s">
        <v>32</v>
      </c>
      <c r="AW87" s="583">
        <v>4.8</v>
      </c>
      <c r="AX87" s="583" t="s">
        <v>852</v>
      </c>
      <c r="AY87" s="583" t="s">
        <v>22</v>
      </c>
      <c r="AZ87" s="583" t="s">
        <v>23</v>
      </c>
      <c r="BA87" s="589" t="s">
        <v>82</v>
      </c>
      <c r="BB87" s="584" t="s">
        <v>940</v>
      </c>
      <c r="BC87" s="576"/>
      <c r="BD87" s="576"/>
      <c r="BE87"/>
      <c r="BF87"/>
      <c r="BG87"/>
      <c r="BH87"/>
      <c r="BI87" s="574"/>
      <c r="BJ87" s="267"/>
      <c r="BK87"/>
      <c r="BL87"/>
      <c r="BM87"/>
    </row>
    <row r="88" spans="40:65" ht="12.75">
      <c r="AN88" s="603"/>
      <c r="AO88" s="603"/>
      <c r="AP88" s="583">
        <v>8.8000000000000007</v>
      </c>
      <c r="AQ88" s="583">
        <v>6.5</v>
      </c>
      <c r="AR88" s="583">
        <v>10.7</v>
      </c>
      <c r="AS88" s="583">
        <v>7.7</v>
      </c>
      <c r="AT88" s="583">
        <v>16.8</v>
      </c>
      <c r="AU88" s="583">
        <v>18.48</v>
      </c>
      <c r="AV88" s="583" t="s">
        <v>83</v>
      </c>
      <c r="AW88" s="583">
        <v>4.8</v>
      </c>
      <c r="AX88" s="583" t="s">
        <v>852</v>
      </c>
      <c r="AY88" s="583" t="s">
        <v>22</v>
      </c>
      <c r="AZ88" s="583" t="s">
        <v>23</v>
      </c>
      <c r="BA88" s="589" t="s">
        <v>84</v>
      </c>
      <c r="BB88" s="584" t="s">
        <v>941</v>
      </c>
      <c r="BC88" s="576"/>
      <c r="BD88" s="576"/>
      <c r="BE88"/>
      <c r="BF88"/>
      <c r="BG88"/>
      <c r="BH88"/>
      <c r="BI88" s="574"/>
      <c r="BJ88" s="267"/>
      <c r="BK88"/>
      <c r="BL88"/>
      <c r="BM88"/>
    </row>
    <row r="89" spans="40:65" ht="12.75">
      <c r="AN89" s="603"/>
      <c r="AO89" s="603"/>
      <c r="AP89" s="583">
        <v>31</v>
      </c>
      <c r="AQ89" s="583">
        <v>26</v>
      </c>
      <c r="AR89" s="583">
        <v>30</v>
      </c>
      <c r="AS89" s="583">
        <v>21.1</v>
      </c>
      <c r="AT89" s="583">
        <v>3.1</v>
      </c>
      <c r="AU89" s="583">
        <v>3.41</v>
      </c>
      <c r="AV89" s="583" t="s">
        <v>27</v>
      </c>
      <c r="AW89" s="583">
        <v>10.5</v>
      </c>
      <c r="AX89" s="583" t="s">
        <v>1031</v>
      </c>
      <c r="AY89" s="583" t="s">
        <v>22</v>
      </c>
      <c r="AZ89" s="583" t="s">
        <v>23</v>
      </c>
      <c r="BA89" s="589" t="s">
        <v>1057</v>
      </c>
      <c r="BB89" s="584" t="s">
        <v>1011</v>
      </c>
      <c r="BC89" s="576"/>
      <c r="BD89" s="576"/>
      <c r="BE89"/>
      <c r="BF89"/>
      <c r="BG89"/>
      <c r="BH89"/>
      <c r="BI89" s="574"/>
      <c r="BJ89" s="267"/>
      <c r="BK89"/>
      <c r="BL89"/>
      <c r="BM89"/>
    </row>
    <row r="90" spans="40:65" ht="12.75">
      <c r="AN90" s="583">
        <v>6.8</v>
      </c>
      <c r="AO90" s="583">
        <v>0.2</v>
      </c>
      <c r="AP90" s="583">
        <v>5.2</v>
      </c>
      <c r="AQ90" s="583">
        <v>4.0999999999999996</v>
      </c>
      <c r="AR90" s="583">
        <v>10</v>
      </c>
      <c r="AS90" s="583">
        <v>7.2</v>
      </c>
      <c r="AT90" s="583">
        <v>39.299999999999997</v>
      </c>
      <c r="AU90" s="583">
        <v>43.23</v>
      </c>
      <c r="AV90" s="583" t="s">
        <v>28</v>
      </c>
      <c r="AW90" s="583">
        <v>4.5</v>
      </c>
      <c r="AX90" s="583" t="s">
        <v>852</v>
      </c>
      <c r="AY90" s="583" t="s">
        <v>22</v>
      </c>
      <c r="AZ90" s="583" t="s">
        <v>23</v>
      </c>
      <c r="BA90" s="589" t="s">
        <v>85</v>
      </c>
      <c r="BB90" s="584" t="s">
        <v>942</v>
      </c>
      <c r="BC90" s="576"/>
      <c r="BD90" s="576"/>
      <c r="BE90"/>
      <c r="BF90"/>
      <c r="BG90"/>
      <c r="BH90"/>
      <c r="BI90" s="574"/>
      <c r="BJ90" s="267"/>
      <c r="BK90"/>
      <c r="BL90"/>
      <c r="BM90"/>
    </row>
    <row r="91" spans="40:65" ht="12.75">
      <c r="AN91" s="603"/>
      <c r="AO91" s="603"/>
      <c r="AP91" s="583">
        <v>4.5</v>
      </c>
      <c r="AQ91" s="583">
        <v>3.6</v>
      </c>
      <c r="AR91" s="583">
        <v>8.1</v>
      </c>
      <c r="AS91" s="583">
        <v>5.48</v>
      </c>
      <c r="AT91" s="583">
        <v>45.6</v>
      </c>
      <c r="AU91" s="583">
        <v>50.16</v>
      </c>
      <c r="AV91" s="583" t="s">
        <v>32</v>
      </c>
      <c r="AW91" s="583">
        <v>3</v>
      </c>
      <c r="AX91" s="583" t="s">
        <v>851</v>
      </c>
      <c r="AY91" s="583" t="s">
        <v>22</v>
      </c>
      <c r="AZ91" s="583" t="s">
        <v>23</v>
      </c>
      <c r="BA91" s="589" t="s">
        <v>86</v>
      </c>
      <c r="BB91" s="584" t="s">
        <v>945</v>
      </c>
      <c r="BC91" s="576"/>
      <c r="BD91" s="576"/>
      <c r="BE91"/>
      <c r="BF91"/>
      <c r="BG91"/>
      <c r="BH91"/>
      <c r="BI91" s="574"/>
      <c r="BJ91" s="267"/>
      <c r="BK91"/>
      <c r="BL91"/>
      <c r="BM91"/>
    </row>
    <row r="92" spans="40:65" ht="12.75">
      <c r="AN92" s="603"/>
      <c r="AO92" s="603"/>
      <c r="AP92" s="583">
        <v>6.9</v>
      </c>
      <c r="AQ92" s="583">
        <v>5.5</v>
      </c>
      <c r="AR92" s="583">
        <v>12.1</v>
      </c>
      <c r="AS92" s="583">
        <v>8.6</v>
      </c>
      <c r="AT92" s="583">
        <v>26.7</v>
      </c>
      <c r="AU92" s="583">
        <v>29.4</v>
      </c>
      <c r="AV92" s="583" t="s">
        <v>72</v>
      </c>
      <c r="AW92" s="583">
        <v>5.4</v>
      </c>
      <c r="AX92" s="583" t="s">
        <v>852</v>
      </c>
      <c r="AY92" s="583" t="s">
        <v>22</v>
      </c>
      <c r="AZ92" s="583" t="s">
        <v>23</v>
      </c>
      <c r="BA92" s="589" t="s">
        <v>87</v>
      </c>
      <c r="BB92" s="584" t="s">
        <v>943</v>
      </c>
      <c r="BC92" s="576"/>
      <c r="BD92" s="576"/>
      <c r="BE92"/>
      <c r="BF92"/>
      <c r="BG92"/>
      <c r="BH92"/>
      <c r="BI92" s="574"/>
      <c r="BJ92" s="267"/>
      <c r="BK92"/>
      <c r="BL92"/>
      <c r="BM92"/>
    </row>
    <row r="93" spans="40:65" ht="12.75">
      <c r="AN93" s="603"/>
      <c r="AO93" s="603"/>
      <c r="AP93" s="603"/>
      <c r="AQ93" s="583">
        <v>5.9</v>
      </c>
      <c r="AR93" s="583">
        <v>11</v>
      </c>
      <c r="AS93" s="583">
        <v>7.59</v>
      </c>
      <c r="AT93" s="583">
        <v>23.5</v>
      </c>
      <c r="AU93" s="583">
        <v>25.85</v>
      </c>
      <c r="AV93" s="583" t="s">
        <v>1027</v>
      </c>
      <c r="AW93" s="583">
        <v>4</v>
      </c>
      <c r="AX93" s="583" t="s">
        <v>851</v>
      </c>
      <c r="AY93" s="583" t="s">
        <v>22</v>
      </c>
      <c r="AZ93" s="583" t="s">
        <v>23</v>
      </c>
      <c r="BA93" s="589" t="s">
        <v>88</v>
      </c>
      <c r="BB93" s="584" t="s">
        <v>946</v>
      </c>
      <c r="BC93" s="576"/>
      <c r="BD93" s="576"/>
      <c r="BE93"/>
      <c r="BF93"/>
      <c r="BG93"/>
      <c r="BH93"/>
      <c r="BI93" s="574"/>
      <c r="BJ93" s="267"/>
      <c r="BK93"/>
      <c r="BL93"/>
      <c r="BM93" s="65"/>
    </row>
    <row r="94" spans="40:65" ht="12.75">
      <c r="AN94" s="603"/>
      <c r="AO94" s="603"/>
      <c r="AP94" s="583">
        <v>3.5</v>
      </c>
      <c r="AQ94" s="583">
        <v>2.9</v>
      </c>
      <c r="AR94" s="583">
        <v>6.1</v>
      </c>
      <c r="AS94" s="583">
        <v>4.54</v>
      </c>
      <c r="AT94" s="583">
        <v>65.7</v>
      </c>
      <c r="AU94" s="583">
        <v>72.27000000000001</v>
      </c>
      <c r="AV94" s="583" t="s">
        <v>26</v>
      </c>
      <c r="AW94" s="583">
        <v>3</v>
      </c>
      <c r="AX94" s="583" t="s">
        <v>851</v>
      </c>
      <c r="AY94" s="583" t="s">
        <v>22</v>
      </c>
      <c r="AZ94" s="583" t="s">
        <v>23</v>
      </c>
      <c r="BA94" s="589" t="s">
        <v>89</v>
      </c>
      <c r="BB94" s="584" t="s">
        <v>944</v>
      </c>
      <c r="BC94" s="576"/>
      <c r="BD94" s="576"/>
      <c r="BE94"/>
      <c r="BF94"/>
      <c r="BG94"/>
      <c r="BH94"/>
      <c r="BI94" s="574"/>
      <c r="BJ94" s="267"/>
      <c r="BK94"/>
      <c r="BL94"/>
      <c r="BM94" s="65"/>
    </row>
    <row r="95" spans="40:65" ht="12.75">
      <c r="AN95" s="603"/>
      <c r="AO95" s="603"/>
      <c r="AP95" s="583">
        <v>9.1</v>
      </c>
      <c r="AQ95" s="583">
        <v>7.7</v>
      </c>
      <c r="AR95" s="583">
        <v>12.8</v>
      </c>
      <c r="AS95" s="583">
        <v>9.4</v>
      </c>
      <c r="AT95" s="583">
        <v>18</v>
      </c>
      <c r="AU95" s="583">
        <v>19.8</v>
      </c>
      <c r="AV95" s="583" t="s">
        <v>34</v>
      </c>
      <c r="AW95" s="583">
        <v>5.4</v>
      </c>
      <c r="AX95" s="583" t="s">
        <v>852</v>
      </c>
      <c r="AY95" s="583" t="s">
        <v>22</v>
      </c>
      <c r="AZ95" s="583" t="s">
        <v>23</v>
      </c>
      <c r="BA95" s="589" t="s">
        <v>1078</v>
      </c>
      <c r="BB95" s="584" t="s">
        <v>1083</v>
      </c>
      <c r="BC95" s="576"/>
      <c r="BD95" s="576"/>
      <c r="BE95"/>
      <c r="BF95"/>
      <c r="BG95"/>
      <c r="BH95"/>
      <c r="BI95" s="574"/>
      <c r="BJ95" s="267"/>
      <c r="BK95"/>
      <c r="BL95"/>
      <c r="BM95" s="65"/>
    </row>
    <row r="96" spans="40:65" ht="12.75">
      <c r="AN96" s="603"/>
      <c r="AO96" s="603"/>
      <c r="AP96" s="583">
        <v>8.9</v>
      </c>
      <c r="AQ96" s="583">
        <v>7.4</v>
      </c>
      <c r="AR96" s="583">
        <v>12.1</v>
      </c>
      <c r="AS96" s="583">
        <v>8.92</v>
      </c>
      <c r="AT96" s="583">
        <v>18.5</v>
      </c>
      <c r="AU96" s="583">
        <v>20.350000000000001</v>
      </c>
      <c r="AV96" s="583" t="s">
        <v>43</v>
      </c>
      <c r="AW96" s="583">
        <v>4</v>
      </c>
      <c r="AX96" s="583" t="s">
        <v>851</v>
      </c>
      <c r="AY96" s="583" t="s">
        <v>22</v>
      </c>
      <c r="AZ96" s="583" t="s">
        <v>23</v>
      </c>
      <c r="BA96" s="589" t="s">
        <v>90</v>
      </c>
      <c r="BB96" s="584" t="s">
        <v>947</v>
      </c>
      <c r="BC96" s="576"/>
      <c r="BD96" s="576"/>
      <c r="BE96"/>
      <c r="BF96"/>
      <c r="BG96"/>
      <c r="BH96"/>
      <c r="BI96" s="574"/>
      <c r="BJ96" s="267"/>
      <c r="BK96"/>
      <c r="BL96"/>
      <c r="BM96" s="65"/>
    </row>
    <row r="97" spans="40:65" ht="12.75">
      <c r="AN97" s="603"/>
      <c r="AO97" s="603"/>
      <c r="AP97" s="583">
        <v>5.9</v>
      </c>
      <c r="AQ97" s="583">
        <v>4.5999999999999996</v>
      </c>
      <c r="AR97" s="583">
        <v>9.9</v>
      </c>
      <c r="AS97" s="583">
        <v>7.1</v>
      </c>
      <c r="AT97" s="583">
        <v>32.1</v>
      </c>
      <c r="AU97" s="583">
        <v>35.31</v>
      </c>
      <c r="AV97" s="583" t="s">
        <v>32</v>
      </c>
      <c r="AW97" s="583">
        <v>4.8</v>
      </c>
      <c r="AX97" s="583" t="s">
        <v>852</v>
      </c>
      <c r="AY97" s="583" t="s">
        <v>22</v>
      </c>
      <c r="AZ97" s="583" t="s">
        <v>23</v>
      </c>
      <c r="BA97" s="589" t="s">
        <v>1058</v>
      </c>
      <c r="BB97" s="584" t="s">
        <v>948</v>
      </c>
      <c r="BC97" s="576"/>
      <c r="BD97" s="576"/>
      <c r="BE97"/>
      <c r="BF97"/>
      <c r="BG97"/>
      <c r="BH97"/>
      <c r="BI97" s="574"/>
      <c r="BJ97" s="267"/>
      <c r="BK97"/>
      <c r="BL97"/>
      <c r="BM97" s="65"/>
    </row>
    <row r="98" spans="40:65" ht="12.75">
      <c r="AN98" s="583">
        <v>10</v>
      </c>
      <c r="AO98" s="583">
        <v>0.2</v>
      </c>
      <c r="AP98" s="583">
        <v>5.2</v>
      </c>
      <c r="AQ98" s="583">
        <v>4.0999999999999996</v>
      </c>
      <c r="AR98" s="583">
        <v>8.1</v>
      </c>
      <c r="AS98" s="583">
        <v>6.6</v>
      </c>
      <c r="AT98" s="583">
        <v>40.4</v>
      </c>
      <c r="AU98" s="583">
        <v>44.44</v>
      </c>
      <c r="AV98" s="583" t="s">
        <v>32</v>
      </c>
      <c r="AW98" s="583">
        <v>4.8</v>
      </c>
      <c r="AX98" s="583" t="s">
        <v>852</v>
      </c>
      <c r="AY98" s="583" t="s">
        <v>22</v>
      </c>
      <c r="AZ98" s="583" t="s">
        <v>23</v>
      </c>
      <c r="BA98" s="589" t="s">
        <v>91</v>
      </c>
      <c r="BB98" s="584" t="s">
        <v>958</v>
      </c>
      <c r="BC98" s="576"/>
      <c r="BD98" s="576"/>
      <c r="BE98"/>
      <c r="BF98"/>
      <c r="BG98"/>
      <c r="BH98"/>
      <c r="BI98" s="574"/>
      <c r="BJ98" s="267"/>
      <c r="BK98"/>
      <c r="BL98"/>
      <c r="BM98" s="65"/>
    </row>
    <row r="99" spans="40:65" ht="12.75">
      <c r="AN99" s="603"/>
      <c r="AO99" s="603"/>
      <c r="AP99" s="603"/>
      <c r="AQ99" s="583">
        <v>4.4000000000000004</v>
      </c>
      <c r="AR99" s="583">
        <v>9.1</v>
      </c>
      <c r="AS99" s="583">
        <v>6.79</v>
      </c>
      <c r="AT99" s="583">
        <v>41.6</v>
      </c>
      <c r="AU99" s="583">
        <v>45.760000000000005</v>
      </c>
      <c r="AV99" s="583" t="s">
        <v>1027</v>
      </c>
      <c r="AW99" s="583">
        <v>4</v>
      </c>
      <c r="AX99" s="583" t="s">
        <v>851</v>
      </c>
      <c r="AY99" s="583" t="s">
        <v>22</v>
      </c>
      <c r="AZ99" s="583" t="s">
        <v>23</v>
      </c>
      <c r="BA99" s="589" t="s">
        <v>92</v>
      </c>
      <c r="BB99" s="584" t="s">
        <v>955</v>
      </c>
      <c r="BC99" s="576"/>
      <c r="BD99" s="576"/>
      <c r="BE99"/>
      <c r="BF99"/>
      <c r="BG99"/>
      <c r="BH99"/>
      <c r="BI99" s="574"/>
      <c r="BJ99" s="267"/>
      <c r="BK99"/>
      <c r="BL99"/>
      <c r="BM99" s="65"/>
    </row>
    <row r="100" spans="40:65" ht="12.75">
      <c r="AN100" s="603"/>
      <c r="AO100" s="603"/>
      <c r="AP100" s="583">
        <v>4.5</v>
      </c>
      <c r="AQ100" s="583">
        <v>3.5</v>
      </c>
      <c r="AR100" s="583">
        <v>8.3000000000000007</v>
      </c>
      <c r="AS100" s="583">
        <v>5.77</v>
      </c>
      <c r="AT100" s="583">
        <v>54.2</v>
      </c>
      <c r="AU100" s="583">
        <v>59.620000000000005</v>
      </c>
      <c r="AV100" s="583" t="s">
        <v>28</v>
      </c>
      <c r="AW100" s="583">
        <v>4.5</v>
      </c>
      <c r="AX100" s="583" t="s">
        <v>852</v>
      </c>
      <c r="AY100" s="583" t="s">
        <v>22</v>
      </c>
      <c r="AZ100" s="583" t="s">
        <v>23</v>
      </c>
      <c r="BA100" s="589" t="s">
        <v>93</v>
      </c>
      <c r="BB100" s="584" t="s">
        <v>949</v>
      </c>
      <c r="BC100" s="576"/>
      <c r="BD100" s="576"/>
      <c r="BE100"/>
      <c r="BF100"/>
      <c r="BG100"/>
      <c r="BH100"/>
      <c r="BI100" s="574"/>
      <c r="BJ100" s="267"/>
      <c r="BK100"/>
      <c r="BL100"/>
      <c r="BM100" s="65"/>
    </row>
    <row r="101" spans="40:65" ht="12.75">
      <c r="AN101" s="603"/>
      <c r="AO101" s="603"/>
      <c r="AP101" s="583">
        <v>2.9</v>
      </c>
      <c r="AQ101" s="583">
        <v>2.4</v>
      </c>
      <c r="AR101" s="583">
        <v>4.2</v>
      </c>
      <c r="AS101" s="583">
        <v>3.35</v>
      </c>
      <c r="AT101" s="583">
        <v>96</v>
      </c>
      <c r="AU101" s="583">
        <v>105.6</v>
      </c>
      <c r="AV101" s="583" t="s">
        <v>26</v>
      </c>
      <c r="AW101" s="583">
        <v>3</v>
      </c>
      <c r="AX101" s="583" t="s">
        <v>851</v>
      </c>
      <c r="AY101" s="583" t="s">
        <v>22</v>
      </c>
      <c r="AZ101" s="583" t="s">
        <v>23</v>
      </c>
      <c r="BA101" s="589" t="s">
        <v>94</v>
      </c>
      <c r="BB101" s="584" t="s">
        <v>953</v>
      </c>
      <c r="BC101" s="576"/>
      <c r="BD101" s="576"/>
      <c r="BE101"/>
      <c r="BF101"/>
      <c r="BG101"/>
      <c r="BH101"/>
      <c r="BI101" s="574"/>
      <c r="BJ101" s="267"/>
      <c r="BK101"/>
      <c r="BL101"/>
      <c r="BM101" s="65"/>
    </row>
    <row r="102" spans="40:65" ht="13.15" customHeight="1">
      <c r="AN102" s="603"/>
      <c r="AO102" s="603"/>
      <c r="AP102" s="583">
        <v>8.5</v>
      </c>
      <c r="AQ102" s="583">
        <v>7.1</v>
      </c>
      <c r="AR102" s="583">
        <v>10.7</v>
      </c>
      <c r="AS102" s="583">
        <v>8.8000000000000007</v>
      </c>
      <c r="AT102" s="583">
        <v>23.8</v>
      </c>
      <c r="AU102" s="583">
        <v>26.2</v>
      </c>
      <c r="AV102" s="583" t="s">
        <v>43</v>
      </c>
      <c r="AW102" s="583">
        <v>5.4</v>
      </c>
      <c r="AX102" s="583" t="s">
        <v>852</v>
      </c>
      <c r="AY102" s="583" t="s">
        <v>22</v>
      </c>
      <c r="AZ102" s="583" t="s">
        <v>23</v>
      </c>
      <c r="BA102" s="589" t="s">
        <v>95</v>
      </c>
      <c r="BB102" s="584" t="s">
        <v>950</v>
      </c>
      <c r="BC102" s="576"/>
      <c r="BD102" s="576"/>
      <c r="BE102"/>
      <c r="BF102"/>
      <c r="BG102"/>
      <c r="BH102"/>
      <c r="BI102" s="574"/>
      <c r="BJ102" s="267"/>
      <c r="BK102"/>
      <c r="BL102"/>
      <c r="BM102" s="65"/>
    </row>
    <row r="103" spans="40:65" ht="12.75">
      <c r="AN103" s="603"/>
      <c r="AO103" s="603"/>
      <c r="AP103" s="583">
        <v>3.6</v>
      </c>
      <c r="AQ103" s="583">
        <v>2.9</v>
      </c>
      <c r="AR103" s="583">
        <v>5.8</v>
      </c>
      <c r="AS103" s="583">
        <v>4.22</v>
      </c>
      <c r="AT103" s="583">
        <v>71</v>
      </c>
      <c r="AU103" s="583">
        <v>78.099999999999994</v>
      </c>
      <c r="AV103" s="583" t="s">
        <v>32</v>
      </c>
      <c r="AW103" s="583">
        <v>3</v>
      </c>
      <c r="AX103" s="583" t="s">
        <v>851</v>
      </c>
      <c r="AY103" s="583" t="s">
        <v>22</v>
      </c>
      <c r="AZ103" s="583" t="s">
        <v>23</v>
      </c>
      <c r="BA103" s="589" t="s">
        <v>96</v>
      </c>
      <c r="BB103" s="584" t="s">
        <v>954</v>
      </c>
      <c r="BC103" s="576"/>
      <c r="BD103" s="576"/>
      <c r="BE103"/>
      <c r="BF103"/>
      <c r="BG103"/>
      <c r="BH103"/>
      <c r="BI103" s="574"/>
      <c r="BJ103" s="267"/>
      <c r="BK103"/>
      <c r="BL103"/>
      <c r="BM103" s="65"/>
    </row>
    <row r="104" spans="40:65" ht="12.75">
      <c r="AN104" s="603"/>
      <c r="AO104" s="603"/>
      <c r="AP104" s="583">
        <v>6.7</v>
      </c>
      <c r="AQ104" s="583">
        <v>5.7</v>
      </c>
      <c r="AR104" s="583">
        <v>13</v>
      </c>
      <c r="AS104" s="583">
        <v>8.0399999999999991</v>
      </c>
      <c r="AT104" s="583">
        <v>33.4</v>
      </c>
      <c r="AU104" s="583">
        <v>36.799999999999997</v>
      </c>
      <c r="AV104" s="583" t="s">
        <v>34</v>
      </c>
      <c r="AW104" s="583">
        <v>5.4</v>
      </c>
      <c r="AX104" s="583" t="s">
        <v>852</v>
      </c>
      <c r="AY104" s="583" t="s">
        <v>22</v>
      </c>
      <c r="AZ104" s="583" t="s">
        <v>23</v>
      </c>
      <c r="BA104" s="589" t="s">
        <v>97</v>
      </c>
      <c r="BB104" s="584" t="s">
        <v>951</v>
      </c>
      <c r="BC104" s="576"/>
      <c r="BD104" s="576"/>
      <c r="BE104"/>
      <c r="BF104"/>
      <c r="BG104"/>
      <c r="BH104"/>
      <c r="BI104" s="574"/>
      <c r="BJ104" s="267"/>
      <c r="BK104"/>
      <c r="BL104"/>
      <c r="BM104" s="65"/>
    </row>
    <row r="105" spans="40:65" ht="12.75">
      <c r="AN105" s="603"/>
      <c r="AO105" s="603"/>
      <c r="AP105" s="583">
        <v>6.9</v>
      </c>
      <c r="AQ105" s="583">
        <v>5.9</v>
      </c>
      <c r="AR105" s="583">
        <v>11.1</v>
      </c>
      <c r="AS105" s="583">
        <v>7.7</v>
      </c>
      <c r="AT105" s="583">
        <v>31.5</v>
      </c>
      <c r="AU105" s="583">
        <v>34.65</v>
      </c>
      <c r="AV105" s="583" t="s">
        <v>34</v>
      </c>
      <c r="AW105" s="583">
        <v>5.4</v>
      </c>
      <c r="AX105" s="583" t="s">
        <v>852</v>
      </c>
      <c r="AY105" s="583" t="s">
        <v>22</v>
      </c>
      <c r="AZ105" s="583" t="s">
        <v>23</v>
      </c>
      <c r="BA105" s="589" t="s">
        <v>1028</v>
      </c>
      <c r="BB105" s="584" t="s">
        <v>960</v>
      </c>
      <c r="BC105" s="576"/>
      <c r="BD105" s="576"/>
      <c r="BE105"/>
      <c r="BF105"/>
      <c r="BG105"/>
      <c r="BH105"/>
      <c r="BI105" s="574"/>
      <c r="BJ105" s="267"/>
      <c r="BK105"/>
      <c r="BL105"/>
      <c r="BM105" s="65"/>
    </row>
    <row r="106" spans="40:65" ht="12.75">
      <c r="AN106" s="603"/>
      <c r="AO106" s="603"/>
      <c r="AP106" s="583">
        <v>5.7</v>
      </c>
      <c r="AQ106" s="583">
        <v>4.7</v>
      </c>
      <c r="AR106" s="583">
        <v>10.6</v>
      </c>
      <c r="AS106" s="583">
        <v>7.56</v>
      </c>
      <c r="AT106" s="583">
        <v>37.6</v>
      </c>
      <c r="AU106" s="583">
        <v>41.3</v>
      </c>
      <c r="AV106" s="583" t="s">
        <v>72</v>
      </c>
      <c r="AW106" s="583">
        <v>5.4</v>
      </c>
      <c r="AX106" s="583" t="s">
        <v>852</v>
      </c>
      <c r="AY106" s="583" t="s">
        <v>22</v>
      </c>
      <c r="AZ106" s="583" t="s">
        <v>23</v>
      </c>
      <c r="BA106" s="589" t="s">
        <v>98</v>
      </c>
      <c r="BB106" s="584" t="s">
        <v>952</v>
      </c>
      <c r="BC106" s="576"/>
      <c r="BD106" s="576"/>
      <c r="BE106"/>
      <c r="BF106"/>
      <c r="BG106"/>
      <c r="BH106"/>
      <c r="BI106" s="574"/>
      <c r="BJ106" s="267"/>
      <c r="BK106"/>
      <c r="BL106"/>
      <c r="BM106" s="65"/>
    </row>
    <row r="107" spans="40:65" ht="12.75">
      <c r="AN107" s="603"/>
      <c r="AO107" s="603"/>
      <c r="AP107" s="583">
        <v>3.7</v>
      </c>
      <c r="AQ107" s="583">
        <v>3</v>
      </c>
      <c r="AR107" s="583">
        <v>5.5</v>
      </c>
      <c r="AS107" s="583">
        <v>3.8</v>
      </c>
      <c r="AT107" s="583">
        <v>68</v>
      </c>
      <c r="AU107" s="583">
        <v>74.8</v>
      </c>
      <c r="AV107" s="583" t="s">
        <v>28</v>
      </c>
      <c r="AW107" s="583">
        <v>3</v>
      </c>
      <c r="AX107" s="583" t="s">
        <v>852</v>
      </c>
      <c r="AY107" s="583" t="s">
        <v>22</v>
      </c>
      <c r="AZ107" s="583" t="s">
        <v>23</v>
      </c>
      <c r="BA107" s="589" t="s">
        <v>99</v>
      </c>
      <c r="BB107" s="584" t="s">
        <v>957</v>
      </c>
      <c r="BC107" s="576"/>
      <c r="BD107" s="576"/>
      <c r="BE107"/>
      <c r="BF107"/>
      <c r="BG107"/>
      <c r="BH107"/>
      <c r="BI107" s="574"/>
      <c r="BJ107" s="267"/>
      <c r="BK107"/>
      <c r="BL107"/>
      <c r="BM107" s="65"/>
    </row>
    <row r="108" spans="40:65" ht="12.75">
      <c r="AN108" s="603"/>
      <c r="AO108" s="603"/>
      <c r="AP108" s="583">
        <v>3</v>
      </c>
      <c r="AQ108" s="583">
        <v>2.5</v>
      </c>
      <c r="AR108" s="583">
        <v>3.9</v>
      </c>
      <c r="AS108" s="583">
        <v>2.75</v>
      </c>
      <c r="AT108" s="583">
        <v>95</v>
      </c>
      <c r="AU108" s="583">
        <v>104.5</v>
      </c>
      <c r="AV108" s="583" t="s">
        <v>26</v>
      </c>
      <c r="AW108" s="583">
        <v>4</v>
      </c>
      <c r="AX108" s="583" t="s">
        <v>852</v>
      </c>
      <c r="AY108" s="583" t="s">
        <v>22</v>
      </c>
      <c r="AZ108" s="583" t="s">
        <v>23</v>
      </c>
      <c r="BA108" s="589" t="s">
        <v>1029</v>
      </c>
      <c r="BB108" s="584" t="s">
        <v>1017</v>
      </c>
      <c r="BC108" s="576"/>
      <c r="BD108" s="576"/>
      <c r="BE108"/>
      <c r="BF108"/>
      <c r="BG108"/>
      <c r="BH108"/>
      <c r="BI108" s="574"/>
      <c r="BJ108" s="267"/>
      <c r="BK108"/>
      <c r="BL108"/>
      <c r="BM108" s="65"/>
    </row>
    <row r="109" spans="40:65" ht="12.75">
      <c r="AN109" s="603"/>
      <c r="AO109" s="603"/>
      <c r="AP109" s="583">
        <v>7.6</v>
      </c>
      <c r="AQ109" s="583">
        <v>6.3</v>
      </c>
      <c r="AR109" s="583">
        <v>10.8</v>
      </c>
      <c r="AS109" s="583">
        <v>8.09</v>
      </c>
      <c r="AT109" s="583">
        <v>25.4</v>
      </c>
      <c r="AU109" s="583">
        <v>27.94</v>
      </c>
      <c r="AV109" s="583" t="s">
        <v>43</v>
      </c>
      <c r="AW109" s="583">
        <v>4</v>
      </c>
      <c r="AX109" s="583" t="s">
        <v>851</v>
      </c>
      <c r="AY109" s="583" t="s">
        <v>22</v>
      </c>
      <c r="AZ109" s="583" t="s">
        <v>23</v>
      </c>
      <c r="BA109" s="589" t="s">
        <v>100</v>
      </c>
      <c r="BB109" s="584" t="s">
        <v>956</v>
      </c>
      <c r="BC109" s="576"/>
      <c r="BD109" s="576"/>
      <c r="BE109"/>
      <c r="BF109"/>
      <c r="BG109"/>
      <c r="BH109"/>
      <c r="BI109" s="574"/>
      <c r="BJ109" s="267"/>
      <c r="BK109"/>
      <c r="BL109"/>
      <c r="BM109" s="65"/>
    </row>
    <row r="110" spans="40:65" ht="12.75">
      <c r="AN110" s="603"/>
      <c r="AO110" s="603"/>
      <c r="AP110" s="583">
        <v>6</v>
      </c>
      <c r="AQ110" s="583">
        <v>4.5</v>
      </c>
      <c r="AR110" s="583">
        <v>9.6</v>
      </c>
      <c r="AS110" s="583">
        <v>6.7</v>
      </c>
      <c r="AT110" s="583">
        <v>36</v>
      </c>
      <c r="AU110" s="583">
        <v>39.6</v>
      </c>
      <c r="AV110" s="583" t="s">
        <v>83</v>
      </c>
      <c r="AW110" s="583">
        <v>4.8</v>
      </c>
      <c r="AX110" s="583" t="s">
        <v>852</v>
      </c>
      <c r="AY110" s="583" t="s">
        <v>22</v>
      </c>
      <c r="AZ110" s="583" t="s">
        <v>23</v>
      </c>
      <c r="BA110" s="589" t="s">
        <v>101</v>
      </c>
      <c r="BB110" s="584" t="s">
        <v>959</v>
      </c>
      <c r="BC110" s="576"/>
      <c r="BD110" s="576"/>
      <c r="BE110"/>
      <c r="BF110"/>
      <c r="BG110"/>
      <c r="BH110"/>
      <c r="BI110" s="574"/>
      <c r="BJ110" s="267"/>
      <c r="BK110"/>
      <c r="BL110"/>
      <c r="BM110" s="65"/>
    </row>
    <row r="111" spans="40:65" ht="12.75">
      <c r="AN111" s="603"/>
      <c r="AO111" s="603"/>
      <c r="AP111" s="583">
        <v>9.6</v>
      </c>
      <c r="AQ111" s="583">
        <v>8</v>
      </c>
      <c r="AR111" s="583">
        <v>14</v>
      </c>
      <c r="AS111" s="583">
        <v>10.1</v>
      </c>
      <c r="AT111" s="583">
        <v>19</v>
      </c>
      <c r="AU111" s="583">
        <v>20.9</v>
      </c>
      <c r="AV111" s="583" t="s">
        <v>21</v>
      </c>
      <c r="AW111" s="583">
        <v>6</v>
      </c>
      <c r="AX111" s="583" t="s">
        <v>852</v>
      </c>
      <c r="AY111" s="583" t="s">
        <v>22</v>
      </c>
      <c r="AZ111" s="583" t="s">
        <v>23</v>
      </c>
      <c r="BA111" s="589" t="s">
        <v>1080</v>
      </c>
      <c r="BB111" s="584" t="s">
        <v>1087</v>
      </c>
      <c r="BC111" s="576"/>
      <c r="BD111" s="576"/>
      <c r="BE111"/>
      <c r="BF111"/>
      <c r="BG111"/>
      <c r="BH111"/>
      <c r="BI111" s="574"/>
      <c r="BJ111" s="267"/>
      <c r="BK111"/>
      <c r="BL111"/>
      <c r="BM111" s="65"/>
    </row>
    <row r="112" spans="40:65" ht="12.75">
      <c r="AN112" s="583">
        <v>14</v>
      </c>
      <c r="AO112" s="583">
        <v>0.2</v>
      </c>
      <c r="AP112" s="583">
        <v>7.9</v>
      </c>
      <c r="AQ112" s="583">
        <v>6.5</v>
      </c>
      <c r="AR112" s="583">
        <v>11.2</v>
      </c>
      <c r="AS112" s="583">
        <v>8</v>
      </c>
      <c r="AT112" s="583">
        <v>28</v>
      </c>
      <c r="AU112" s="583">
        <v>30.800000000000004</v>
      </c>
      <c r="AV112" s="583" t="s">
        <v>21</v>
      </c>
      <c r="AW112" s="583">
        <v>6</v>
      </c>
      <c r="AX112" s="583" t="s">
        <v>852</v>
      </c>
      <c r="AY112" s="583" t="s">
        <v>22</v>
      </c>
      <c r="AZ112" s="583" t="s">
        <v>23</v>
      </c>
      <c r="BA112" s="589" t="s">
        <v>102</v>
      </c>
      <c r="BB112" s="584" t="s">
        <v>961</v>
      </c>
      <c r="BC112" s="576"/>
      <c r="BD112" s="576"/>
      <c r="BE112"/>
      <c r="BF112"/>
      <c r="BG112"/>
      <c r="BH112"/>
      <c r="BI112" s="574"/>
      <c r="BJ112" s="267"/>
      <c r="BK112"/>
      <c r="BL112"/>
      <c r="BM112" s="65"/>
    </row>
    <row r="113" spans="40:65" ht="12.75">
      <c r="AN113" s="583">
        <v>15</v>
      </c>
      <c r="AO113" s="583">
        <v>0.2</v>
      </c>
      <c r="AP113" s="583">
        <v>4.5</v>
      </c>
      <c r="AQ113" s="583">
        <v>3.8</v>
      </c>
      <c r="AR113" s="583">
        <v>7.6</v>
      </c>
      <c r="AS113" s="583">
        <v>5.82</v>
      </c>
      <c r="AT113" s="583">
        <v>55</v>
      </c>
      <c r="AU113" s="583">
        <v>60.500000000000007</v>
      </c>
      <c r="AV113" s="583" t="s">
        <v>1027</v>
      </c>
      <c r="AW113" s="583">
        <v>4</v>
      </c>
      <c r="AX113" s="583" t="s">
        <v>851</v>
      </c>
      <c r="AY113" s="583" t="s">
        <v>22</v>
      </c>
      <c r="AZ113" s="583" t="s">
        <v>23</v>
      </c>
      <c r="BA113" s="589" t="s">
        <v>103</v>
      </c>
      <c r="BB113" s="584" t="s">
        <v>965</v>
      </c>
      <c r="BC113" s="576"/>
      <c r="BD113" s="576"/>
      <c r="BE113"/>
      <c r="BF113"/>
      <c r="BG113"/>
      <c r="BH113"/>
      <c r="BI113" s="574"/>
      <c r="BJ113" s="267"/>
      <c r="BK113"/>
      <c r="BL113"/>
      <c r="BM113" s="65"/>
    </row>
    <row r="114" spans="40:65" ht="12.75">
      <c r="AN114" s="603"/>
      <c r="AO114" s="603"/>
      <c r="AP114" s="583">
        <v>7</v>
      </c>
      <c r="AQ114" s="583">
        <v>5.8</v>
      </c>
      <c r="AR114" s="583">
        <v>12</v>
      </c>
      <c r="AS114" s="583">
        <v>7.33</v>
      </c>
      <c r="AT114" s="583">
        <v>35.6</v>
      </c>
      <c r="AU114" s="583">
        <v>39.159999999999997</v>
      </c>
      <c r="AV114" s="583" t="s">
        <v>43</v>
      </c>
      <c r="AW114" s="583">
        <v>5.4</v>
      </c>
      <c r="AX114" s="583" t="s">
        <v>852</v>
      </c>
      <c r="AY114" s="583" t="s">
        <v>22</v>
      </c>
      <c r="AZ114" s="583" t="s">
        <v>23</v>
      </c>
      <c r="BA114" s="589" t="s">
        <v>104</v>
      </c>
      <c r="BB114" s="584" t="s">
        <v>962</v>
      </c>
      <c r="BC114" s="576"/>
      <c r="BD114" s="576"/>
      <c r="BE114"/>
      <c r="BF114"/>
      <c r="BG114"/>
      <c r="BH114"/>
      <c r="BI114" s="574"/>
      <c r="BJ114" s="267"/>
      <c r="BK114"/>
      <c r="BL114"/>
      <c r="BM114" s="65"/>
    </row>
    <row r="115" spans="40:65" ht="12.75">
      <c r="AN115" s="603"/>
      <c r="AO115" s="603"/>
      <c r="AP115" s="583">
        <v>4.2</v>
      </c>
      <c r="AQ115" s="583">
        <v>3.3</v>
      </c>
      <c r="AR115" s="583">
        <v>6.7</v>
      </c>
      <c r="AS115" s="583">
        <v>5</v>
      </c>
      <c r="AT115" s="583">
        <v>63.8</v>
      </c>
      <c r="AU115" s="583">
        <v>70.180000000000007</v>
      </c>
      <c r="AV115" s="583" t="s">
        <v>32</v>
      </c>
      <c r="AW115" s="583">
        <v>4.8</v>
      </c>
      <c r="AX115" s="583" t="s">
        <v>852</v>
      </c>
      <c r="AY115" s="583" t="s">
        <v>22</v>
      </c>
      <c r="AZ115" s="583" t="s">
        <v>23</v>
      </c>
      <c r="BA115" s="589" t="s">
        <v>105</v>
      </c>
      <c r="BB115" s="584" t="s">
        <v>967</v>
      </c>
      <c r="BC115" s="576"/>
      <c r="BD115" s="576"/>
      <c r="BE115"/>
      <c r="BF115"/>
      <c r="BG115"/>
      <c r="BH115"/>
      <c r="BI115" s="574"/>
      <c r="BJ115" s="267"/>
      <c r="BK115"/>
      <c r="BL115"/>
      <c r="BM115" s="65"/>
    </row>
    <row r="116" spans="40:65" ht="12.75">
      <c r="AN116" s="603"/>
      <c r="AO116" s="603"/>
      <c r="AP116" s="583">
        <v>5.5</v>
      </c>
      <c r="AQ116" s="583">
        <v>4.7</v>
      </c>
      <c r="AR116" s="583">
        <v>7.2</v>
      </c>
      <c r="AS116" s="583">
        <v>5.58</v>
      </c>
      <c r="AT116" s="583">
        <v>48.2</v>
      </c>
      <c r="AU116" s="583">
        <v>53.1</v>
      </c>
      <c r="AV116" s="583" t="s">
        <v>34</v>
      </c>
      <c r="AW116" s="583">
        <v>5.4</v>
      </c>
      <c r="AX116" s="583" t="s">
        <v>852</v>
      </c>
      <c r="AY116" s="583" t="s">
        <v>22</v>
      </c>
      <c r="AZ116" s="583" t="s">
        <v>23</v>
      </c>
      <c r="BA116" s="589" t="s">
        <v>106</v>
      </c>
      <c r="BB116" s="584" t="s">
        <v>963</v>
      </c>
      <c r="BC116" s="576"/>
      <c r="BD116" s="576"/>
      <c r="BE116"/>
      <c r="BF116"/>
      <c r="BG116"/>
      <c r="BH116"/>
      <c r="BI116" s="574"/>
      <c r="BJ116" s="267"/>
      <c r="BK116"/>
      <c r="BL116"/>
      <c r="BM116" s="65"/>
    </row>
    <row r="117" spans="40:65" ht="12.75">
      <c r="AN117" s="603"/>
      <c r="AO117" s="603"/>
      <c r="AP117" s="583">
        <v>6.3</v>
      </c>
      <c r="AQ117" s="583">
        <v>5.2</v>
      </c>
      <c r="AR117" s="583">
        <v>9.1999999999999993</v>
      </c>
      <c r="AS117" s="583">
        <v>5.96</v>
      </c>
      <c r="AT117" s="583">
        <v>37</v>
      </c>
      <c r="AU117" s="583">
        <v>40.700000000000003</v>
      </c>
      <c r="AV117" s="583" t="s">
        <v>43</v>
      </c>
      <c r="AW117" s="583">
        <v>4</v>
      </c>
      <c r="AX117" s="583" t="s">
        <v>851</v>
      </c>
      <c r="AY117" s="583" t="s">
        <v>22</v>
      </c>
      <c r="AZ117" s="583" t="s">
        <v>23</v>
      </c>
      <c r="BA117" s="589" t="s">
        <v>107</v>
      </c>
      <c r="BB117" s="584" t="s">
        <v>966</v>
      </c>
      <c r="BC117" s="576"/>
      <c r="BD117" s="576" t="str">
        <f t="shared" ref="BD117:BD135" si="4">IFERROR(_xlfn.IMAGE(BC117,"--"),"--")</f>
        <v>--</v>
      </c>
      <c r="BE117"/>
      <c r="BF117"/>
      <c r="BG117"/>
      <c r="BH117"/>
      <c r="BI117"/>
      <c r="BJ117"/>
      <c r="BK117"/>
      <c r="BL117"/>
      <c r="BM117" s="65"/>
    </row>
    <row r="118" spans="40:65" ht="12.75">
      <c r="AN118" s="603"/>
      <c r="AO118" s="603"/>
      <c r="AP118" s="583">
        <v>3</v>
      </c>
      <c r="AQ118" s="583">
        <v>2.5</v>
      </c>
      <c r="AR118" s="583">
        <v>5.0999999999999996</v>
      </c>
      <c r="AS118" s="583">
        <v>3.45</v>
      </c>
      <c r="AT118" s="583">
        <v>99.2</v>
      </c>
      <c r="AU118" s="583">
        <v>109.12000000000002</v>
      </c>
      <c r="AV118" s="583" t="s">
        <v>32</v>
      </c>
      <c r="AW118" s="583">
        <v>3</v>
      </c>
      <c r="AX118" s="583" t="s">
        <v>851</v>
      </c>
      <c r="AY118" s="583" t="s">
        <v>22</v>
      </c>
      <c r="AZ118" s="583" t="s">
        <v>23</v>
      </c>
      <c r="BA118" s="589" t="s">
        <v>108</v>
      </c>
      <c r="BB118" s="584" t="s">
        <v>964</v>
      </c>
      <c r="BC118" s="576"/>
      <c r="BD118" s="576" t="str">
        <f t="shared" si="4"/>
        <v>--</v>
      </c>
      <c r="BE118"/>
      <c r="BF118"/>
      <c r="BG118"/>
      <c r="BH118"/>
      <c r="BI118"/>
      <c r="BJ118"/>
      <c r="BK118"/>
      <c r="BL118"/>
      <c r="BM118" s="65"/>
    </row>
    <row r="119" spans="40:65" ht="12.75">
      <c r="AN119" s="603"/>
      <c r="AO119" s="603"/>
      <c r="AP119" s="583">
        <v>4.5999999999999996</v>
      </c>
      <c r="AQ119" s="583">
        <v>3.4</v>
      </c>
      <c r="AR119" s="583">
        <v>7.2</v>
      </c>
      <c r="AS119" s="583">
        <v>5.2</v>
      </c>
      <c r="AT119" s="583">
        <v>60.7</v>
      </c>
      <c r="AU119" s="583">
        <v>66.77</v>
      </c>
      <c r="AV119" s="583" t="s">
        <v>83</v>
      </c>
      <c r="AW119" s="583">
        <v>4.8</v>
      </c>
      <c r="AX119" s="583" t="s">
        <v>852</v>
      </c>
      <c r="AY119" s="583" t="s">
        <v>22</v>
      </c>
      <c r="AZ119" s="583" t="s">
        <v>23</v>
      </c>
      <c r="BA119" s="589" t="s">
        <v>1059</v>
      </c>
      <c r="BB119" s="584" t="s">
        <v>968</v>
      </c>
      <c r="BC119" s="576"/>
      <c r="BD119" s="576" t="str">
        <f t="shared" si="4"/>
        <v>--</v>
      </c>
      <c r="BE119"/>
      <c r="BF119"/>
      <c r="BG119"/>
      <c r="BH119"/>
      <c r="BI119"/>
      <c r="BJ119"/>
      <c r="BK119"/>
      <c r="BL119"/>
      <c r="BM119" s="65"/>
    </row>
    <row r="120" spans="40:65" ht="12.75">
      <c r="AN120" s="583">
        <v>20</v>
      </c>
      <c r="AO120" s="583">
        <v>0.2</v>
      </c>
      <c r="AP120" s="583">
        <v>6.2</v>
      </c>
      <c r="AQ120" s="583">
        <v>5.2</v>
      </c>
      <c r="AR120" s="583">
        <v>7.9</v>
      </c>
      <c r="AS120" s="583">
        <v>5.5</v>
      </c>
      <c r="AT120" s="583">
        <v>45.5</v>
      </c>
      <c r="AU120" s="583">
        <v>50.05</v>
      </c>
      <c r="AV120" s="583" t="s">
        <v>21</v>
      </c>
      <c r="AW120" s="583">
        <v>5.6</v>
      </c>
      <c r="AX120" s="583" t="s">
        <v>852</v>
      </c>
      <c r="AY120" s="583" t="s">
        <v>22</v>
      </c>
      <c r="AZ120" s="583" t="s">
        <v>23</v>
      </c>
      <c r="BA120" s="589" t="s">
        <v>1060</v>
      </c>
      <c r="BB120" s="584" t="s">
        <v>1002</v>
      </c>
      <c r="BC120" s="576"/>
      <c r="BD120" s="576" t="str">
        <f t="shared" si="4"/>
        <v>--</v>
      </c>
      <c r="BE120"/>
      <c r="BF120"/>
      <c r="BG120"/>
      <c r="BH120"/>
      <c r="BI120"/>
      <c r="BJ120"/>
      <c r="BK120"/>
      <c r="BL120"/>
      <c r="BM120" s="65"/>
    </row>
    <row r="121" spans="40:65" ht="12.75">
      <c r="AN121" s="583">
        <v>22</v>
      </c>
      <c r="AO121" s="583">
        <v>0.2</v>
      </c>
      <c r="AP121" s="583">
        <v>2.9</v>
      </c>
      <c r="AQ121" s="583">
        <v>2.2999999999999998</v>
      </c>
      <c r="AR121" s="583">
        <v>6</v>
      </c>
      <c r="AS121" s="583">
        <v>3.94</v>
      </c>
      <c r="AT121" s="583">
        <v>126</v>
      </c>
      <c r="AU121" s="583">
        <v>138.6</v>
      </c>
      <c r="AV121" s="583" t="s">
        <v>28</v>
      </c>
      <c r="AW121" s="583">
        <v>4.5</v>
      </c>
      <c r="AX121" s="583" t="s">
        <v>852</v>
      </c>
      <c r="AY121" s="583" t="s">
        <v>22</v>
      </c>
      <c r="AZ121" s="583" t="s">
        <v>23</v>
      </c>
      <c r="BA121" s="589" t="s">
        <v>109</v>
      </c>
      <c r="BB121" s="584" t="s">
        <v>969</v>
      </c>
      <c r="BC121" s="576"/>
      <c r="BD121" s="576" t="str">
        <f t="shared" si="4"/>
        <v>--</v>
      </c>
      <c r="BE121"/>
      <c r="BF121"/>
      <c r="BG121"/>
      <c r="BH121"/>
      <c r="BI121"/>
      <c r="BJ121"/>
      <c r="BK121"/>
      <c r="BL121"/>
      <c r="BM121" s="65"/>
    </row>
    <row r="122" spans="40:65" ht="12.75">
      <c r="AN122" s="603"/>
      <c r="AO122" s="603"/>
      <c r="AP122" s="583">
        <v>2.5</v>
      </c>
      <c r="AQ122" s="583">
        <v>2.1</v>
      </c>
      <c r="AR122" s="583">
        <v>4</v>
      </c>
      <c r="AS122" s="583">
        <v>2.9</v>
      </c>
      <c r="AT122" s="583">
        <v>144</v>
      </c>
      <c r="AU122" s="583">
        <v>158.4</v>
      </c>
      <c r="AV122" s="583" t="s">
        <v>28</v>
      </c>
      <c r="AW122" s="583">
        <v>3</v>
      </c>
      <c r="AX122" s="583" t="s">
        <v>852</v>
      </c>
      <c r="AY122" s="583" t="s">
        <v>22</v>
      </c>
      <c r="AZ122" s="583" t="s">
        <v>23</v>
      </c>
      <c r="BA122" s="589" t="s">
        <v>110</v>
      </c>
      <c r="BB122" s="584" t="s">
        <v>977</v>
      </c>
      <c r="BC122" s="576"/>
      <c r="BD122" s="576" t="str">
        <f t="shared" si="4"/>
        <v>--</v>
      </c>
      <c r="BE122"/>
      <c r="BF122"/>
      <c r="BG122"/>
      <c r="BH122"/>
      <c r="BI122"/>
      <c r="BJ122"/>
      <c r="BK122"/>
      <c r="BL122"/>
      <c r="BM122" s="65"/>
    </row>
    <row r="123" spans="40:65" ht="12.75">
      <c r="AN123" s="603"/>
      <c r="AO123" s="603"/>
      <c r="AP123" s="583">
        <v>2.2000000000000002</v>
      </c>
      <c r="AQ123" s="583">
        <v>1.8</v>
      </c>
      <c r="AR123" s="583">
        <v>2.8</v>
      </c>
      <c r="AS123" s="583">
        <v>1.9</v>
      </c>
      <c r="AT123" s="583">
        <v>165</v>
      </c>
      <c r="AU123" s="583">
        <v>181.5</v>
      </c>
      <c r="AV123" s="583" t="s">
        <v>26</v>
      </c>
      <c r="AW123" s="583">
        <v>3</v>
      </c>
      <c r="AX123" s="583" t="s">
        <v>851</v>
      </c>
      <c r="AY123" s="583" t="s">
        <v>22</v>
      </c>
      <c r="AZ123" s="583" t="s">
        <v>23</v>
      </c>
      <c r="BA123" s="589" t="s">
        <v>1061</v>
      </c>
      <c r="BB123" s="584" t="s">
        <v>1012</v>
      </c>
      <c r="BC123" s="576"/>
      <c r="BD123" s="576" t="str">
        <f t="shared" si="4"/>
        <v>--</v>
      </c>
      <c r="BE123"/>
      <c r="BF123"/>
      <c r="BG123"/>
      <c r="BH123"/>
      <c r="BI123"/>
      <c r="BJ123"/>
      <c r="BK123"/>
      <c r="BL123"/>
      <c r="BM123" s="65"/>
    </row>
    <row r="124" spans="40:65" ht="12.75">
      <c r="AN124" s="603"/>
      <c r="AO124" s="603"/>
      <c r="AP124" s="583">
        <v>5</v>
      </c>
      <c r="AQ124" s="583">
        <v>4.0999999999999996</v>
      </c>
      <c r="AR124" s="583">
        <v>7.4</v>
      </c>
      <c r="AS124" s="583">
        <v>5.63</v>
      </c>
      <c r="AT124" s="583">
        <v>60</v>
      </c>
      <c r="AU124" s="583">
        <v>66</v>
      </c>
      <c r="AV124" s="583" t="s">
        <v>43</v>
      </c>
      <c r="AW124" s="583">
        <v>4</v>
      </c>
      <c r="AX124" s="583" t="s">
        <v>851</v>
      </c>
      <c r="AY124" s="583" t="s">
        <v>22</v>
      </c>
      <c r="AZ124" s="583" t="s">
        <v>23</v>
      </c>
      <c r="BA124" s="589" t="s">
        <v>111</v>
      </c>
      <c r="BB124" s="584" t="s">
        <v>976</v>
      </c>
      <c r="BC124" s="576"/>
      <c r="BD124" s="576" t="str">
        <f t="shared" si="4"/>
        <v>--</v>
      </c>
      <c r="BE124"/>
      <c r="BF124"/>
      <c r="BG124"/>
      <c r="BH124"/>
      <c r="BI124"/>
      <c r="BJ124"/>
      <c r="BK124"/>
      <c r="BL124"/>
      <c r="BM124" s="65"/>
    </row>
    <row r="125" spans="40:65" ht="12.75">
      <c r="AN125" s="603"/>
      <c r="AO125" s="603"/>
      <c r="AP125" s="583">
        <v>4.8</v>
      </c>
      <c r="AQ125" s="583">
        <v>4.0999999999999996</v>
      </c>
      <c r="AR125" s="583">
        <v>6.9</v>
      </c>
      <c r="AS125" s="583">
        <v>4.92</v>
      </c>
      <c r="AT125" s="583">
        <v>63</v>
      </c>
      <c r="AU125" s="583">
        <v>70</v>
      </c>
      <c r="AV125" s="583" t="s">
        <v>34</v>
      </c>
      <c r="AW125" s="583">
        <v>5.4</v>
      </c>
      <c r="AX125" s="583" t="s">
        <v>852</v>
      </c>
      <c r="AY125" s="583" t="s">
        <v>22</v>
      </c>
      <c r="AZ125" s="583" t="s">
        <v>23</v>
      </c>
      <c r="BA125" s="589" t="s">
        <v>112</v>
      </c>
      <c r="BB125" s="584" t="s">
        <v>972</v>
      </c>
      <c r="BC125" s="576"/>
      <c r="BD125" s="576" t="str">
        <f t="shared" si="4"/>
        <v>--</v>
      </c>
      <c r="BE125"/>
      <c r="BF125"/>
      <c r="BG125"/>
      <c r="BH125"/>
      <c r="BI125"/>
      <c r="BJ125"/>
      <c r="BK125"/>
      <c r="BL125"/>
      <c r="BM125" s="65"/>
    </row>
    <row r="126" spans="40:65" ht="12.75">
      <c r="AN126" s="603"/>
      <c r="AO126" s="603"/>
      <c r="AP126" s="583">
        <v>2.2999999999999998</v>
      </c>
      <c r="AQ126" s="583">
        <v>1.9</v>
      </c>
      <c r="AR126" s="583">
        <v>3.1</v>
      </c>
      <c r="AS126" s="583">
        <v>2.35</v>
      </c>
      <c r="AT126" s="583">
        <v>163</v>
      </c>
      <c r="AU126" s="583">
        <v>179</v>
      </c>
      <c r="AV126" s="583" t="s">
        <v>26</v>
      </c>
      <c r="AW126" s="583">
        <v>4</v>
      </c>
      <c r="AX126" s="583" t="s">
        <v>852</v>
      </c>
      <c r="AY126" s="583" t="s">
        <v>22</v>
      </c>
      <c r="AZ126" s="583" t="s">
        <v>23</v>
      </c>
      <c r="BA126" s="589" t="s">
        <v>113</v>
      </c>
      <c r="BB126" s="584" t="s">
        <v>970</v>
      </c>
      <c r="BC126" s="576"/>
      <c r="BD126" s="576" t="str">
        <f t="shared" si="4"/>
        <v>--</v>
      </c>
      <c r="BE126"/>
      <c r="BF126"/>
      <c r="BG126"/>
      <c r="BH126"/>
      <c r="BI126"/>
      <c r="BJ126"/>
      <c r="BK126"/>
      <c r="BL126"/>
      <c r="BM126" s="65"/>
    </row>
    <row r="127" spans="40:65" ht="12.75">
      <c r="AN127" s="603"/>
      <c r="AO127" s="603"/>
      <c r="AP127" s="583">
        <v>6.2</v>
      </c>
      <c r="AQ127" s="583">
        <v>5.2</v>
      </c>
      <c r="AR127" s="583">
        <v>9.1999999999999993</v>
      </c>
      <c r="AS127" s="583">
        <v>6.64</v>
      </c>
      <c r="AT127" s="583">
        <v>45</v>
      </c>
      <c r="AU127" s="583">
        <v>50</v>
      </c>
      <c r="AV127" s="583" t="s">
        <v>43</v>
      </c>
      <c r="AW127" s="583">
        <v>5.4</v>
      </c>
      <c r="AX127" s="583" t="s">
        <v>852</v>
      </c>
      <c r="AY127" s="583" t="s">
        <v>22</v>
      </c>
      <c r="AZ127" s="583" t="s">
        <v>23</v>
      </c>
      <c r="BA127" s="589" t="s">
        <v>1062</v>
      </c>
      <c r="BB127" s="584" t="s">
        <v>971</v>
      </c>
      <c r="BC127" s="576"/>
      <c r="BD127" s="576" t="str">
        <f t="shared" si="4"/>
        <v>--</v>
      </c>
      <c r="BE127"/>
      <c r="BF127"/>
      <c r="BG127"/>
      <c r="BH127"/>
      <c r="BI127"/>
      <c r="BJ127"/>
      <c r="BK127"/>
      <c r="BL127"/>
      <c r="BM127" s="65"/>
    </row>
    <row r="128" spans="40:65" ht="12.75">
      <c r="AN128" s="603"/>
      <c r="AO128" s="603"/>
      <c r="AP128" s="583">
        <v>2.7</v>
      </c>
      <c r="AQ128" s="583">
        <v>2.2000000000000002</v>
      </c>
      <c r="AR128" s="583">
        <v>4.3</v>
      </c>
      <c r="AS128" s="583">
        <v>2.79</v>
      </c>
      <c r="AT128" s="583">
        <v>128</v>
      </c>
      <c r="AU128" s="583">
        <v>140.80000000000001</v>
      </c>
      <c r="AV128" s="583" t="s">
        <v>32</v>
      </c>
      <c r="AW128" s="583">
        <v>3</v>
      </c>
      <c r="AX128" s="583" t="s">
        <v>851</v>
      </c>
      <c r="AY128" s="583" t="s">
        <v>22</v>
      </c>
      <c r="AZ128" s="583" t="s">
        <v>23</v>
      </c>
      <c r="BA128" s="589" t="s">
        <v>114</v>
      </c>
      <c r="BB128" s="584" t="s">
        <v>974</v>
      </c>
      <c r="BC128" s="576"/>
      <c r="BD128" s="576" t="str">
        <f t="shared" si="4"/>
        <v>--</v>
      </c>
      <c r="BE128"/>
      <c r="BF128"/>
      <c r="BG128"/>
      <c r="BH128"/>
      <c r="BI128"/>
      <c r="BJ128"/>
      <c r="BK128"/>
      <c r="BL128"/>
      <c r="BM128" s="65"/>
    </row>
    <row r="129" spans="40:65" ht="12.75">
      <c r="AN129" s="603"/>
      <c r="AO129" s="603"/>
      <c r="AP129" s="583">
        <v>3.7</v>
      </c>
      <c r="AQ129" s="583">
        <v>3</v>
      </c>
      <c r="AR129" s="583">
        <v>5.8</v>
      </c>
      <c r="AS129" s="583">
        <v>3.97</v>
      </c>
      <c r="AT129" s="583">
        <v>92</v>
      </c>
      <c r="AU129" s="583">
        <v>102</v>
      </c>
      <c r="AV129" s="583" t="s">
        <v>72</v>
      </c>
      <c r="AW129" s="583">
        <v>5.4</v>
      </c>
      <c r="AX129" s="583" t="s">
        <v>852</v>
      </c>
      <c r="AY129" s="583" t="s">
        <v>22</v>
      </c>
      <c r="AZ129" s="583" t="s">
        <v>23</v>
      </c>
      <c r="BA129" s="589" t="s">
        <v>115</v>
      </c>
      <c r="BB129" s="584" t="s">
        <v>973</v>
      </c>
      <c r="BC129" s="576"/>
      <c r="BD129" s="576" t="str">
        <f t="shared" si="4"/>
        <v>--</v>
      </c>
      <c r="BE129"/>
      <c r="BF129"/>
      <c r="BG129"/>
      <c r="BH129"/>
      <c r="BI129"/>
      <c r="BJ129"/>
      <c r="BK129"/>
      <c r="BL129"/>
      <c r="BM129" s="65"/>
    </row>
    <row r="130" spans="40:65" ht="12.75">
      <c r="AN130" s="603"/>
      <c r="AO130" s="603"/>
      <c r="AP130" s="583">
        <v>3.1</v>
      </c>
      <c r="AQ130" s="583">
        <v>2.4</v>
      </c>
      <c r="AR130" s="583">
        <v>4.0999999999999996</v>
      </c>
      <c r="AS130" s="583">
        <v>2.9</v>
      </c>
      <c r="AT130" s="583">
        <v>113</v>
      </c>
      <c r="AU130" s="583">
        <v>124.3</v>
      </c>
      <c r="AV130" s="583" t="s">
        <v>32</v>
      </c>
      <c r="AW130" s="583">
        <v>4.8</v>
      </c>
      <c r="AX130" s="583" t="s">
        <v>852</v>
      </c>
      <c r="AY130" s="583" t="s">
        <v>22</v>
      </c>
      <c r="AZ130" s="583" t="s">
        <v>23</v>
      </c>
      <c r="BA130" s="589" t="s">
        <v>1063</v>
      </c>
      <c r="BB130" s="584" t="s">
        <v>979</v>
      </c>
      <c r="BC130" s="576"/>
      <c r="BD130" s="576" t="str">
        <f t="shared" si="4"/>
        <v>--</v>
      </c>
      <c r="BE130"/>
      <c r="BF130"/>
      <c r="BG130"/>
      <c r="BH130"/>
      <c r="BI130"/>
      <c r="BJ130"/>
      <c r="BK130"/>
      <c r="BL130"/>
      <c r="BM130" s="65"/>
    </row>
    <row r="131" spans="40:65" ht="12.75">
      <c r="AN131" s="603"/>
      <c r="AO131" s="603"/>
      <c r="AP131" s="583">
        <v>3.8</v>
      </c>
      <c r="AQ131" s="583">
        <v>3.2</v>
      </c>
      <c r="AR131" s="583">
        <v>6</v>
      </c>
      <c r="AS131" s="583">
        <v>5</v>
      </c>
      <c r="AT131" s="583">
        <v>78.400000000000006</v>
      </c>
      <c r="AU131" s="583">
        <v>86.24</v>
      </c>
      <c r="AV131" s="583" t="s">
        <v>1027</v>
      </c>
      <c r="AW131" s="583">
        <v>4</v>
      </c>
      <c r="AX131" s="583" t="s">
        <v>851</v>
      </c>
      <c r="AY131" s="583" t="s">
        <v>22</v>
      </c>
      <c r="AZ131" s="583" t="s">
        <v>23</v>
      </c>
      <c r="BA131" s="589" t="s">
        <v>116</v>
      </c>
      <c r="BB131" s="584" t="s">
        <v>975</v>
      </c>
      <c r="BC131" s="576"/>
      <c r="BD131" s="576" t="str">
        <f t="shared" si="4"/>
        <v>--</v>
      </c>
      <c r="BE131"/>
      <c r="BF131"/>
      <c r="BG131"/>
      <c r="BH131"/>
      <c r="BI131"/>
      <c r="BJ131"/>
      <c r="BK131"/>
      <c r="BL131"/>
      <c r="BM131" s="65"/>
    </row>
    <row r="132" spans="40:65" ht="12.75">
      <c r="AN132" s="603"/>
      <c r="AO132" s="603"/>
      <c r="AP132" s="583">
        <v>3.9</v>
      </c>
      <c r="AQ132" s="583">
        <v>2.9</v>
      </c>
      <c r="AR132" s="583">
        <v>4.5999999999999996</v>
      </c>
      <c r="AS132" s="583">
        <v>3.7</v>
      </c>
      <c r="AT132" s="583">
        <v>84.1</v>
      </c>
      <c r="AU132" s="583">
        <v>92.51</v>
      </c>
      <c r="AV132" s="583" t="s">
        <v>83</v>
      </c>
      <c r="AW132" s="583">
        <v>4.8</v>
      </c>
      <c r="AX132" s="583" t="s">
        <v>852</v>
      </c>
      <c r="AY132" s="583" t="s">
        <v>22</v>
      </c>
      <c r="AZ132" s="583" t="s">
        <v>23</v>
      </c>
      <c r="BA132" s="589" t="s">
        <v>117</v>
      </c>
      <c r="BB132" s="584" t="s">
        <v>978</v>
      </c>
      <c r="BC132" s="576"/>
      <c r="BD132" s="576" t="str">
        <f t="shared" si="4"/>
        <v>--</v>
      </c>
      <c r="BE132"/>
      <c r="BF132"/>
      <c r="BG132"/>
      <c r="BH132"/>
      <c r="BI132"/>
      <c r="BJ132"/>
      <c r="BK132"/>
      <c r="BL132"/>
      <c r="BM132" s="65"/>
    </row>
    <row r="133" spans="40:65" ht="12.75">
      <c r="AN133" s="583">
        <v>33</v>
      </c>
      <c r="AO133" s="583">
        <v>0.2</v>
      </c>
      <c r="AP133" s="583">
        <v>2.5</v>
      </c>
      <c r="AQ133" s="583">
        <v>2</v>
      </c>
      <c r="AR133" s="583">
        <v>4.0999999999999996</v>
      </c>
      <c r="AS133" s="583">
        <v>2.98</v>
      </c>
      <c r="AT133" s="583">
        <v>172</v>
      </c>
      <c r="AU133" s="583">
        <v>189.2</v>
      </c>
      <c r="AV133" s="583" t="s">
        <v>28</v>
      </c>
      <c r="AW133" s="583">
        <v>4.5</v>
      </c>
      <c r="AX133" s="583" t="s">
        <v>852</v>
      </c>
      <c r="AY133" s="583" t="s">
        <v>22</v>
      </c>
      <c r="AZ133" s="583" t="s">
        <v>23</v>
      </c>
      <c r="BA133" s="589" t="s">
        <v>118</v>
      </c>
      <c r="BB133" s="584" t="s">
        <v>980</v>
      </c>
      <c r="BC133" s="576"/>
      <c r="BD133" s="576" t="str">
        <f t="shared" si="4"/>
        <v>--</v>
      </c>
      <c r="BE133"/>
      <c r="BF133"/>
      <c r="BG133"/>
      <c r="BH133"/>
      <c r="BI133"/>
      <c r="BJ133"/>
      <c r="BK133"/>
      <c r="BL133"/>
      <c r="BM133" s="65"/>
    </row>
    <row r="134" spans="40:65" ht="12.75">
      <c r="AN134" s="603"/>
      <c r="AO134" s="603"/>
      <c r="AP134" s="583">
        <v>5</v>
      </c>
      <c r="AQ134" s="583">
        <v>4.2</v>
      </c>
      <c r="AR134" s="583">
        <v>7.6</v>
      </c>
      <c r="AS134" s="583">
        <v>5.48</v>
      </c>
      <c r="AT134" s="583">
        <v>68.5</v>
      </c>
      <c r="AU134" s="583">
        <v>75.400000000000006</v>
      </c>
      <c r="AV134" s="583" t="s">
        <v>43</v>
      </c>
      <c r="AW134" s="583">
        <v>5.4</v>
      </c>
      <c r="AX134" s="583" t="s">
        <v>852</v>
      </c>
      <c r="AY134" s="583" t="s">
        <v>22</v>
      </c>
      <c r="AZ134" s="583" t="s">
        <v>23</v>
      </c>
      <c r="BA134" s="589" t="s">
        <v>119</v>
      </c>
      <c r="BB134" s="584" t="s">
        <v>981</v>
      </c>
      <c r="BC134" s="576"/>
      <c r="BD134" s="576" t="str">
        <f t="shared" si="4"/>
        <v>--</v>
      </c>
      <c r="BE134"/>
      <c r="BF134"/>
      <c r="BG134"/>
      <c r="BH134"/>
      <c r="BI134"/>
      <c r="BJ134"/>
      <c r="BK134"/>
      <c r="BL134"/>
      <c r="BM134" s="65"/>
    </row>
    <row r="135" spans="40:65" ht="12.75">
      <c r="AN135" s="603"/>
      <c r="AO135" s="603"/>
      <c r="AP135" s="583">
        <v>4.2</v>
      </c>
      <c r="AQ135" s="583">
        <v>3.4</v>
      </c>
      <c r="AR135" s="583">
        <v>5.6</v>
      </c>
      <c r="AS135" s="583">
        <v>4.0599999999999996</v>
      </c>
      <c r="AT135" s="583">
        <v>84.6</v>
      </c>
      <c r="AU135" s="583">
        <v>93.06</v>
      </c>
      <c r="AV135" s="583" t="s">
        <v>43</v>
      </c>
      <c r="AW135" s="583">
        <v>4</v>
      </c>
      <c r="AX135" s="583" t="s">
        <v>851</v>
      </c>
      <c r="AY135" s="583" t="s">
        <v>22</v>
      </c>
      <c r="AZ135" s="583" t="s">
        <v>23</v>
      </c>
      <c r="BA135" s="589" t="s">
        <v>120</v>
      </c>
      <c r="BB135" s="584" t="s">
        <v>985</v>
      </c>
      <c r="BC135" s="576"/>
      <c r="BD135" s="576" t="str">
        <f t="shared" si="4"/>
        <v>--</v>
      </c>
      <c r="BE135"/>
      <c r="BF135"/>
      <c r="BG135"/>
      <c r="BH135"/>
      <c r="BI135"/>
      <c r="BJ135"/>
      <c r="BK135"/>
      <c r="BL135"/>
      <c r="BM135" s="65"/>
    </row>
    <row r="136" spans="40:65" ht="12.75">
      <c r="AN136" s="603"/>
      <c r="AO136" s="603"/>
      <c r="AP136" s="583">
        <v>3.4</v>
      </c>
      <c r="AQ136" s="583">
        <v>2.5</v>
      </c>
      <c r="AR136" s="583">
        <v>4.2</v>
      </c>
      <c r="AS136" s="583">
        <v>3.1</v>
      </c>
      <c r="AT136" s="583">
        <v>115</v>
      </c>
      <c r="AU136" s="583">
        <v>126.5</v>
      </c>
      <c r="AV136" s="583" t="s">
        <v>83</v>
      </c>
      <c r="AW136" s="583">
        <v>4.8</v>
      </c>
      <c r="AX136" s="583" t="s">
        <v>852</v>
      </c>
      <c r="AY136" s="583" t="s">
        <v>22</v>
      </c>
      <c r="AZ136" s="583" t="s">
        <v>23</v>
      </c>
      <c r="BA136" s="589" t="s">
        <v>1064</v>
      </c>
      <c r="BB136" s="584" t="s">
        <v>986</v>
      </c>
      <c r="BC136" s="576"/>
      <c r="BD136" s="576" t="str">
        <f t="shared" ref="BD136:BD142" si="5">IFERROR(_xlfn.IMAGE(BC136,"--"),"--")</f>
        <v>--</v>
      </c>
      <c r="BE136"/>
      <c r="BF136"/>
      <c r="BG136"/>
      <c r="BH136"/>
      <c r="BI136"/>
      <c r="BJ136"/>
      <c r="BK136"/>
      <c r="BL136"/>
      <c r="BM136" s="65"/>
    </row>
    <row r="137" spans="40:65" ht="12.75">
      <c r="AN137" s="603"/>
      <c r="AO137" s="603"/>
      <c r="AP137" s="583">
        <v>2.1</v>
      </c>
      <c r="AQ137" s="583">
        <v>1.7</v>
      </c>
      <c r="AR137" s="583">
        <v>3</v>
      </c>
      <c r="AS137" s="583">
        <v>2.1</v>
      </c>
      <c r="AT137" s="583">
        <v>206</v>
      </c>
      <c r="AU137" s="583">
        <v>226.6</v>
      </c>
      <c r="AV137" s="583" t="s">
        <v>32</v>
      </c>
      <c r="AW137" s="583">
        <v>3</v>
      </c>
      <c r="AX137" s="583" t="s">
        <v>851</v>
      </c>
      <c r="AY137" s="583" t="s">
        <v>22</v>
      </c>
      <c r="AZ137" s="583" t="s">
        <v>23</v>
      </c>
      <c r="BA137" s="589" t="s">
        <v>121</v>
      </c>
      <c r="BB137" s="584" t="s">
        <v>983</v>
      </c>
      <c r="BC137" s="576"/>
      <c r="BD137" s="576" t="str">
        <f t="shared" si="5"/>
        <v>--</v>
      </c>
      <c r="BE137"/>
      <c r="BF137"/>
      <c r="BG137"/>
      <c r="BH137"/>
      <c r="BI137"/>
      <c r="BJ137"/>
      <c r="BK137"/>
      <c r="BL137"/>
      <c r="BM137" s="65"/>
    </row>
    <row r="138" spans="40:65" ht="12.75">
      <c r="AN138" s="603"/>
      <c r="AO138" s="603"/>
      <c r="AP138" s="583">
        <v>3.3</v>
      </c>
      <c r="AQ138" s="583">
        <v>2.6</v>
      </c>
      <c r="AR138" s="583">
        <v>4.8</v>
      </c>
      <c r="AS138" s="583">
        <v>3.4</v>
      </c>
      <c r="AT138" s="583">
        <v>120</v>
      </c>
      <c r="AU138" s="583">
        <v>132</v>
      </c>
      <c r="AV138" s="583" t="s">
        <v>72</v>
      </c>
      <c r="AW138" s="583">
        <v>5.4</v>
      </c>
      <c r="AX138" s="583" t="s">
        <v>852</v>
      </c>
      <c r="AY138" s="583" t="s">
        <v>22</v>
      </c>
      <c r="AZ138" s="583" t="s">
        <v>23</v>
      </c>
      <c r="BA138" s="589" t="s">
        <v>122</v>
      </c>
      <c r="BB138" s="584" t="s">
        <v>982</v>
      </c>
      <c r="BC138" s="576"/>
      <c r="BD138" s="576" t="str">
        <f t="shared" si="5"/>
        <v>--</v>
      </c>
      <c r="BE138"/>
      <c r="BF138"/>
      <c r="BG138"/>
      <c r="BH138"/>
      <c r="BI138"/>
      <c r="BJ138"/>
      <c r="BK138"/>
      <c r="BL138"/>
    </row>
    <row r="139" spans="40:65" ht="12.75">
      <c r="AN139" s="603"/>
      <c r="AO139" s="603"/>
      <c r="AP139" s="583">
        <v>3.1</v>
      </c>
      <c r="AQ139" s="583">
        <v>2.6</v>
      </c>
      <c r="AR139" s="583">
        <v>4.7</v>
      </c>
      <c r="AS139" s="583">
        <v>3.74</v>
      </c>
      <c r="AT139" s="583">
        <v>118</v>
      </c>
      <c r="AU139" s="583">
        <v>129.80000000000001</v>
      </c>
      <c r="AV139" s="583" t="s">
        <v>1027</v>
      </c>
      <c r="AW139" s="583">
        <v>4</v>
      </c>
      <c r="AX139" s="583" t="s">
        <v>851</v>
      </c>
      <c r="AY139" s="583" t="s">
        <v>22</v>
      </c>
      <c r="AZ139" s="583" t="s">
        <v>23</v>
      </c>
      <c r="BA139" s="589" t="s">
        <v>123</v>
      </c>
      <c r="BB139" s="584" t="s">
        <v>984</v>
      </c>
      <c r="BC139" s="576"/>
      <c r="BD139" s="576" t="str">
        <f t="shared" si="5"/>
        <v>--</v>
      </c>
      <c r="BE139"/>
      <c r="BF139"/>
      <c r="BG139"/>
      <c r="BH139"/>
      <c r="BI139"/>
      <c r="BJ139"/>
      <c r="BK139"/>
      <c r="BL139"/>
    </row>
    <row r="140" spans="40:65" ht="12.75">
      <c r="AN140" s="583">
        <v>36</v>
      </c>
      <c r="AO140" s="604">
        <v>0.3</v>
      </c>
      <c r="AP140" s="583" t="s">
        <v>1065</v>
      </c>
      <c r="AQ140" s="583">
        <v>6.9</v>
      </c>
      <c r="AR140" s="583" t="s">
        <v>1065</v>
      </c>
      <c r="AS140" s="583" t="s">
        <v>124</v>
      </c>
      <c r="AT140" s="583">
        <v>25.8</v>
      </c>
      <c r="AU140" s="583" t="s">
        <v>124</v>
      </c>
      <c r="AV140" s="583" t="s">
        <v>125</v>
      </c>
      <c r="AW140" s="583">
        <v>13.1</v>
      </c>
      <c r="AX140" s="583" t="s">
        <v>852</v>
      </c>
      <c r="AY140" s="583" t="s">
        <v>22</v>
      </c>
      <c r="AZ140" s="583" t="s">
        <v>23</v>
      </c>
      <c r="BA140" s="589" t="s">
        <v>126</v>
      </c>
      <c r="BB140" s="584" t="s">
        <v>987</v>
      </c>
      <c r="BC140" s="576"/>
      <c r="BD140" s="576" t="str">
        <f t="shared" si="5"/>
        <v>--</v>
      </c>
      <c r="BE140"/>
      <c r="BF140"/>
      <c r="BG140"/>
      <c r="BH140"/>
      <c r="BI140"/>
      <c r="BJ140"/>
      <c r="BK140"/>
    </row>
    <row r="141" spans="40:65" ht="12.75">
      <c r="AN141" s="583">
        <v>44</v>
      </c>
      <c r="AO141" s="583">
        <v>0.2</v>
      </c>
      <c r="AP141" s="583">
        <v>4.0999999999999996</v>
      </c>
      <c r="AQ141" s="583">
        <v>3.4</v>
      </c>
      <c r="AR141" s="583">
        <v>5.6</v>
      </c>
      <c r="AS141" s="583">
        <v>4.5</v>
      </c>
      <c r="AT141" s="583">
        <v>102</v>
      </c>
      <c r="AU141" s="583">
        <v>112.2</v>
      </c>
      <c r="AV141" s="583" t="s">
        <v>21</v>
      </c>
      <c r="AW141" s="583">
        <v>5.4</v>
      </c>
      <c r="AX141" s="583" t="s">
        <v>852</v>
      </c>
      <c r="AY141" s="583" t="s">
        <v>22</v>
      </c>
      <c r="AZ141" s="583" t="s">
        <v>23</v>
      </c>
      <c r="BA141" s="589" t="s">
        <v>1066</v>
      </c>
      <c r="BB141" s="584" t="s">
        <v>1003</v>
      </c>
      <c r="BC141" s="576"/>
      <c r="BD141" s="576" t="str">
        <f t="shared" si="5"/>
        <v>--</v>
      </c>
      <c r="BE141"/>
      <c r="BF141"/>
      <c r="BG141"/>
      <c r="BH141"/>
      <c r="BI141"/>
      <c r="BJ141"/>
      <c r="BK141"/>
    </row>
    <row r="142" spans="40:65" ht="12.75">
      <c r="AN142" s="583">
        <v>47</v>
      </c>
      <c r="AO142" s="604">
        <v>0.2</v>
      </c>
      <c r="AP142" s="583">
        <v>2.9</v>
      </c>
      <c r="AQ142" s="583">
        <v>2.2000000000000002</v>
      </c>
      <c r="AR142" s="583">
        <v>3.7</v>
      </c>
      <c r="AS142" s="583">
        <v>2.7</v>
      </c>
      <c r="AT142" s="583">
        <v>148.6</v>
      </c>
      <c r="AU142" s="583">
        <v>163.46</v>
      </c>
      <c r="AV142" s="583" t="s">
        <v>83</v>
      </c>
      <c r="AW142" s="583">
        <v>4.8</v>
      </c>
      <c r="AX142" s="583" t="s">
        <v>852</v>
      </c>
      <c r="AY142" s="583" t="s">
        <v>22</v>
      </c>
      <c r="AZ142" s="583" t="s">
        <v>23</v>
      </c>
      <c r="BA142" s="589" t="s">
        <v>127</v>
      </c>
      <c r="BB142" s="584" t="s">
        <v>991</v>
      </c>
      <c r="BC142" s="576"/>
      <c r="BD142" s="576" t="str">
        <f t="shared" si="5"/>
        <v>--</v>
      </c>
      <c r="BE142"/>
      <c r="BF142"/>
      <c r="BG142"/>
      <c r="BH142"/>
      <c r="BI142"/>
      <c r="BJ142"/>
      <c r="BK142"/>
    </row>
    <row r="143" spans="40:65" ht="12.75">
      <c r="AN143" s="603"/>
      <c r="AO143" s="605"/>
      <c r="AP143" s="583">
        <v>2.2000000000000002</v>
      </c>
      <c r="AQ143" s="583">
        <v>1.8</v>
      </c>
      <c r="AR143" s="583">
        <v>3.8</v>
      </c>
      <c r="AS143" s="583">
        <v>2.6</v>
      </c>
      <c r="AT143" s="583">
        <v>210</v>
      </c>
      <c r="AU143" s="583">
        <v>231.00000000000003</v>
      </c>
      <c r="AV143" s="583" t="s">
        <v>28</v>
      </c>
      <c r="AW143" s="583">
        <v>4.5</v>
      </c>
      <c r="AX143" s="583" t="s">
        <v>852</v>
      </c>
      <c r="AY143" s="583" t="s">
        <v>22</v>
      </c>
      <c r="AZ143" s="583" t="s">
        <v>23</v>
      </c>
      <c r="BA143" s="589" t="s">
        <v>128</v>
      </c>
      <c r="BB143" s="584" t="s">
        <v>988</v>
      </c>
      <c r="BC143" s="578"/>
      <c r="BD143" s="578"/>
      <c r="BE143"/>
      <c r="BF143"/>
      <c r="BG143"/>
      <c r="BH143"/>
      <c r="BI143"/>
      <c r="BJ143"/>
      <c r="BK143"/>
    </row>
    <row r="144" spans="40:65" ht="12.75">
      <c r="AN144" s="603"/>
      <c r="AO144" s="605"/>
      <c r="AP144" s="583">
        <v>4.2</v>
      </c>
      <c r="AQ144" s="583">
        <v>3.5</v>
      </c>
      <c r="AR144" s="583">
        <v>6.8</v>
      </c>
      <c r="AS144" s="583">
        <v>4.87</v>
      </c>
      <c r="AT144" s="583">
        <v>99</v>
      </c>
      <c r="AU144" s="583">
        <v>108.9</v>
      </c>
      <c r="AV144" s="583" t="s">
        <v>43</v>
      </c>
      <c r="AW144" s="583">
        <v>5.4</v>
      </c>
      <c r="AX144" s="583" t="s">
        <v>852</v>
      </c>
      <c r="AY144" s="583" t="s">
        <v>22</v>
      </c>
      <c r="AZ144" s="583" t="s">
        <v>23</v>
      </c>
      <c r="BA144" s="589" t="s">
        <v>129</v>
      </c>
      <c r="BB144" s="584" t="s">
        <v>989</v>
      </c>
      <c r="BC144" s="578"/>
      <c r="BD144" s="578"/>
      <c r="BE144"/>
      <c r="BF144"/>
      <c r="BG144"/>
      <c r="BH144"/>
      <c r="BI144"/>
      <c r="BJ144"/>
      <c r="BK144"/>
    </row>
    <row r="145" spans="40:63" ht="12.75">
      <c r="AN145" s="603"/>
      <c r="AO145" s="605"/>
      <c r="AP145" s="583">
        <v>3.4</v>
      </c>
      <c r="AQ145" s="583">
        <v>2.8</v>
      </c>
      <c r="AR145" s="583">
        <v>4.7</v>
      </c>
      <c r="AS145" s="583">
        <v>3.34</v>
      </c>
      <c r="AT145" s="583">
        <v>132</v>
      </c>
      <c r="AU145" s="583">
        <v>145.20000000000002</v>
      </c>
      <c r="AV145" s="583" t="s">
        <v>43</v>
      </c>
      <c r="AW145" s="583">
        <v>4</v>
      </c>
      <c r="AX145" s="583" t="s">
        <v>851</v>
      </c>
      <c r="AY145" s="583" t="s">
        <v>22</v>
      </c>
      <c r="AZ145" s="583" t="s">
        <v>23</v>
      </c>
      <c r="BA145" s="589" t="s">
        <v>130</v>
      </c>
      <c r="BB145" s="584" t="s">
        <v>990</v>
      </c>
      <c r="BC145" s="578"/>
      <c r="BD145" s="578"/>
      <c r="BE145"/>
      <c r="BF145"/>
      <c r="BG145"/>
      <c r="BH145"/>
      <c r="BI145"/>
      <c r="BJ145"/>
      <c r="BK145"/>
    </row>
    <row r="146" spans="40:63" ht="12.75">
      <c r="AN146" s="603"/>
      <c r="AO146" s="605"/>
      <c r="AP146" s="583">
        <v>2.4</v>
      </c>
      <c r="AQ146" s="583">
        <v>1.9</v>
      </c>
      <c r="AR146" s="583">
        <v>3.3</v>
      </c>
      <c r="AS146" s="583">
        <v>2.4</v>
      </c>
      <c r="AT146" s="583">
        <v>190</v>
      </c>
      <c r="AU146" s="583">
        <v>209</v>
      </c>
      <c r="AV146" s="583" t="s">
        <v>32</v>
      </c>
      <c r="AW146" s="583">
        <v>4.8</v>
      </c>
      <c r="AX146" s="583" t="s">
        <v>1077</v>
      </c>
      <c r="AY146" s="583" t="s">
        <v>22</v>
      </c>
      <c r="AZ146" s="583" t="s">
        <v>23</v>
      </c>
      <c r="BA146" s="589" t="s">
        <v>1072</v>
      </c>
      <c r="BB146" s="584" t="s">
        <v>1075</v>
      </c>
      <c r="BC146" s="578"/>
      <c r="BD146" s="578"/>
      <c r="BE146"/>
      <c r="BF146"/>
      <c r="BG146"/>
      <c r="BH146"/>
      <c r="BI146"/>
      <c r="BJ146"/>
      <c r="BK146"/>
    </row>
    <row r="147" spans="40:63" ht="12.75">
      <c r="AN147" s="583">
        <v>48</v>
      </c>
      <c r="AO147" s="583">
        <v>0.2</v>
      </c>
      <c r="AP147" s="583">
        <v>2.9</v>
      </c>
      <c r="AQ147" s="583">
        <v>2.2999999999999998</v>
      </c>
      <c r="AR147" s="583">
        <v>4.0999999999999996</v>
      </c>
      <c r="AS147" s="583">
        <v>2.94</v>
      </c>
      <c r="AT147" s="583">
        <v>156</v>
      </c>
      <c r="AU147" s="583">
        <v>172</v>
      </c>
      <c r="AV147" s="583" t="s">
        <v>72</v>
      </c>
      <c r="AW147" s="583">
        <v>5.4</v>
      </c>
      <c r="AX147" s="583" t="s">
        <v>852</v>
      </c>
      <c r="AY147" s="583" t="s">
        <v>22</v>
      </c>
      <c r="AZ147" s="583" t="s">
        <v>23</v>
      </c>
      <c r="BA147" s="589" t="s">
        <v>131</v>
      </c>
      <c r="BB147" s="584" t="s">
        <v>993</v>
      </c>
      <c r="BC147" s="578"/>
      <c r="BD147" s="578"/>
      <c r="BE147"/>
      <c r="BF147"/>
      <c r="BG147"/>
      <c r="BH147"/>
      <c r="BI147"/>
      <c r="BJ147"/>
      <c r="BK147"/>
    </row>
    <row r="148" spans="40:63" ht="12.75">
      <c r="AN148" s="603"/>
      <c r="AO148" s="603"/>
      <c r="AP148" s="583">
        <v>3.4</v>
      </c>
      <c r="AQ148" s="583">
        <v>2.9</v>
      </c>
      <c r="AR148" s="583">
        <v>5.4</v>
      </c>
      <c r="AS148" s="583">
        <v>3.96</v>
      </c>
      <c r="AT148" s="583">
        <v>125</v>
      </c>
      <c r="AU148" s="583">
        <v>138</v>
      </c>
      <c r="AV148" s="583" t="s">
        <v>34</v>
      </c>
      <c r="AW148" s="583">
        <v>5.4</v>
      </c>
      <c r="AX148" s="583" t="s">
        <v>852</v>
      </c>
      <c r="AY148" s="583" t="s">
        <v>22</v>
      </c>
      <c r="AZ148" s="583" t="s">
        <v>23</v>
      </c>
      <c r="BA148" s="589" t="s">
        <v>132</v>
      </c>
      <c r="BB148" s="584" t="s">
        <v>992</v>
      </c>
      <c r="BC148" s="578"/>
      <c r="BD148" s="578"/>
      <c r="BE148"/>
      <c r="BF148"/>
      <c r="BG148"/>
      <c r="BH148"/>
      <c r="BI148"/>
      <c r="BJ148"/>
      <c r="BK148"/>
    </row>
    <row r="149" spans="40:63" ht="12.75">
      <c r="AN149" s="583">
        <v>66</v>
      </c>
      <c r="AO149" s="583">
        <v>0.2</v>
      </c>
      <c r="AP149" s="583">
        <v>3.6</v>
      </c>
      <c r="AQ149" s="583">
        <v>3</v>
      </c>
      <c r="AR149" s="583">
        <v>4.9000000000000004</v>
      </c>
      <c r="AS149" s="583">
        <v>3.75</v>
      </c>
      <c r="AT149" s="583">
        <v>136</v>
      </c>
      <c r="AU149" s="583">
        <v>149.6</v>
      </c>
      <c r="AV149" s="583" t="s">
        <v>43</v>
      </c>
      <c r="AW149" s="583">
        <v>5.4</v>
      </c>
      <c r="AX149" s="583" t="s">
        <v>852</v>
      </c>
      <c r="AY149" s="583" t="s">
        <v>22</v>
      </c>
      <c r="AZ149" s="583" t="s">
        <v>23</v>
      </c>
      <c r="BA149" s="589" t="s">
        <v>133</v>
      </c>
      <c r="BB149" s="584" t="s">
        <v>994</v>
      </c>
      <c r="BC149" s="578"/>
      <c r="BD149" s="578"/>
      <c r="BE149"/>
      <c r="BF149"/>
      <c r="BG149"/>
      <c r="BH149"/>
      <c r="BI149"/>
      <c r="BJ149"/>
      <c r="BK149"/>
    </row>
    <row r="150" spans="40:63" ht="12.75">
      <c r="AN150" s="583">
        <v>68</v>
      </c>
      <c r="AO150" s="583">
        <v>0.2</v>
      </c>
      <c r="AP150" s="583">
        <v>2.9</v>
      </c>
      <c r="AQ150" s="583">
        <v>2.4</v>
      </c>
      <c r="AR150" s="583">
        <v>4.7</v>
      </c>
      <c r="AS150" s="583">
        <v>3.35</v>
      </c>
      <c r="AT150" s="583">
        <v>178.4</v>
      </c>
      <c r="AU150" s="583">
        <v>196.24</v>
      </c>
      <c r="AV150" s="583" t="s">
        <v>43</v>
      </c>
      <c r="AW150" s="583">
        <v>4</v>
      </c>
      <c r="AX150" s="583" t="s">
        <v>851</v>
      </c>
      <c r="AY150" s="583" t="s">
        <v>22</v>
      </c>
      <c r="AZ150" s="583" t="s">
        <v>23</v>
      </c>
      <c r="BA150" s="589" t="s">
        <v>1067</v>
      </c>
      <c r="BB150" s="584" t="s">
        <v>996</v>
      </c>
      <c r="BC150" s="578"/>
      <c r="BD150" s="578"/>
      <c r="BE150"/>
      <c r="BF150"/>
      <c r="BG150"/>
      <c r="BH150"/>
      <c r="BI150"/>
      <c r="BJ150"/>
      <c r="BK150"/>
    </row>
    <row r="151" spans="40:63" ht="12.75">
      <c r="AN151" s="603"/>
      <c r="AO151" s="603"/>
      <c r="AP151" s="583">
        <v>2.2999999999999998</v>
      </c>
      <c r="AQ151" s="583">
        <v>1.9</v>
      </c>
      <c r="AR151" s="583">
        <v>3.9</v>
      </c>
      <c r="AS151" s="583">
        <v>2.75</v>
      </c>
      <c r="AT151" s="583">
        <v>251</v>
      </c>
      <c r="AU151" s="583">
        <v>276.10000000000002</v>
      </c>
      <c r="AV151" s="583" t="s">
        <v>72</v>
      </c>
      <c r="AW151" s="583">
        <v>5.4</v>
      </c>
      <c r="AX151" s="583" t="s">
        <v>852</v>
      </c>
      <c r="AY151" s="583" t="s">
        <v>22</v>
      </c>
      <c r="AZ151" s="583" t="s">
        <v>23</v>
      </c>
      <c r="BA151" s="589" t="s">
        <v>1068</v>
      </c>
      <c r="BB151" s="584" t="s">
        <v>995</v>
      </c>
      <c r="BC151" s="578"/>
      <c r="BD151" s="578"/>
      <c r="BE151"/>
      <c r="BF151"/>
      <c r="BG151"/>
      <c r="BH151"/>
      <c r="BI151"/>
      <c r="BJ151"/>
      <c r="BK151"/>
    </row>
    <row r="152" spans="40:63" ht="12.75">
      <c r="AN152" s="583">
        <v>82</v>
      </c>
      <c r="AO152" s="583">
        <v>0.2</v>
      </c>
      <c r="AP152" s="583">
        <v>2.8</v>
      </c>
      <c r="AQ152" s="583">
        <v>2.2000000000000002</v>
      </c>
      <c r="AR152" s="583">
        <v>4.3</v>
      </c>
      <c r="AS152" s="583">
        <v>3.1</v>
      </c>
      <c r="AT152" s="583">
        <v>194</v>
      </c>
      <c r="AU152" s="583">
        <v>213.4</v>
      </c>
      <c r="AV152" s="583" t="s">
        <v>43</v>
      </c>
      <c r="AW152" s="583">
        <v>5</v>
      </c>
      <c r="AX152" s="583" t="s">
        <v>852</v>
      </c>
      <c r="AY152" s="583" t="s">
        <v>22</v>
      </c>
      <c r="AZ152" s="583" t="s">
        <v>23</v>
      </c>
      <c r="BA152" s="589" t="s">
        <v>1069</v>
      </c>
      <c r="BB152" s="584" t="s">
        <v>997</v>
      </c>
      <c r="BC152" s="578"/>
      <c r="BD152" s="578"/>
      <c r="BE152"/>
      <c r="BF152"/>
      <c r="BG152"/>
      <c r="BH152"/>
      <c r="BI152"/>
      <c r="BJ152"/>
      <c r="BK152"/>
    </row>
    <row r="153" spans="40:63" ht="12.75">
      <c r="AN153" s="583">
        <v>95</v>
      </c>
      <c r="AO153" s="583">
        <v>0.2</v>
      </c>
      <c r="AP153" s="583">
        <v>1.9</v>
      </c>
      <c r="AQ153" s="583">
        <v>1.4</v>
      </c>
      <c r="AR153" s="583">
        <v>3.1</v>
      </c>
      <c r="AS153" s="583">
        <v>2.4700000000000002</v>
      </c>
      <c r="AT153" s="583">
        <v>348</v>
      </c>
      <c r="AU153" s="583">
        <v>382.8</v>
      </c>
      <c r="AV153" s="583" t="s">
        <v>72</v>
      </c>
      <c r="AW153" s="583">
        <v>5</v>
      </c>
      <c r="AX153" s="583" t="s">
        <v>852</v>
      </c>
      <c r="AY153" s="583" t="s">
        <v>22</v>
      </c>
      <c r="AZ153" s="583" t="s">
        <v>23</v>
      </c>
      <c r="BA153" s="589" t="s">
        <v>134</v>
      </c>
      <c r="BB153" s="584" t="s">
        <v>998</v>
      </c>
      <c r="BC153" s="578"/>
      <c r="BD153" s="578"/>
      <c r="BE153"/>
      <c r="BF153"/>
      <c r="BG153"/>
      <c r="BH153"/>
      <c r="BI153"/>
      <c r="BJ153"/>
      <c r="BK153"/>
    </row>
    <row r="154" spans="40:63" ht="12.75">
      <c r="AN154" s="583">
        <v>97</v>
      </c>
      <c r="AO154" s="583">
        <v>0.2</v>
      </c>
      <c r="AP154" s="583">
        <v>2.7</v>
      </c>
      <c r="AQ154" s="583">
        <v>2.2000000000000002</v>
      </c>
      <c r="AR154" s="583">
        <v>3</v>
      </c>
      <c r="AS154" s="583">
        <v>2.1800000000000002</v>
      </c>
      <c r="AT154" s="583">
        <v>208</v>
      </c>
      <c r="AU154" s="583">
        <v>229</v>
      </c>
      <c r="AV154" s="583" t="s">
        <v>43</v>
      </c>
      <c r="AW154" s="583">
        <v>5</v>
      </c>
      <c r="AX154" s="583" t="s">
        <v>852</v>
      </c>
      <c r="AY154" s="583" t="s">
        <v>22</v>
      </c>
      <c r="AZ154" s="583" t="s">
        <v>23</v>
      </c>
      <c r="BA154" s="589" t="s">
        <v>135</v>
      </c>
      <c r="BB154" s="584" t="s">
        <v>999</v>
      </c>
      <c r="BC154" s="578"/>
      <c r="BD154" s="578"/>
      <c r="BE154"/>
      <c r="BF154"/>
      <c r="BG154"/>
      <c r="BH154"/>
      <c r="BI154"/>
      <c r="BJ154"/>
      <c r="BK154"/>
    </row>
    <row r="155" spans="40:63" ht="12.75">
      <c r="AN155" s="583">
        <v>100</v>
      </c>
      <c r="AO155" s="583">
        <v>0.2</v>
      </c>
      <c r="AP155" s="583">
        <v>2.5</v>
      </c>
      <c r="AQ155" s="583">
        <v>2</v>
      </c>
      <c r="AR155" s="583">
        <v>3.5</v>
      </c>
      <c r="AS155" s="583">
        <v>2.5</v>
      </c>
      <c r="AT155" s="583">
        <v>242</v>
      </c>
      <c r="AU155" s="583">
        <v>266.2</v>
      </c>
      <c r="AV155" s="583" t="s">
        <v>43</v>
      </c>
      <c r="AW155" s="583">
        <v>4</v>
      </c>
      <c r="AX155" s="583" t="s">
        <v>851</v>
      </c>
      <c r="AY155" s="583" t="s">
        <v>22</v>
      </c>
      <c r="AZ155" s="583" t="s">
        <v>23</v>
      </c>
      <c r="BA155" s="589" t="s">
        <v>1070</v>
      </c>
      <c r="BB155" s="584" t="s">
        <v>1001</v>
      </c>
      <c r="BC155" s="578"/>
      <c r="BD155" s="578"/>
      <c r="BE155"/>
      <c r="BF155"/>
      <c r="BG155"/>
      <c r="BH155"/>
      <c r="BI155"/>
      <c r="BJ155"/>
      <c r="BK155"/>
    </row>
    <row r="156" spans="40:63" ht="12.75">
      <c r="AN156" s="601"/>
      <c r="AO156" s="601"/>
      <c r="AP156" s="585">
        <v>2.1</v>
      </c>
      <c r="AQ156" s="585">
        <v>1.7</v>
      </c>
      <c r="AR156" s="585">
        <v>3</v>
      </c>
      <c r="AS156" s="585">
        <v>1.98</v>
      </c>
      <c r="AT156" s="585">
        <v>302</v>
      </c>
      <c r="AU156" s="585">
        <v>333</v>
      </c>
      <c r="AV156" s="585" t="s">
        <v>34</v>
      </c>
      <c r="AW156" s="585">
        <v>5</v>
      </c>
      <c r="AX156" s="585" t="s">
        <v>852</v>
      </c>
      <c r="AY156" s="585" t="s">
        <v>22</v>
      </c>
      <c r="AZ156" s="585" t="s">
        <v>23</v>
      </c>
      <c r="BA156" s="590" t="s">
        <v>136</v>
      </c>
      <c r="BB156" s="586" t="s">
        <v>1000</v>
      </c>
      <c r="BC156" s="578"/>
      <c r="BD156" s="578"/>
      <c r="BE156"/>
      <c r="BF156"/>
      <c r="BG156"/>
      <c r="BH156"/>
      <c r="BI156"/>
      <c r="BJ156"/>
      <c r="BK156"/>
    </row>
    <row r="157" spans="40:63" ht="12.75">
      <c r="AN157"/>
      <c r="AO157" s="293"/>
      <c r="AP157"/>
      <c r="AQ157" s="145"/>
      <c r="AR157"/>
      <c r="AS157"/>
      <c r="AT157"/>
      <c r="AU157"/>
      <c r="AV157"/>
      <c r="AW157"/>
      <c r="AX157"/>
      <c r="AY157"/>
      <c r="AZ157"/>
      <c r="BA157"/>
      <c r="BB157"/>
      <c r="BC157" s="578"/>
      <c r="BD157" s="578"/>
      <c r="BE157"/>
      <c r="BF157"/>
      <c r="BG157"/>
      <c r="BH157"/>
      <c r="BI157"/>
      <c r="BJ157"/>
      <c r="BK157"/>
    </row>
    <row r="158" spans="40:63" ht="12.75">
      <c r="AN158"/>
      <c r="AO158" s="293"/>
      <c r="AP158"/>
      <c r="AQ158" s="145"/>
      <c r="AR158"/>
      <c r="AS158"/>
      <c r="AT158"/>
      <c r="AU158"/>
      <c r="AV158"/>
      <c r="AW158"/>
      <c r="AX158"/>
      <c r="AY158"/>
      <c r="AZ158"/>
      <c r="BA158"/>
      <c r="BB158"/>
      <c r="BC158" s="578"/>
      <c r="BD158" s="578"/>
      <c r="BE158"/>
      <c r="BF158"/>
      <c r="BG158"/>
      <c r="BH158"/>
      <c r="BI158"/>
      <c r="BJ158"/>
      <c r="BK158"/>
    </row>
    <row r="159" spans="40:63" ht="12.75">
      <c r="AN159"/>
      <c r="AO159" s="293"/>
      <c r="AP159"/>
      <c r="AQ159" s="145"/>
      <c r="AR159"/>
      <c r="AS159"/>
      <c r="AT159"/>
      <c r="AU159"/>
      <c r="AV159"/>
      <c r="AW159"/>
      <c r="AX159"/>
      <c r="AY159"/>
      <c r="AZ159"/>
      <c r="BA159"/>
      <c r="BB159"/>
      <c r="BC159" s="578"/>
      <c r="BD159" s="578"/>
      <c r="BE159"/>
      <c r="BF159"/>
      <c r="BG159"/>
      <c r="BH159"/>
      <c r="BI159"/>
      <c r="BJ159"/>
      <c r="BK159"/>
    </row>
    <row r="160" spans="40:63" ht="12.75">
      <c r="AN160"/>
      <c r="AO160" s="293"/>
      <c r="AP160"/>
      <c r="AQ160" s="145"/>
      <c r="AR160"/>
      <c r="AS160"/>
      <c r="AT160"/>
      <c r="AU160"/>
      <c r="AV160"/>
      <c r="AW160"/>
      <c r="AX160"/>
      <c r="AY160"/>
      <c r="AZ160"/>
      <c r="BA160"/>
      <c r="BB160"/>
      <c r="BC160" s="578"/>
      <c r="BD160" s="578"/>
      <c r="BE160"/>
      <c r="BF160"/>
      <c r="BG160"/>
      <c r="BH160"/>
      <c r="BI160"/>
      <c r="BJ160"/>
      <c r="BK160"/>
    </row>
    <row r="161" spans="40:63" ht="12.75">
      <c r="AN161"/>
      <c r="AO161" s="293"/>
      <c r="AP161"/>
      <c r="AQ161" s="145"/>
      <c r="AR161"/>
      <c r="AS161"/>
      <c r="AT161"/>
      <c r="AU161"/>
      <c r="AV161"/>
      <c r="AW161"/>
      <c r="AX161"/>
      <c r="AY161"/>
      <c r="AZ161"/>
      <c r="BA161"/>
      <c r="BB161"/>
      <c r="BC161" s="578"/>
      <c r="BD161" s="578"/>
      <c r="BE161"/>
      <c r="BF161"/>
      <c r="BG161"/>
      <c r="BH161"/>
      <c r="BI161"/>
      <c r="BJ161"/>
      <c r="BK161"/>
    </row>
    <row r="162" spans="40:63" ht="12.75">
      <c r="AN162"/>
      <c r="AO162" s="293"/>
      <c r="AP162"/>
      <c r="AQ162" s="145"/>
      <c r="AR162"/>
      <c r="AS162"/>
      <c r="AT162"/>
      <c r="AU162"/>
      <c r="AV162"/>
      <c r="AW162"/>
      <c r="AX162"/>
      <c r="AY162"/>
      <c r="AZ162"/>
      <c r="BA162"/>
      <c r="BB162"/>
      <c r="BC162" s="578"/>
      <c r="BD162" s="578"/>
      <c r="BE162"/>
      <c r="BF162"/>
      <c r="BG162"/>
      <c r="BH162"/>
      <c r="BI162"/>
      <c r="BJ162"/>
      <c r="BK162"/>
    </row>
    <row r="163" spans="40:63" ht="12.75">
      <c r="AN163"/>
      <c r="AO163" s="293"/>
      <c r="AP163"/>
      <c r="AQ163" s="145"/>
      <c r="AR163"/>
      <c r="AS163"/>
      <c r="AT163"/>
      <c r="AU163"/>
      <c r="AV163"/>
      <c r="AW163"/>
      <c r="AX163"/>
      <c r="AY163"/>
      <c r="AZ163"/>
      <c r="BA163"/>
      <c r="BB163"/>
      <c r="BC163" s="578"/>
      <c r="BD163" s="578"/>
      <c r="BE163"/>
      <c r="BF163"/>
      <c r="BG163"/>
      <c r="BH163"/>
      <c r="BI163"/>
      <c r="BJ163"/>
      <c r="BK163"/>
    </row>
    <row r="164" spans="40:63" ht="12.75">
      <c r="AN164"/>
      <c r="AO164" s="293"/>
      <c r="AP164"/>
      <c r="AQ164" s="145"/>
      <c r="AR164"/>
      <c r="AS164"/>
      <c r="AT164"/>
      <c r="AU164"/>
      <c r="AV164"/>
      <c r="AW164"/>
      <c r="AX164"/>
      <c r="AY164"/>
      <c r="AZ164"/>
      <c r="BA164"/>
      <c r="BB164"/>
      <c r="BC164" s="578"/>
      <c r="BD164" s="578"/>
      <c r="BE164"/>
      <c r="BF164"/>
      <c r="BG164"/>
      <c r="BH164"/>
      <c r="BI164"/>
      <c r="BJ164"/>
      <c r="BK164"/>
    </row>
    <row r="165" spans="40:63" ht="12.75">
      <c r="AN165"/>
      <c r="AO165" s="293"/>
      <c r="AP165"/>
      <c r="AQ165" s="145"/>
      <c r="AR165"/>
      <c r="AS165"/>
      <c r="AT165"/>
      <c r="AU165"/>
      <c r="AV165"/>
      <c r="AW165"/>
      <c r="AX165"/>
      <c r="AY165"/>
      <c r="AZ165"/>
      <c r="BA165"/>
      <c r="BB165"/>
      <c r="BC165" s="578"/>
      <c r="BD165" s="578"/>
      <c r="BE165"/>
      <c r="BF165"/>
      <c r="BG165"/>
      <c r="BH165"/>
      <c r="BI165"/>
      <c r="BJ165"/>
      <c r="BK165"/>
    </row>
    <row r="166" spans="40:63" ht="12.75">
      <c r="AN166"/>
      <c r="AO166" s="293"/>
      <c r="AP166"/>
      <c r="AQ166" s="145"/>
      <c r="AR166"/>
      <c r="AS166"/>
      <c r="AT166"/>
      <c r="AU166"/>
      <c r="AV166"/>
      <c r="AW166"/>
      <c r="AX166"/>
      <c r="AY166"/>
      <c r="AZ166"/>
      <c r="BA166"/>
      <c r="BB166"/>
      <c r="BC166" s="578"/>
      <c r="BD166" s="578"/>
      <c r="BE166"/>
      <c r="BF166"/>
      <c r="BG166"/>
      <c r="BH166"/>
      <c r="BI166"/>
      <c r="BJ166"/>
      <c r="BK166"/>
    </row>
    <row r="167" spans="40:63" ht="12.75">
      <c r="AN167"/>
      <c r="AO167" s="293"/>
      <c r="AP167"/>
      <c r="AQ167" s="145"/>
      <c r="AR167"/>
      <c r="AS167"/>
      <c r="AT167"/>
      <c r="AU167"/>
      <c r="AV167"/>
      <c r="AW167"/>
      <c r="AX167"/>
      <c r="AY167"/>
      <c r="AZ167"/>
      <c r="BA167"/>
      <c r="BB167"/>
      <c r="BC167" s="578"/>
      <c r="BD167" s="578"/>
      <c r="BE167"/>
      <c r="BF167"/>
      <c r="BG167"/>
      <c r="BH167"/>
      <c r="BI167"/>
      <c r="BJ167"/>
      <c r="BK167"/>
    </row>
    <row r="168" spans="40:63" ht="12.75">
      <c r="AN168"/>
      <c r="AO168" s="293"/>
      <c r="AP168"/>
      <c r="AQ168" s="145"/>
      <c r="AR168"/>
      <c r="AS168"/>
      <c r="AT168"/>
      <c r="AU168"/>
      <c r="AV168"/>
      <c r="AW168"/>
      <c r="AX168"/>
      <c r="AY168"/>
      <c r="AZ168"/>
      <c r="BA168"/>
      <c r="BB168"/>
      <c r="BC168" s="578"/>
      <c r="BD168" s="578"/>
      <c r="BE168"/>
      <c r="BF168"/>
      <c r="BG168"/>
      <c r="BH168"/>
      <c r="BI168"/>
      <c r="BJ168"/>
      <c r="BK168"/>
    </row>
    <row r="169" spans="40:63" ht="12.75">
      <c r="AN169"/>
      <c r="AO169" s="293"/>
      <c r="AP169"/>
      <c r="AQ169" s="145"/>
      <c r="AR169"/>
      <c r="AS169"/>
      <c r="AT169"/>
      <c r="AU169"/>
      <c r="AV169"/>
      <c r="AW169"/>
      <c r="AX169"/>
      <c r="AY169"/>
      <c r="AZ169"/>
      <c r="BA169"/>
      <c r="BB169"/>
      <c r="BC169" s="578"/>
      <c r="BD169" s="578"/>
      <c r="BE169"/>
      <c r="BF169"/>
      <c r="BG169"/>
      <c r="BH169"/>
      <c r="BI169"/>
      <c r="BJ169"/>
      <c r="BK169"/>
    </row>
    <row r="170" spans="40:63" ht="12.75">
      <c r="AN170"/>
      <c r="AO170" s="293"/>
      <c r="AP170"/>
      <c r="AQ170" s="145"/>
      <c r="AR170"/>
      <c r="AS170"/>
      <c r="AT170"/>
      <c r="AU170"/>
      <c r="AV170"/>
      <c r="AW170"/>
      <c r="AX170"/>
      <c r="AY170"/>
      <c r="AZ170"/>
      <c r="BA170"/>
      <c r="BB170"/>
      <c r="BC170" s="578"/>
      <c r="BD170" s="578"/>
      <c r="BE170"/>
      <c r="BF170"/>
      <c r="BG170"/>
      <c r="BH170"/>
      <c r="BI170"/>
      <c r="BJ170"/>
      <c r="BK170"/>
    </row>
    <row r="171" spans="40:63" ht="12.75">
      <c r="AN171"/>
      <c r="AO171" s="293"/>
      <c r="AP171"/>
      <c r="AQ171" s="145"/>
      <c r="AR171"/>
      <c r="AS171"/>
      <c r="AT171"/>
      <c r="AU171"/>
      <c r="AV171"/>
      <c r="AW171"/>
      <c r="AX171"/>
      <c r="AY171"/>
      <c r="AZ171"/>
      <c r="BA171"/>
      <c r="BB171"/>
      <c r="BC171" s="578"/>
      <c r="BD171" s="578"/>
      <c r="BE171"/>
      <c r="BF171"/>
      <c r="BG171"/>
      <c r="BH171"/>
      <c r="BI171"/>
      <c r="BJ171"/>
      <c r="BK171"/>
    </row>
    <row r="172" spans="40:63" ht="12.75">
      <c r="AN172"/>
      <c r="AO172" s="293"/>
      <c r="AP172"/>
      <c r="AQ172" s="145"/>
      <c r="AR172"/>
      <c r="AS172"/>
      <c r="AT172"/>
      <c r="AU172"/>
      <c r="AV172"/>
      <c r="AW172"/>
      <c r="AX172"/>
      <c r="AY172"/>
      <c r="AZ172"/>
      <c r="BA172"/>
      <c r="BB172"/>
      <c r="BC172" s="578"/>
      <c r="BD172" s="578"/>
      <c r="BE172"/>
      <c r="BF172"/>
      <c r="BG172"/>
      <c r="BH172"/>
      <c r="BI172"/>
      <c r="BJ172"/>
      <c r="BK172"/>
    </row>
    <row r="173" spans="40:63" ht="12.75">
      <c r="AN173"/>
      <c r="AO173" s="293"/>
      <c r="AP173"/>
      <c r="AQ173" s="145"/>
      <c r="AR173"/>
      <c r="AS173"/>
      <c r="AT173"/>
      <c r="AU173"/>
      <c r="AV173"/>
      <c r="AW173"/>
      <c r="AX173"/>
      <c r="AY173"/>
      <c r="AZ173"/>
      <c r="BA173"/>
      <c r="BB173"/>
      <c r="BC173" s="578"/>
      <c r="BD173" s="578"/>
      <c r="BE173"/>
      <c r="BF173"/>
      <c r="BG173"/>
      <c r="BH173"/>
      <c r="BI173"/>
      <c r="BJ173"/>
      <c r="BK173"/>
    </row>
    <row r="174" spans="40:63" ht="12.75">
      <c r="AN174"/>
      <c r="AO174" s="293"/>
      <c r="AP174"/>
      <c r="AQ174" s="145"/>
      <c r="AR174"/>
      <c r="AS174"/>
      <c r="AT174"/>
      <c r="AU174"/>
      <c r="AV174"/>
      <c r="AW174"/>
      <c r="AX174"/>
      <c r="AY174"/>
      <c r="AZ174"/>
      <c r="BA174"/>
      <c r="BB174"/>
      <c r="BC174" s="578"/>
      <c r="BD174" s="578"/>
      <c r="BE174"/>
      <c r="BF174"/>
      <c r="BG174"/>
      <c r="BH174"/>
      <c r="BI174"/>
      <c r="BJ174"/>
      <c r="BK174"/>
    </row>
    <row r="175" spans="40:63" ht="12.75">
      <c r="AN175"/>
      <c r="AO175" s="293"/>
      <c r="AP175"/>
      <c r="AQ175" s="145"/>
      <c r="AR175"/>
      <c r="AS175"/>
      <c r="AT175"/>
      <c r="AU175"/>
      <c r="AV175"/>
      <c r="AW175"/>
      <c r="AX175"/>
      <c r="AY175"/>
      <c r="AZ175"/>
      <c r="BA175"/>
      <c r="BB175"/>
      <c r="BC175" s="578"/>
      <c r="BD175" s="578"/>
      <c r="BE175"/>
      <c r="BF175"/>
      <c r="BG175"/>
      <c r="BH175"/>
      <c r="BI175"/>
      <c r="BJ175"/>
      <c r="BK175"/>
    </row>
    <row r="176" spans="40:63" ht="12.75">
      <c r="AN176"/>
      <c r="AO176" s="293"/>
      <c r="AP176"/>
      <c r="AQ176" s="145"/>
      <c r="AR176"/>
      <c r="AS176"/>
      <c r="AT176"/>
      <c r="AU176"/>
      <c r="AV176"/>
      <c r="AW176"/>
      <c r="AX176"/>
      <c r="AY176"/>
      <c r="AZ176"/>
      <c r="BA176"/>
      <c r="BB176"/>
      <c r="BC176" s="578"/>
      <c r="BD176" s="578"/>
      <c r="BE176"/>
      <c r="BF176"/>
      <c r="BG176"/>
      <c r="BH176"/>
      <c r="BI176"/>
      <c r="BJ176"/>
      <c r="BK176"/>
    </row>
    <row r="177" spans="40:63" ht="12.75">
      <c r="AN177"/>
      <c r="AO177" s="293"/>
      <c r="AP177"/>
      <c r="AQ177" s="145"/>
      <c r="AR177"/>
      <c r="AS177"/>
      <c r="AT177"/>
      <c r="AU177"/>
      <c r="AV177"/>
      <c r="AW177"/>
      <c r="AX177"/>
      <c r="AY177"/>
      <c r="AZ177"/>
      <c r="BA177"/>
      <c r="BB177"/>
      <c r="BC177" s="578"/>
      <c r="BD177" s="578"/>
      <c r="BE177"/>
      <c r="BF177"/>
      <c r="BG177"/>
      <c r="BH177"/>
      <c r="BI177"/>
      <c r="BJ177"/>
      <c r="BK177"/>
    </row>
    <row r="178" spans="40:63" ht="12.75">
      <c r="AN178"/>
      <c r="AO178" s="293"/>
      <c r="AP178"/>
      <c r="AQ178" s="145"/>
      <c r="AR178"/>
      <c r="AS178"/>
      <c r="AT178"/>
      <c r="AU178"/>
      <c r="AV178"/>
      <c r="AW178"/>
      <c r="AX178"/>
      <c r="AY178"/>
      <c r="AZ178"/>
      <c r="BA178"/>
      <c r="BB178"/>
      <c r="BC178" s="578"/>
      <c r="BD178" s="578"/>
      <c r="BE178"/>
      <c r="BF178"/>
      <c r="BG178"/>
      <c r="BH178"/>
      <c r="BI178"/>
      <c r="BJ178"/>
      <c r="BK178"/>
    </row>
    <row r="179" spans="40:63" ht="12.75">
      <c r="AN179"/>
      <c r="AO179" s="293"/>
      <c r="AP179"/>
      <c r="AQ179" s="145"/>
      <c r="AR179"/>
      <c r="AS179"/>
      <c r="AT179"/>
      <c r="AU179"/>
      <c r="AV179"/>
      <c r="AW179"/>
      <c r="AX179"/>
      <c r="AY179"/>
      <c r="AZ179"/>
      <c r="BA179"/>
      <c r="BB179"/>
      <c r="BC179" s="578"/>
      <c r="BD179" s="578"/>
      <c r="BE179"/>
      <c r="BF179"/>
      <c r="BG179"/>
      <c r="BH179"/>
      <c r="BI179"/>
      <c r="BJ179"/>
      <c r="BK179"/>
    </row>
    <row r="180" spans="40:63" ht="12.75">
      <c r="AN180"/>
      <c r="AO180" s="293"/>
      <c r="AP180"/>
      <c r="AQ180" s="145"/>
      <c r="AR180"/>
      <c r="AS180"/>
      <c r="AT180"/>
      <c r="AU180"/>
      <c r="AV180"/>
      <c r="AW180"/>
      <c r="AX180"/>
      <c r="AY180"/>
      <c r="AZ180"/>
      <c r="BA180"/>
      <c r="BB180"/>
      <c r="BC180" s="578"/>
      <c r="BD180" s="578"/>
      <c r="BE180"/>
      <c r="BF180"/>
      <c r="BG180"/>
      <c r="BH180"/>
      <c r="BI180"/>
      <c r="BJ180"/>
      <c r="BK180"/>
    </row>
    <row r="181" spans="40:63" ht="12.75">
      <c r="AN181"/>
      <c r="AO181" s="293"/>
      <c r="AP181"/>
      <c r="AQ181" s="145"/>
      <c r="AR181"/>
      <c r="AS181"/>
      <c r="AT181"/>
      <c r="AU181"/>
      <c r="AV181"/>
      <c r="AW181"/>
      <c r="AX181"/>
      <c r="AY181"/>
      <c r="AZ181"/>
      <c r="BA181"/>
      <c r="BB181"/>
      <c r="BC181" s="578"/>
      <c r="BD181" s="578"/>
      <c r="BE181"/>
      <c r="BF181"/>
      <c r="BG181"/>
      <c r="BH181"/>
      <c r="BI181"/>
      <c r="BJ181"/>
      <c r="BK181"/>
    </row>
    <row r="182" spans="40:63" ht="12.75">
      <c r="AN182"/>
      <c r="AO182" s="293"/>
      <c r="AP182"/>
      <c r="AQ182" s="145"/>
      <c r="AR182"/>
      <c r="AS182"/>
      <c r="AT182"/>
      <c r="AU182"/>
      <c r="AV182"/>
      <c r="AW182"/>
      <c r="AX182"/>
      <c r="AY182"/>
      <c r="AZ182"/>
      <c r="BA182"/>
      <c r="BB182"/>
      <c r="BC182" s="578"/>
      <c r="BD182" s="578"/>
      <c r="BE182"/>
      <c r="BF182"/>
      <c r="BG182"/>
      <c r="BH182"/>
      <c r="BI182"/>
      <c r="BJ182"/>
      <c r="BK182"/>
    </row>
    <row r="183" spans="40:63" ht="12.75">
      <c r="AN183"/>
      <c r="AO183" s="293"/>
      <c r="AP183"/>
      <c r="AQ183" s="145"/>
      <c r="AR183"/>
      <c r="AS183"/>
      <c r="AT183"/>
      <c r="AU183"/>
      <c r="AV183"/>
      <c r="AW183"/>
      <c r="AX183"/>
      <c r="AY183"/>
      <c r="AZ183"/>
      <c r="BA183"/>
      <c r="BB183"/>
      <c r="BC183" s="578"/>
      <c r="BD183" s="578"/>
      <c r="BE183"/>
      <c r="BF183"/>
      <c r="BG183"/>
      <c r="BH183"/>
      <c r="BI183"/>
      <c r="BJ183"/>
      <c r="BK183"/>
    </row>
    <row r="184" spans="40:63" ht="12.75">
      <c r="AN184"/>
      <c r="AO184" s="293"/>
      <c r="AP184"/>
      <c r="AQ184" s="145"/>
      <c r="AR184"/>
      <c r="AS184"/>
      <c r="AT184"/>
      <c r="AU184"/>
      <c r="AV184"/>
      <c r="AW184"/>
      <c r="AX184"/>
      <c r="AY184"/>
      <c r="AZ184"/>
      <c r="BA184"/>
      <c r="BB184"/>
      <c r="BC184" s="578"/>
      <c r="BD184" s="578"/>
      <c r="BE184"/>
      <c r="BF184"/>
      <c r="BG184"/>
      <c r="BH184"/>
      <c r="BI184"/>
      <c r="BJ184"/>
      <c r="BK184"/>
    </row>
    <row r="185" spans="40:63" ht="12.75">
      <c r="AN185"/>
      <c r="AO185" s="293"/>
      <c r="AP185"/>
      <c r="AQ185" s="145"/>
      <c r="AR185"/>
      <c r="AS185"/>
      <c r="AT185"/>
      <c r="AU185"/>
      <c r="AV185"/>
      <c r="AW185"/>
      <c r="AX185"/>
      <c r="AY185"/>
      <c r="AZ185"/>
      <c r="BA185"/>
      <c r="BB185"/>
      <c r="BC185" s="578"/>
      <c r="BD185" s="578"/>
      <c r="BE185"/>
      <c r="BF185"/>
      <c r="BG185"/>
      <c r="BH185"/>
      <c r="BI185"/>
      <c r="BJ185"/>
      <c r="BK185"/>
    </row>
    <row r="186" spans="40:63" ht="12.75">
      <c r="AN186"/>
      <c r="AO186" s="293"/>
      <c r="AP186"/>
      <c r="AQ186" s="145"/>
      <c r="AR186"/>
      <c r="AS186"/>
      <c r="AT186"/>
      <c r="AU186"/>
      <c r="AV186"/>
      <c r="AW186"/>
      <c r="AX186"/>
      <c r="AY186"/>
      <c r="AZ186"/>
      <c r="BA186"/>
      <c r="BB186"/>
      <c r="BC186" s="578"/>
      <c r="BD186" s="578"/>
      <c r="BE186"/>
      <c r="BF186"/>
      <c r="BG186"/>
      <c r="BH186"/>
      <c r="BI186"/>
      <c r="BJ186"/>
      <c r="BK186"/>
    </row>
    <row r="187" spans="40:63" ht="12.75">
      <c r="AN187"/>
      <c r="AO187" s="293"/>
      <c r="AP187"/>
      <c r="AQ187" s="145"/>
      <c r="AR187"/>
      <c r="AS187"/>
      <c r="AT187"/>
      <c r="AU187"/>
      <c r="AV187"/>
      <c r="AW187"/>
      <c r="AX187"/>
      <c r="AY187"/>
      <c r="AZ187"/>
      <c r="BA187"/>
      <c r="BB187"/>
      <c r="BC187" s="578"/>
      <c r="BD187" s="578"/>
      <c r="BE187"/>
      <c r="BF187"/>
      <c r="BG187"/>
      <c r="BH187"/>
      <c r="BI187"/>
      <c r="BJ187"/>
      <c r="BK187"/>
    </row>
    <row r="188" spans="40:63" ht="12.75">
      <c r="AN188"/>
      <c r="AO188" s="293"/>
      <c r="AP188"/>
      <c r="AQ188" s="145"/>
      <c r="AR188"/>
      <c r="AS188"/>
      <c r="AT188"/>
      <c r="AU188"/>
      <c r="AV188"/>
      <c r="AW188"/>
      <c r="AX188"/>
      <c r="AY188"/>
      <c r="AZ188"/>
      <c r="BA188"/>
      <c r="BB188"/>
      <c r="BC188" s="578"/>
      <c r="BD188" s="578"/>
      <c r="BE188"/>
      <c r="BF188"/>
      <c r="BG188"/>
      <c r="BH188"/>
      <c r="BI188"/>
      <c r="BJ188"/>
      <c r="BK188"/>
    </row>
    <row r="189" spans="40:63" ht="12.75">
      <c r="AN189"/>
      <c r="AO189" s="293"/>
      <c r="AP189"/>
      <c r="AQ189" s="145"/>
      <c r="AR189"/>
      <c r="AS189"/>
      <c r="AT189"/>
      <c r="AU189"/>
      <c r="AV189"/>
      <c r="AW189"/>
      <c r="AX189"/>
      <c r="AY189"/>
      <c r="AZ189"/>
      <c r="BA189"/>
      <c r="BB189"/>
      <c r="BC189" s="578"/>
      <c r="BD189" s="578"/>
      <c r="BE189"/>
      <c r="BF189"/>
      <c r="BG189"/>
      <c r="BH189"/>
      <c r="BI189"/>
      <c r="BJ189"/>
      <c r="BK189"/>
    </row>
    <row r="190" spans="40:63" ht="12.75">
      <c r="AN190"/>
      <c r="AO190" s="293"/>
      <c r="AP190"/>
      <c r="AQ190" s="145"/>
      <c r="AR190"/>
      <c r="AS190"/>
      <c r="AT190"/>
      <c r="AU190"/>
      <c r="AV190"/>
      <c r="AW190"/>
      <c r="AX190"/>
      <c r="AY190"/>
      <c r="AZ190"/>
      <c r="BA190"/>
      <c r="BB190"/>
      <c r="BC190" s="578"/>
      <c r="BD190" s="578"/>
      <c r="BE190"/>
      <c r="BF190"/>
      <c r="BG190"/>
      <c r="BH190"/>
      <c r="BI190"/>
      <c r="BJ190"/>
      <c r="BK190"/>
    </row>
    <row r="191" spans="40:63" ht="12.75">
      <c r="AN191"/>
      <c r="AO191" s="293"/>
      <c r="AP191"/>
      <c r="AQ191" s="145"/>
      <c r="AR191"/>
      <c r="AS191"/>
      <c r="AT191"/>
      <c r="AU191"/>
      <c r="AV191"/>
      <c r="AW191"/>
      <c r="AX191"/>
      <c r="AY191"/>
      <c r="AZ191"/>
      <c r="BA191"/>
      <c r="BB191"/>
      <c r="BC191" s="578"/>
      <c r="BD191" s="578"/>
      <c r="BE191"/>
      <c r="BF191"/>
      <c r="BG191"/>
      <c r="BH191"/>
      <c r="BI191"/>
      <c r="BJ191"/>
      <c r="BK191"/>
    </row>
    <row r="192" spans="40:63" ht="12.75">
      <c r="AN192"/>
      <c r="AO192" s="293"/>
      <c r="AP192"/>
      <c r="AQ192" s="145"/>
      <c r="AR192"/>
      <c r="AS192"/>
      <c r="AT192"/>
      <c r="AU192"/>
      <c r="AV192"/>
      <c r="AW192"/>
      <c r="AX192"/>
      <c r="AY192"/>
      <c r="AZ192"/>
      <c r="BA192"/>
      <c r="BB192"/>
      <c r="BC192" s="578"/>
      <c r="BD192" s="578"/>
      <c r="BE192"/>
      <c r="BF192"/>
      <c r="BG192"/>
      <c r="BH192"/>
      <c r="BI192"/>
      <c r="BJ192"/>
      <c r="BK192"/>
    </row>
    <row r="193" spans="40:63" ht="12.75">
      <c r="AN193"/>
      <c r="AO193" s="293"/>
      <c r="AP193"/>
      <c r="AQ193" s="145"/>
      <c r="AR193"/>
      <c r="AS193"/>
      <c r="AT193"/>
      <c r="AU193"/>
      <c r="AV193"/>
      <c r="AW193"/>
      <c r="AX193"/>
      <c r="AY193"/>
      <c r="AZ193"/>
      <c r="BA193"/>
      <c r="BB193"/>
      <c r="BC193" s="578"/>
      <c r="BD193" s="578"/>
      <c r="BE193"/>
      <c r="BF193"/>
      <c r="BG193"/>
      <c r="BH193"/>
      <c r="BI193"/>
      <c r="BJ193"/>
      <c r="BK193"/>
    </row>
    <row r="194" spans="40:63" ht="12.75">
      <c r="AN194"/>
      <c r="AO194" s="293"/>
      <c r="AP194"/>
      <c r="AQ194" s="145"/>
      <c r="AR194"/>
      <c r="AS194"/>
      <c r="AT194"/>
      <c r="AU194"/>
      <c r="AV194"/>
      <c r="AW194"/>
      <c r="AX194"/>
      <c r="AY194"/>
      <c r="AZ194"/>
      <c r="BA194"/>
      <c r="BB194"/>
      <c r="BC194" s="578"/>
      <c r="BD194" s="578"/>
      <c r="BE194"/>
      <c r="BF194"/>
      <c r="BG194"/>
      <c r="BH194"/>
      <c r="BI194"/>
      <c r="BJ194"/>
      <c r="BK194"/>
    </row>
    <row r="195" spans="40:63" ht="12.75">
      <c r="AN195"/>
      <c r="AO195" s="293"/>
      <c r="AP195"/>
      <c r="AQ195" s="145"/>
      <c r="AR195"/>
      <c r="AS195"/>
      <c r="AT195"/>
      <c r="AU195"/>
      <c r="AV195"/>
      <c r="AW195"/>
      <c r="AX195"/>
      <c r="AY195"/>
      <c r="AZ195"/>
      <c r="BA195"/>
      <c r="BB195"/>
      <c r="BC195" s="578"/>
      <c r="BD195" s="578"/>
      <c r="BE195"/>
      <c r="BF195"/>
      <c r="BG195"/>
      <c r="BH195"/>
      <c r="BI195"/>
      <c r="BJ195"/>
      <c r="BK195"/>
    </row>
    <row r="196" spans="40:63" ht="12.75">
      <c r="AN196"/>
      <c r="AO196" s="293"/>
      <c r="AP196"/>
      <c r="AQ196" s="145"/>
      <c r="AR196"/>
      <c r="AS196"/>
      <c r="AT196"/>
      <c r="AU196"/>
      <c r="AV196"/>
      <c r="AW196"/>
      <c r="AX196"/>
      <c r="AY196"/>
      <c r="AZ196"/>
      <c r="BA196"/>
      <c r="BB196"/>
      <c r="BC196" s="578"/>
      <c r="BD196" s="578"/>
      <c r="BE196"/>
      <c r="BF196"/>
      <c r="BG196"/>
      <c r="BH196"/>
      <c r="BI196"/>
      <c r="BJ196"/>
      <c r="BK196"/>
    </row>
    <row r="197" spans="40:63" ht="12.75">
      <c r="AN197"/>
      <c r="AO197" s="293"/>
      <c r="AP197"/>
      <c r="AQ197" s="145"/>
      <c r="AR197"/>
      <c r="AS197"/>
      <c r="AT197"/>
      <c r="AU197"/>
      <c r="AV197"/>
      <c r="AW197"/>
      <c r="AX197"/>
      <c r="AY197"/>
      <c r="AZ197"/>
      <c r="BA197"/>
      <c r="BB197"/>
      <c r="BC197" s="578"/>
      <c r="BD197" s="578"/>
      <c r="BE197"/>
      <c r="BF197"/>
      <c r="BG197"/>
      <c r="BH197"/>
      <c r="BI197"/>
      <c r="BJ197"/>
      <c r="BK197"/>
    </row>
    <row r="198" spans="40:63" ht="12.75">
      <c r="AN198"/>
      <c r="AO198" s="293"/>
      <c r="AP198"/>
      <c r="AQ198" s="145"/>
      <c r="AR198"/>
      <c r="AS198"/>
      <c r="AT198"/>
      <c r="AU198"/>
      <c r="AV198"/>
      <c r="AW198"/>
      <c r="AX198"/>
      <c r="AY198"/>
      <c r="AZ198"/>
      <c r="BA198"/>
      <c r="BB198"/>
      <c r="BC198" s="578"/>
      <c r="BD198" s="578"/>
      <c r="BE198"/>
      <c r="BF198"/>
      <c r="BG198"/>
      <c r="BH198"/>
      <c r="BI198"/>
      <c r="BJ198"/>
      <c r="BK198"/>
    </row>
    <row r="199" spans="40:63" ht="12.75">
      <c r="AN199"/>
      <c r="AO199" s="293"/>
      <c r="AP199"/>
      <c r="AQ199" s="145"/>
      <c r="AR199"/>
      <c r="AS199"/>
      <c r="AT199"/>
      <c r="AU199"/>
      <c r="AV199"/>
      <c r="AW199"/>
      <c r="AX199"/>
      <c r="AY199"/>
      <c r="AZ199"/>
      <c r="BA199"/>
      <c r="BB199"/>
      <c r="BC199" s="578"/>
      <c r="BD199" s="578"/>
      <c r="BE199"/>
      <c r="BF199"/>
      <c r="BG199"/>
      <c r="BH199"/>
      <c r="BI199"/>
      <c r="BJ199"/>
      <c r="BK199"/>
    </row>
    <row r="200" spans="40:63" ht="12.75">
      <c r="AN200"/>
      <c r="AO200" s="293"/>
      <c r="AP200"/>
      <c r="AQ200" s="145"/>
      <c r="AR200"/>
      <c r="AS200"/>
      <c r="AT200"/>
      <c r="AU200"/>
      <c r="AV200"/>
      <c r="AW200"/>
      <c r="AX200"/>
      <c r="AY200"/>
      <c r="AZ200"/>
      <c r="BA200"/>
      <c r="BB200"/>
      <c r="BC200" s="578"/>
      <c r="BD200" s="578"/>
      <c r="BE200"/>
      <c r="BF200"/>
      <c r="BG200"/>
      <c r="BH200"/>
      <c r="BI200"/>
      <c r="BJ200"/>
      <c r="BK200"/>
    </row>
    <row r="201" spans="40:63" ht="12.75">
      <c r="AN201"/>
      <c r="AO201" s="293"/>
      <c r="AP201"/>
      <c r="AQ201" s="145"/>
      <c r="AR201"/>
      <c r="AS201"/>
      <c r="AT201"/>
      <c r="AU201"/>
      <c r="AV201"/>
      <c r="AW201"/>
      <c r="AX201"/>
      <c r="AY201"/>
      <c r="AZ201"/>
      <c r="BA201"/>
      <c r="BB201"/>
      <c r="BC201" s="578"/>
      <c r="BD201" s="578"/>
      <c r="BE201"/>
      <c r="BF201"/>
      <c r="BG201"/>
      <c r="BH201"/>
      <c r="BI201"/>
      <c r="BJ201"/>
      <c r="BK201"/>
    </row>
    <row r="202" spans="40:63" ht="12.75">
      <c r="AN202"/>
      <c r="AO202" s="293"/>
      <c r="AP202"/>
      <c r="AQ202" s="145"/>
      <c r="AR202"/>
      <c r="AS202"/>
      <c r="AT202"/>
      <c r="AU202"/>
      <c r="AV202"/>
      <c r="AW202"/>
      <c r="AX202"/>
      <c r="AY202"/>
      <c r="AZ202"/>
      <c r="BA202"/>
      <c r="BB202"/>
      <c r="BC202" s="578"/>
      <c r="BD202" s="578"/>
      <c r="BE202"/>
      <c r="BF202"/>
      <c r="BG202"/>
      <c r="BH202"/>
      <c r="BI202"/>
      <c r="BJ202"/>
      <c r="BK202"/>
    </row>
    <row r="203" spans="40:63" ht="12.75">
      <c r="AN203"/>
      <c r="AO203" s="293"/>
      <c r="AP203"/>
      <c r="AQ203" s="145"/>
      <c r="AR203"/>
      <c r="AS203"/>
      <c r="AT203"/>
      <c r="AU203"/>
      <c r="AV203"/>
      <c r="AW203"/>
      <c r="AX203"/>
      <c r="AY203"/>
      <c r="AZ203"/>
      <c r="BA203"/>
      <c r="BB203"/>
      <c r="BC203" s="578"/>
      <c r="BD203" s="578"/>
      <c r="BE203"/>
      <c r="BF203"/>
      <c r="BG203"/>
      <c r="BH203"/>
      <c r="BI203"/>
      <c r="BJ203"/>
      <c r="BK203"/>
    </row>
    <row r="204" spans="40:63" ht="12.75">
      <c r="AN204"/>
      <c r="AO204" s="293"/>
      <c r="AP204"/>
      <c r="AQ204" s="145"/>
      <c r="AR204"/>
      <c r="AS204"/>
      <c r="AT204"/>
      <c r="AU204"/>
      <c r="AV204"/>
      <c r="AW204"/>
      <c r="AX204"/>
      <c r="AY204"/>
      <c r="AZ204"/>
      <c r="BA204"/>
      <c r="BB204"/>
      <c r="BC204" s="578"/>
      <c r="BD204" s="578"/>
      <c r="BE204"/>
      <c r="BF204"/>
      <c r="BG204"/>
      <c r="BH204"/>
      <c r="BI204"/>
      <c r="BJ204"/>
      <c r="BK204"/>
    </row>
    <row r="205" spans="40:63" ht="12.75">
      <c r="AN205"/>
      <c r="AO205" s="293"/>
      <c r="AP205"/>
      <c r="AQ205" s="145"/>
      <c r="AR205"/>
      <c r="AS205"/>
      <c r="AT205"/>
      <c r="AU205"/>
      <c r="AV205"/>
      <c r="AW205"/>
      <c r="AX205"/>
      <c r="AY205"/>
      <c r="AZ205"/>
      <c r="BA205"/>
      <c r="BB205"/>
      <c r="BC205" s="578"/>
      <c r="BD205" s="578"/>
      <c r="BE205"/>
      <c r="BF205"/>
      <c r="BG205"/>
      <c r="BH205"/>
      <c r="BI205"/>
      <c r="BJ205"/>
      <c r="BK205"/>
    </row>
    <row r="206" spans="40:63" ht="12.75">
      <c r="AN206"/>
      <c r="AO206" s="293"/>
      <c r="AP206"/>
      <c r="AQ206" s="145"/>
      <c r="AR206"/>
      <c r="AS206"/>
      <c r="AT206"/>
      <c r="AU206"/>
      <c r="AV206"/>
      <c r="AW206"/>
      <c r="AX206"/>
      <c r="AY206"/>
      <c r="AZ206"/>
      <c r="BA206"/>
      <c r="BB206"/>
      <c r="BC206" s="578"/>
      <c r="BD206" s="578"/>
      <c r="BE206"/>
      <c r="BF206"/>
      <c r="BG206"/>
      <c r="BH206"/>
      <c r="BI206"/>
      <c r="BJ206"/>
      <c r="BK206"/>
    </row>
    <row r="207" spans="40:63" ht="12.75">
      <c r="AN207"/>
      <c r="AO207" s="293"/>
      <c r="AP207"/>
      <c r="AQ207" s="145"/>
      <c r="AR207"/>
      <c r="AS207"/>
      <c r="AT207"/>
      <c r="AU207"/>
      <c r="AV207"/>
      <c r="AW207"/>
      <c r="AX207"/>
      <c r="AY207"/>
      <c r="AZ207"/>
      <c r="BA207"/>
      <c r="BB207"/>
      <c r="BC207" s="578"/>
      <c r="BD207" s="578"/>
      <c r="BE207"/>
      <c r="BF207"/>
      <c r="BG207"/>
      <c r="BH207"/>
      <c r="BI207"/>
      <c r="BJ207"/>
      <c r="BK207"/>
    </row>
    <row r="208" spans="40:63" ht="12.75">
      <c r="AN208"/>
      <c r="AO208" s="293"/>
      <c r="AP208"/>
      <c r="AQ208" s="145"/>
      <c r="AR208"/>
      <c r="AS208"/>
      <c r="AT208"/>
      <c r="AU208"/>
      <c r="AV208"/>
      <c r="AW208"/>
      <c r="AX208"/>
      <c r="AY208"/>
      <c r="AZ208"/>
      <c r="BA208"/>
      <c r="BB208"/>
      <c r="BC208" s="578"/>
      <c r="BD208" s="578"/>
      <c r="BE208"/>
      <c r="BF208"/>
      <c r="BG208"/>
      <c r="BH208"/>
      <c r="BI208"/>
      <c r="BJ208"/>
      <c r="BK208"/>
    </row>
    <row r="209" spans="40:63" ht="12.75">
      <c r="AN209"/>
      <c r="AO209" s="293"/>
      <c r="AP209"/>
      <c r="AQ209" s="145"/>
      <c r="AR209"/>
      <c r="AS209"/>
      <c r="AT209"/>
      <c r="AU209"/>
      <c r="AV209"/>
      <c r="AW209"/>
      <c r="AX209"/>
      <c r="AY209"/>
      <c r="AZ209"/>
      <c r="BA209"/>
      <c r="BB209"/>
      <c r="BC209" s="578"/>
      <c r="BD209" s="578"/>
      <c r="BE209"/>
      <c r="BF209"/>
      <c r="BG209"/>
      <c r="BH209"/>
      <c r="BI209"/>
      <c r="BJ209"/>
      <c r="BK209"/>
    </row>
    <row r="210" spans="40:63" ht="12.75">
      <c r="AN210"/>
      <c r="AO210" s="293"/>
      <c r="AP210"/>
      <c r="AQ210" s="145"/>
      <c r="AR210"/>
      <c r="AS210"/>
      <c r="AT210"/>
      <c r="AU210"/>
      <c r="AV210"/>
      <c r="AW210"/>
      <c r="AX210"/>
      <c r="AY210"/>
      <c r="AZ210"/>
      <c r="BA210"/>
      <c r="BB210"/>
      <c r="BC210" s="578"/>
      <c r="BD210" s="578"/>
      <c r="BE210"/>
      <c r="BF210"/>
      <c r="BG210"/>
      <c r="BH210"/>
      <c r="BI210"/>
      <c r="BJ210"/>
      <c r="BK210"/>
    </row>
    <row r="211" spans="40:63" ht="12.75">
      <c r="AN211"/>
      <c r="AO211" s="293"/>
      <c r="AP211"/>
      <c r="AQ211" s="145"/>
      <c r="AR211"/>
      <c r="AS211"/>
      <c r="AT211"/>
      <c r="AU211"/>
      <c r="AV211"/>
      <c r="AW211"/>
      <c r="AX211"/>
      <c r="AY211"/>
      <c r="AZ211"/>
      <c r="BA211"/>
      <c r="BB211"/>
      <c r="BC211" s="578"/>
      <c r="BD211" s="578"/>
      <c r="BE211"/>
      <c r="BF211"/>
      <c r="BG211"/>
      <c r="BH211"/>
      <c r="BI211"/>
      <c r="BJ211"/>
      <c r="BK211"/>
    </row>
    <row r="212" spans="40:63" ht="12.75">
      <c r="AN212"/>
      <c r="AO212" s="293"/>
      <c r="AP212"/>
      <c r="AQ212" s="145"/>
      <c r="AR212"/>
      <c r="AS212"/>
      <c r="AT212"/>
      <c r="AU212"/>
      <c r="AV212"/>
      <c r="AW212"/>
      <c r="AX212"/>
      <c r="AY212"/>
      <c r="AZ212"/>
      <c r="BA212"/>
      <c r="BB212"/>
      <c r="BC212" s="578"/>
      <c r="BD212" s="578"/>
      <c r="BE212"/>
      <c r="BF212"/>
      <c r="BG212"/>
      <c r="BH212"/>
      <c r="BI212"/>
      <c r="BJ212"/>
      <c r="BK212"/>
    </row>
    <row r="213" spans="40:63" ht="12.75">
      <c r="AN213"/>
      <c r="AO213" s="293"/>
      <c r="AP213"/>
      <c r="AQ213" s="145"/>
      <c r="AR213"/>
      <c r="AS213"/>
      <c r="AT213"/>
      <c r="AU213"/>
      <c r="AV213"/>
      <c r="AW213"/>
      <c r="AX213"/>
      <c r="AY213"/>
      <c r="AZ213"/>
      <c r="BA213"/>
      <c r="BB213"/>
      <c r="BC213" s="578"/>
      <c r="BD213" s="578"/>
      <c r="BE213"/>
      <c r="BF213"/>
      <c r="BG213"/>
      <c r="BH213"/>
      <c r="BI213"/>
      <c r="BJ213"/>
      <c r="BK213"/>
    </row>
    <row r="214" spans="40:63" ht="12.75">
      <c r="AN214"/>
      <c r="AO214" s="293"/>
      <c r="AP214"/>
      <c r="AQ214" s="145"/>
      <c r="AR214"/>
      <c r="AS214"/>
      <c r="AT214"/>
      <c r="AU214"/>
      <c r="AV214"/>
      <c r="AW214"/>
      <c r="AX214"/>
      <c r="AY214"/>
      <c r="AZ214"/>
      <c r="BA214"/>
      <c r="BB214"/>
      <c r="BC214" s="578"/>
      <c r="BD214" s="578"/>
      <c r="BE214"/>
      <c r="BF214"/>
      <c r="BG214"/>
      <c r="BH214"/>
      <c r="BI214"/>
      <c r="BJ214"/>
      <c r="BK214"/>
    </row>
    <row r="215" spans="40:63" ht="12.75">
      <c r="AN215"/>
      <c r="AO215" s="293"/>
      <c r="AP215"/>
      <c r="AQ215" s="145"/>
      <c r="AR215"/>
      <c r="AS215"/>
      <c r="AT215"/>
      <c r="AU215"/>
      <c r="AV215"/>
      <c r="AW215"/>
      <c r="AX215"/>
      <c r="AY215"/>
      <c r="AZ215"/>
      <c r="BA215"/>
      <c r="BB215"/>
      <c r="BC215" s="578"/>
      <c r="BD215" s="578"/>
      <c r="BE215"/>
      <c r="BF215"/>
      <c r="BG215"/>
      <c r="BH215"/>
      <c r="BI215"/>
      <c r="BJ215"/>
      <c r="BK215"/>
    </row>
    <row r="216" spans="40:63" ht="12.75">
      <c r="AN216"/>
      <c r="AO216" s="293"/>
      <c r="AP216"/>
      <c r="AQ216" s="145"/>
      <c r="AR216"/>
      <c r="AS216"/>
      <c r="AT216"/>
      <c r="AU216"/>
      <c r="AV216"/>
      <c r="AW216"/>
      <c r="AX216"/>
      <c r="AY216"/>
      <c r="AZ216"/>
      <c r="BA216"/>
      <c r="BB216"/>
      <c r="BC216" s="578"/>
      <c r="BD216" s="578"/>
      <c r="BE216"/>
      <c r="BF216"/>
      <c r="BG216"/>
      <c r="BH216"/>
      <c r="BI216"/>
      <c r="BJ216"/>
      <c r="BK216"/>
    </row>
    <row r="217" spans="40:63" ht="12.75">
      <c r="AN217"/>
      <c r="AO217" s="293"/>
      <c r="AP217"/>
      <c r="AQ217" s="145"/>
      <c r="AR217"/>
      <c r="AS217"/>
      <c r="AT217"/>
      <c r="AU217"/>
      <c r="AV217"/>
      <c r="AW217"/>
      <c r="AX217"/>
      <c r="AY217"/>
      <c r="AZ217"/>
      <c r="BA217"/>
      <c r="BB217"/>
      <c r="BC217" s="578"/>
      <c r="BD217" s="578"/>
      <c r="BE217"/>
      <c r="BF217"/>
      <c r="BG217"/>
      <c r="BH217"/>
      <c r="BI217"/>
      <c r="BJ217"/>
      <c r="BK217"/>
    </row>
    <row r="218" spans="40:63" ht="12.75">
      <c r="AN218"/>
      <c r="AO218" s="293"/>
      <c r="AP218"/>
      <c r="AQ218" s="145"/>
      <c r="AR218"/>
      <c r="AS218"/>
      <c r="AT218"/>
      <c r="AU218"/>
      <c r="AV218"/>
      <c r="AW218"/>
      <c r="AX218"/>
      <c r="AY218"/>
      <c r="AZ218"/>
      <c r="BA218"/>
      <c r="BB218"/>
      <c r="BC218" s="578"/>
      <c r="BD218" s="578"/>
      <c r="BE218"/>
      <c r="BF218"/>
      <c r="BG218"/>
      <c r="BH218"/>
      <c r="BI218"/>
      <c r="BJ218"/>
      <c r="BK218"/>
    </row>
    <row r="219" spans="40:63" ht="12.75">
      <c r="AN219"/>
      <c r="AO219" s="293"/>
      <c r="AP219"/>
      <c r="AQ219" s="145"/>
      <c r="AR219"/>
      <c r="AS219"/>
      <c r="AT219"/>
      <c r="AU219"/>
      <c r="AV219"/>
      <c r="AW219"/>
      <c r="AX219"/>
      <c r="AY219"/>
      <c r="AZ219"/>
      <c r="BA219"/>
      <c r="BB219"/>
      <c r="BC219" s="578"/>
      <c r="BD219" s="578"/>
      <c r="BE219"/>
      <c r="BF219"/>
      <c r="BG219"/>
      <c r="BH219"/>
      <c r="BI219"/>
      <c r="BJ219"/>
      <c r="BK219"/>
    </row>
    <row r="220" spans="40:63" ht="12.75">
      <c r="AN220"/>
      <c r="AO220" s="293"/>
      <c r="AP220"/>
      <c r="AQ220" s="145"/>
      <c r="AR220"/>
      <c r="AS220"/>
      <c r="AT220"/>
      <c r="AU220"/>
      <c r="AV220"/>
      <c r="AW220"/>
      <c r="AX220"/>
      <c r="AY220"/>
      <c r="AZ220"/>
      <c r="BA220"/>
      <c r="BB220"/>
      <c r="BC220" s="578"/>
      <c r="BD220" s="578"/>
      <c r="BE220"/>
      <c r="BF220"/>
      <c r="BG220"/>
      <c r="BH220"/>
      <c r="BI220"/>
      <c r="BJ220"/>
      <c r="BK220"/>
    </row>
    <row r="221" spans="40:63" ht="12.75">
      <c r="AN221"/>
      <c r="AO221" s="293"/>
      <c r="AP221"/>
      <c r="AQ221" s="145"/>
      <c r="AR221"/>
      <c r="AS221"/>
      <c r="AT221"/>
      <c r="AU221"/>
      <c r="AV221"/>
      <c r="AW221"/>
      <c r="AX221"/>
      <c r="AY221"/>
      <c r="AZ221"/>
      <c r="BA221"/>
      <c r="BB221"/>
      <c r="BC221" s="578"/>
      <c r="BD221" s="578"/>
      <c r="BE221"/>
      <c r="BF221"/>
      <c r="BG221"/>
      <c r="BH221"/>
      <c r="BI221"/>
      <c r="BJ221"/>
      <c r="BK221"/>
    </row>
    <row r="222" spans="40:63" ht="12.75">
      <c r="AN222"/>
      <c r="AO222" s="293"/>
      <c r="AP222"/>
      <c r="AQ222" s="145"/>
      <c r="AR222"/>
      <c r="AS222"/>
      <c r="AT222"/>
      <c r="AU222"/>
      <c r="AV222"/>
      <c r="AW222"/>
      <c r="AX222"/>
      <c r="AY222"/>
      <c r="AZ222"/>
      <c r="BA222"/>
      <c r="BB222"/>
      <c r="BC222" s="578"/>
      <c r="BD222" s="578"/>
      <c r="BE222"/>
      <c r="BF222"/>
      <c r="BG222"/>
      <c r="BH222"/>
      <c r="BI222"/>
      <c r="BJ222"/>
      <c r="BK222"/>
    </row>
    <row r="223" spans="40:63" ht="12.75">
      <c r="AN223"/>
      <c r="AO223" s="293"/>
      <c r="AP223"/>
      <c r="AQ223" s="145"/>
      <c r="AR223"/>
      <c r="AS223"/>
      <c r="AT223"/>
      <c r="AU223"/>
      <c r="AV223"/>
      <c r="AW223"/>
      <c r="AX223"/>
      <c r="AY223"/>
      <c r="AZ223"/>
      <c r="BA223"/>
      <c r="BB223"/>
      <c r="BC223" s="578"/>
      <c r="BD223" s="578"/>
      <c r="BE223"/>
      <c r="BF223"/>
      <c r="BG223"/>
      <c r="BH223"/>
      <c r="BI223"/>
      <c r="BJ223"/>
      <c r="BK223"/>
    </row>
    <row r="224" spans="40:63" ht="12.75">
      <c r="AN224"/>
      <c r="AO224" s="293"/>
      <c r="AP224"/>
      <c r="AQ224" s="145"/>
      <c r="AR224"/>
      <c r="AS224"/>
      <c r="AT224"/>
      <c r="AU224"/>
      <c r="AV224"/>
      <c r="AW224"/>
      <c r="AX224"/>
      <c r="AY224"/>
      <c r="AZ224"/>
      <c r="BA224"/>
      <c r="BB224"/>
      <c r="BC224" s="578"/>
      <c r="BD224" s="578"/>
      <c r="BE224"/>
      <c r="BF224"/>
      <c r="BG224"/>
      <c r="BH224"/>
      <c r="BI224"/>
      <c r="BJ224"/>
      <c r="BK224"/>
    </row>
    <row r="225" spans="40:63" ht="12.75">
      <c r="AN225"/>
      <c r="AO225" s="293"/>
      <c r="AP225"/>
      <c r="AQ225" s="145"/>
      <c r="AR225"/>
      <c r="AS225"/>
      <c r="AT225"/>
      <c r="AU225"/>
      <c r="AV225"/>
      <c r="AW225"/>
      <c r="AX225"/>
      <c r="AY225"/>
      <c r="AZ225"/>
      <c r="BA225"/>
      <c r="BB225"/>
      <c r="BC225" s="578"/>
      <c r="BD225" s="578"/>
      <c r="BE225"/>
      <c r="BF225"/>
      <c r="BG225"/>
      <c r="BH225"/>
      <c r="BI225"/>
      <c r="BJ225"/>
      <c r="BK225"/>
    </row>
    <row r="226" spans="40:63" ht="12.75">
      <c r="AN226"/>
      <c r="AO226" s="293"/>
      <c r="AP226"/>
      <c r="AQ226" s="145"/>
      <c r="AR226"/>
      <c r="AS226"/>
      <c r="AT226"/>
      <c r="AU226"/>
      <c r="AV226"/>
      <c r="AW226"/>
      <c r="AX226"/>
      <c r="AY226"/>
      <c r="AZ226"/>
      <c r="BA226"/>
      <c r="BB226"/>
      <c r="BC226" s="578"/>
      <c r="BD226" s="578"/>
      <c r="BE226"/>
      <c r="BF226"/>
      <c r="BG226"/>
      <c r="BH226"/>
      <c r="BI226"/>
      <c r="BJ226"/>
      <c r="BK226"/>
    </row>
    <row r="227" spans="40:63" ht="12.75">
      <c r="AN227"/>
      <c r="AO227" s="293"/>
      <c r="AP227"/>
      <c r="AQ227" s="145"/>
      <c r="AR227"/>
      <c r="AS227"/>
      <c r="AT227"/>
      <c r="AU227"/>
      <c r="AV227"/>
      <c r="AW227"/>
      <c r="AX227"/>
      <c r="AY227"/>
      <c r="AZ227"/>
      <c r="BA227"/>
      <c r="BB227"/>
      <c r="BC227" s="578"/>
      <c r="BD227" s="578"/>
      <c r="BE227"/>
      <c r="BF227"/>
      <c r="BG227"/>
      <c r="BH227"/>
      <c r="BI227"/>
      <c r="BJ227"/>
      <c r="BK227"/>
    </row>
    <row r="228" spans="40:63" ht="12.75">
      <c r="AN228"/>
      <c r="AO228" s="293"/>
      <c r="AP228"/>
      <c r="AQ228" s="145"/>
      <c r="AR228"/>
      <c r="AS228"/>
      <c r="AT228"/>
      <c r="AU228"/>
      <c r="AV228"/>
      <c r="AW228"/>
      <c r="AX228"/>
      <c r="AY228"/>
      <c r="AZ228"/>
      <c r="BA228"/>
      <c r="BB228"/>
      <c r="BC228" s="578"/>
      <c r="BD228" s="578"/>
      <c r="BE228"/>
      <c r="BF228"/>
      <c r="BG228"/>
      <c r="BH228"/>
      <c r="BI228"/>
      <c r="BJ228"/>
      <c r="BK228"/>
    </row>
    <row r="229" spans="40:63" ht="12.75">
      <c r="AN229"/>
      <c r="AO229" s="293"/>
      <c r="AP229"/>
      <c r="AQ229" s="145"/>
      <c r="AR229"/>
      <c r="AS229"/>
      <c r="AT229"/>
      <c r="AU229"/>
      <c r="AV229"/>
      <c r="AW229"/>
      <c r="AX229"/>
      <c r="AY229"/>
      <c r="AZ229"/>
      <c r="BA229"/>
      <c r="BB229"/>
      <c r="BC229" s="578"/>
      <c r="BD229" s="578"/>
      <c r="BE229"/>
      <c r="BF229"/>
      <c r="BG229"/>
      <c r="BH229"/>
      <c r="BI229"/>
      <c r="BJ229"/>
      <c r="BK229"/>
    </row>
    <row r="230" spans="40:63" ht="12.75">
      <c r="AN230"/>
      <c r="AO230" s="293"/>
      <c r="AP230"/>
      <c r="AQ230" s="145"/>
      <c r="AR230"/>
      <c r="AS230"/>
      <c r="AT230"/>
      <c r="AU230"/>
      <c r="AV230"/>
      <c r="AW230"/>
      <c r="AX230"/>
      <c r="AY230"/>
      <c r="AZ230"/>
      <c r="BA230"/>
      <c r="BB230"/>
      <c r="BC230" s="578"/>
      <c r="BD230" s="578"/>
      <c r="BE230"/>
      <c r="BF230"/>
      <c r="BG230"/>
      <c r="BH230"/>
      <c r="BI230"/>
      <c r="BJ230"/>
      <c r="BK230"/>
    </row>
    <row r="231" spans="40:63" ht="12.75">
      <c r="AN231"/>
      <c r="AO231" s="293"/>
      <c r="AP231"/>
      <c r="AQ231" s="145"/>
      <c r="AR231"/>
      <c r="AS231"/>
      <c r="AT231"/>
      <c r="AU231"/>
      <c r="AV231"/>
      <c r="AW231"/>
      <c r="AX231"/>
      <c r="AY231"/>
      <c r="AZ231"/>
      <c r="BA231"/>
      <c r="BB231"/>
      <c r="BC231" s="578"/>
      <c r="BD231" s="578"/>
      <c r="BE231"/>
      <c r="BF231"/>
      <c r="BG231"/>
      <c r="BH231"/>
      <c r="BI231"/>
      <c r="BJ231"/>
      <c r="BK231"/>
    </row>
    <row r="232" spans="40:63" ht="12.75">
      <c r="AN232"/>
      <c r="AO232" s="293"/>
      <c r="AP232"/>
      <c r="AQ232" s="145"/>
      <c r="AR232"/>
      <c r="AS232"/>
      <c r="AT232"/>
      <c r="AU232"/>
      <c r="AV232"/>
      <c r="AW232"/>
      <c r="AX232"/>
      <c r="AY232"/>
      <c r="AZ232"/>
      <c r="BA232"/>
      <c r="BB232"/>
      <c r="BC232" s="578"/>
      <c r="BD232" s="578"/>
      <c r="BE232"/>
      <c r="BF232"/>
      <c r="BG232"/>
      <c r="BH232"/>
      <c r="BI232"/>
      <c r="BJ232"/>
      <c r="BK232"/>
    </row>
    <row r="233" spans="40:63" ht="12.75">
      <c r="AN233"/>
      <c r="AO233" s="293"/>
      <c r="AP233"/>
      <c r="AQ233" s="145"/>
      <c r="AR233"/>
      <c r="AS233"/>
      <c r="AT233"/>
      <c r="AU233"/>
      <c r="AV233"/>
      <c r="AW233"/>
      <c r="AX233"/>
      <c r="AY233"/>
      <c r="AZ233"/>
      <c r="BA233"/>
      <c r="BB233"/>
      <c r="BC233" s="578"/>
      <c r="BD233" s="578"/>
      <c r="BE233"/>
      <c r="BF233"/>
      <c r="BG233"/>
      <c r="BH233"/>
      <c r="BI233"/>
      <c r="BJ233"/>
      <c r="BK233"/>
    </row>
    <row r="234" spans="40:63" ht="12.75">
      <c r="AN234"/>
      <c r="AO234" s="293"/>
      <c r="AP234"/>
      <c r="AQ234" s="145"/>
      <c r="AR234"/>
      <c r="AS234"/>
      <c r="AT234"/>
      <c r="AU234"/>
      <c r="AV234"/>
      <c r="AW234"/>
      <c r="AX234"/>
      <c r="AY234"/>
      <c r="AZ234"/>
      <c r="BA234"/>
      <c r="BB234"/>
      <c r="BC234" s="578"/>
      <c r="BD234" s="578"/>
      <c r="BE234"/>
      <c r="BF234"/>
      <c r="BG234"/>
      <c r="BH234"/>
      <c r="BI234"/>
      <c r="BJ234"/>
      <c r="BK234"/>
    </row>
    <row r="235" spans="40:63" ht="12.75">
      <c r="AN235"/>
      <c r="AO235" s="293"/>
      <c r="AP235"/>
      <c r="AQ235" s="145"/>
      <c r="AR235"/>
      <c r="AS235"/>
      <c r="AT235"/>
      <c r="AU235"/>
      <c r="AV235"/>
      <c r="AW235"/>
      <c r="AX235"/>
      <c r="AY235"/>
      <c r="AZ235"/>
      <c r="BA235"/>
      <c r="BB235"/>
      <c r="BC235" s="578"/>
      <c r="BD235" s="578"/>
      <c r="BE235"/>
      <c r="BF235"/>
      <c r="BG235"/>
      <c r="BH235"/>
      <c r="BI235"/>
      <c r="BJ235"/>
      <c r="BK235"/>
    </row>
    <row r="236" spans="40:63" ht="12.75">
      <c r="AN236"/>
      <c r="AO236" s="293"/>
      <c r="AP236"/>
      <c r="AQ236" s="145"/>
      <c r="AR236"/>
      <c r="AS236"/>
      <c r="AT236"/>
      <c r="AU236"/>
      <c r="AV236"/>
      <c r="AW236"/>
      <c r="AX236"/>
      <c r="AY236"/>
      <c r="AZ236"/>
      <c r="BA236"/>
      <c r="BB236"/>
      <c r="BC236" s="578"/>
      <c r="BD236" s="578"/>
      <c r="BE236"/>
      <c r="BF236"/>
      <c r="BG236"/>
      <c r="BH236"/>
      <c r="BI236"/>
      <c r="BJ236"/>
      <c r="BK236"/>
    </row>
    <row r="237" spans="40:63" ht="12.75">
      <c r="AN237"/>
      <c r="AO237" s="293"/>
      <c r="AP237"/>
      <c r="AQ237" s="145"/>
      <c r="AR237"/>
      <c r="AS237"/>
      <c r="AT237"/>
      <c r="AU237"/>
      <c r="AV237"/>
      <c r="AW237"/>
      <c r="AX237"/>
      <c r="AY237"/>
      <c r="AZ237"/>
      <c r="BA237"/>
      <c r="BB237"/>
      <c r="BC237" s="578"/>
      <c r="BD237" s="578"/>
      <c r="BE237"/>
      <c r="BF237"/>
      <c r="BG237"/>
      <c r="BH237"/>
      <c r="BI237"/>
      <c r="BJ237"/>
      <c r="BK237"/>
    </row>
    <row r="238" spans="40:63" ht="12.75">
      <c r="AN238"/>
      <c r="AO238" s="293"/>
      <c r="AP238"/>
      <c r="AQ238" s="145"/>
      <c r="AR238"/>
      <c r="AS238"/>
      <c r="AT238"/>
      <c r="AU238"/>
      <c r="AV238"/>
      <c r="AW238"/>
      <c r="AX238"/>
      <c r="AY238"/>
      <c r="AZ238"/>
      <c r="BA238"/>
      <c r="BB238"/>
      <c r="BC238" s="578"/>
      <c r="BD238" s="578"/>
      <c r="BE238"/>
      <c r="BF238"/>
      <c r="BG238"/>
      <c r="BH238"/>
      <c r="BI238"/>
      <c r="BJ238"/>
      <c r="BK238"/>
    </row>
    <row r="239" spans="40:63" ht="12.75">
      <c r="AN239"/>
      <c r="AO239" s="293"/>
      <c r="AP239"/>
      <c r="AQ239" s="145"/>
      <c r="AR239"/>
      <c r="AS239"/>
      <c r="AT239"/>
      <c r="AU239"/>
      <c r="AV239"/>
      <c r="AW239"/>
      <c r="AX239"/>
      <c r="AY239"/>
      <c r="AZ239"/>
      <c r="BA239"/>
      <c r="BB239"/>
      <c r="BC239" s="578"/>
      <c r="BD239" s="578"/>
      <c r="BE239"/>
      <c r="BF239"/>
      <c r="BG239"/>
      <c r="BH239"/>
      <c r="BI239"/>
      <c r="BJ239"/>
      <c r="BK239"/>
    </row>
    <row r="240" spans="40:63" ht="12.75">
      <c r="AN240"/>
      <c r="AO240" s="293"/>
      <c r="AP240"/>
      <c r="AQ240" s="145"/>
      <c r="AR240"/>
      <c r="AS240"/>
      <c r="AT240"/>
      <c r="AU240"/>
      <c r="AV240"/>
      <c r="AW240"/>
      <c r="AX240"/>
      <c r="AY240"/>
      <c r="AZ240"/>
      <c r="BA240"/>
      <c r="BB240"/>
      <c r="BC240" s="578"/>
      <c r="BD240" s="578"/>
      <c r="BE240"/>
      <c r="BF240"/>
      <c r="BG240"/>
      <c r="BH240"/>
      <c r="BI240"/>
      <c r="BJ240"/>
      <c r="BK240"/>
    </row>
    <row r="241" spans="40:63" ht="12.75">
      <c r="AN241"/>
      <c r="AO241" s="293"/>
      <c r="AP241"/>
      <c r="AQ241" s="145"/>
      <c r="AR241"/>
      <c r="AS241"/>
      <c r="AT241"/>
      <c r="AU241"/>
      <c r="AV241"/>
      <c r="AW241"/>
      <c r="AX241"/>
      <c r="AY241"/>
      <c r="AZ241"/>
      <c r="BA241"/>
      <c r="BB241"/>
      <c r="BC241" s="578"/>
      <c r="BD241" s="578"/>
      <c r="BE241"/>
      <c r="BF241"/>
      <c r="BG241"/>
      <c r="BH241"/>
      <c r="BI241"/>
      <c r="BJ241"/>
      <c r="BK241"/>
    </row>
    <row r="242" spans="40:63" ht="12.75">
      <c r="AN242"/>
      <c r="AO242" s="293"/>
      <c r="AP242"/>
      <c r="AQ242" s="145"/>
      <c r="AR242"/>
      <c r="AS242"/>
      <c r="AT242"/>
      <c r="AU242"/>
      <c r="AV242"/>
      <c r="AW242"/>
      <c r="AX242"/>
      <c r="AY242"/>
      <c r="AZ242"/>
      <c r="BA242"/>
      <c r="BB242"/>
      <c r="BC242" s="578"/>
      <c r="BD242" s="578"/>
      <c r="BE242"/>
      <c r="BF242"/>
      <c r="BG242"/>
      <c r="BH242"/>
      <c r="BI242"/>
      <c r="BJ242"/>
      <c r="BK242"/>
    </row>
    <row r="243" spans="40:63" ht="12.75">
      <c r="AN243"/>
      <c r="AO243" s="293"/>
      <c r="AP243"/>
      <c r="AQ243" s="145"/>
      <c r="AR243"/>
      <c r="AS243"/>
      <c r="AT243"/>
      <c r="AU243"/>
      <c r="AV243"/>
      <c r="AW243"/>
      <c r="AX243"/>
      <c r="AY243"/>
      <c r="AZ243"/>
      <c r="BA243"/>
      <c r="BB243"/>
      <c r="BC243" s="578"/>
      <c r="BD243" s="578"/>
      <c r="BE243"/>
      <c r="BF243"/>
      <c r="BG243"/>
      <c r="BH243"/>
      <c r="BI243"/>
      <c r="BJ243"/>
      <c r="BK243"/>
    </row>
    <row r="244" spans="40:63" ht="12.75">
      <c r="AN244"/>
      <c r="AO244" s="293"/>
      <c r="AP244"/>
      <c r="AQ244" s="145"/>
      <c r="AR244"/>
      <c r="AS244"/>
      <c r="AT244"/>
      <c r="AU244"/>
      <c r="AV244"/>
      <c r="AW244"/>
      <c r="AX244"/>
      <c r="AY244"/>
      <c r="AZ244"/>
      <c r="BA244"/>
      <c r="BB244"/>
      <c r="BC244" s="578"/>
      <c r="BD244" s="578"/>
      <c r="BE244"/>
      <c r="BF244"/>
      <c r="BG244"/>
      <c r="BH244"/>
      <c r="BI244"/>
      <c r="BJ244"/>
      <c r="BK244"/>
    </row>
    <row r="245" spans="40:63" ht="12.75">
      <c r="AN245"/>
      <c r="AO245" s="293"/>
      <c r="AP245"/>
      <c r="AQ245" s="145"/>
      <c r="AR245"/>
      <c r="AS245"/>
      <c r="AT245"/>
      <c r="AU245"/>
      <c r="AV245"/>
      <c r="AW245"/>
      <c r="AX245"/>
      <c r="AY245"/>
      <c r="AZ245"/>
      <c r="BA245"/>
      <c r="BB245"/>
      <c r="BC245" s="578"/>
      <c r="BD245" s="578"/>
      <c r="BE245"/>
      <c r="BF245"/>
      <c r="BG245"/>
      <c r="BH245"/>
      <c r="BI245"/>
      <c r="BJ245"/>
      <c r="BK245"/>
    </row>
    <row r="246" spans="40:63" ht="12.75">
      <c r="AN246"/>
      <c r="AO246" s="293"/>
      <c r="AP246"/>
      <c r="AQ246" s="145"/>
      <c r="AR246"/>
      <c r="AS246"/>
      <c r="AT246"/>
      <c r="AU246"/>
      <c r="AV246"/>
      <c r="AW246"/>
      <c r="AX246"/>
      <c r="AY246"/>
      <c r="AZ246"/>
      <c r="BA246"/>
      <c r="BB246"/>
      <c r="BC246" s="578"/>
      <c r="BD246" s="578"/>
      <c r="BE246"/>
      <c r="BF246"/>
      <c r="BG246"/>
      <c r="BH246"/>
      <c r="BI246"/>
      <c r="BJ246"/>
      <c r="BK246"/>
    </row>
    <row r="247" spans="40:63" ht="12.75">
      <c r="AN247"/>
      <c r="AO247" s="293"/>
      <c r="AP247"/>
      <c r="AQ247" s="145"/>
      <c r="AR247"/>
      <c r="AS247"/>
      <c r="AT247"/>
      <c r="AU247"/>
      <c r="AV247"/>
      <c r="AW247"/>
      <c r="AX247"/>
      <c r="AY247"/>
      <c r="AZ247"/>
      <c r="BA247"/>
      <c r="BB247"/>
      <c r="BC247" s="578"/>
      <c r="BD247" s="578"/>
      <c r="BE247"/>
      <c r="BF247"/>
      <c r="BG247"/>
      <c r="BH247"/>
      <c r="BI247"/>
      <c r="BJ247"/>
      <c r="BK247"/>
    </row>
    <row r="248" spans="40:63" ht="12.75">
      <c r="AN248"/>
      <c r="AO248" s="293"/>
      <c r="AP248"/>
      <c r="AQ248" s="145"/>
      <c r="AR248"/>
      <c r="AS248"/>
      <c r="AT248"/>
      <c r="AU248"/>
      <c r="AV248"/>
      <c r="AW248"/>
      <c r="AX248"/>
      <c r="AY248"/>
      <c r="AZ248"/>
      <c r="BA248"/>
      <c r="BB248"/>
      <c r="BC248" s="578"/>
      <c r="BD248" s="578"/>
      <c r="BE248"/>
      <c r="BF248"/>
      <c r="BG248"/>
      <c r="BH248"/>
      <c r="BI248"/>
      <c r="BJ248"/>
      <c r="BK248"/>
    </row>
    <row r="249" spans="40:63" ht="12.75">
      <c r="AN249"/>
      <c r="AO249" s="293"/>
      <c r="AP249"/>
      <c r="AQ249" s="145"/>
      <c r="AR249"/>
      <c r="AS249"/>
      <c r="AT249"/>
      <c r="AU249"/>
      <c r="AV249"/>
      <c r="AW249"/>
      <c r="AX249"/>
      <c r="AY249"/>
      <c r="AZ249"/>
      <c r="BA249"/>
      <c r="BB249"/>
      <c r="BC249" s="578"/>
      <c r="BD249" s="578"/>
      <c r="BE249"/>
      <c r="BF249"/>
      <c r="BG249"/>
      <c r="BH249"/>
      <c r="BI249"/>
      <c r="BJ249"/>
      <c r="BK249"/>
    </row>
    <row r="250" spans="40:63" ht="12.75">
      <c r="AN250"/>
      <c r="AO250" s="293"/>
      <c r="AP250"/>
      <c r="AQ250" s="145"/>
      <c r="AR250"/>
      <c r="AS250"/>
      <c r="AT250"/>
      <c r="AU250"/>
      <c r="AV250"/>
      <c r="AW250"/>
      <c r="AX250"/>
      <c r="AY250"/>
      <c r="AZ250"/>
      <c r="BA250"/>
      <c r="BB250"/>
      <c r="BC250" s="578"/>
      <c r="BD250" s="578"/>
      <c r="BE250"/>
      <c r="BF250"/>
      <c r="BG250"/>
      <c r="BH250"/>
      <c r="BI250"/>
      <c r="BJ250"/>
      <c r="BK250"/>
    </row>
    <row r="251" spans="40:63" ht="12.75">
      <c r="AN251"/>
      <c r="AO251" s="293"/>
      <c r="AP251"/>
      <c r="AQ251" s="145"/>
      <c r="AR251"/>
      <c r="AS251"/>
      <c r="AT251"/>
      <c r="AU251"/>
      <c r="AV251"/>
      <c r="AW251"/>
      <c r="AX251"/>
      <c r="AY251"/>
      <c r="AZ251"/>
      <c r="BA251"/>
      <c r="BB251"/>
      <c r="BC251" s="578"/>
      <c r="BD251" s="578"/>
      <c r="BE251"/>
      <c r="BF251"/>
      <c r="BG251"/>
      <c r="BH251"/>
      <c r="BI251"/>
      <c r="BJ251"/>
      <c r="BK251"/>
    </row>
    <row r="252" spans="40:63" ht="12.75">
      <c r="AN252"/>
      <c r="AO252" s="293"/>
      <c r="AP252"/>
      <c r="AQ252" s="145"/>
      <c r="AR252"/>
      <c r="AS252"/>
      <c r="AT252"/>
      <c r="AU252"/>
      <c r="AV252"/>
      <c r="AW252"/>
      <c r="AX252"/>
      <c r="AY252"/>
      <c r="AZ252"/>
      <c r="BA252"/>
      <c r="BB252"/>
      <c r="BC252" s="578"/>
      <c r="BD252" s="578"/>
      <c r="BE252"/>
      <c r="BF252"/>
      <c r="BG252"/>
      <c r="BH252"/>
      <c r="BI252"/>
      <c r="BJ252"/>
      <c r="BK252"/>
    </row>
    <row r="253" spans="40:63" ht="12.75">
      <c r="AN253"/>
      <c r="AO253" s="293"/>
      <c r="AP253"/>
      <c r="AQ253" s="145"/>
      <c r="AR253"/>
      <c r="AS253"/>
      <c r="AT253"/>
      <c r="AU253"/>
      <c r="AV253"/>
      <c r="AW253"/>
      <c r="AX253"/>
      <c r="AY253"/>
      <c r="AZ253"/>
      <c r="BA253"/>
      <c r="BB253"/>
      <c r="BC253" s="578"/>
      <c r="BD253" s="578"/>
      <c r="BE253"/>
      <c r="BF253"/>
      <c r="BG253"/>
      <c r="BH253"/>
      <c r="BI253"/>
      <c r="BJ253"/>
      <c r="BK253"/>
    </row>
    <row r="254" spans="40:63" ht="12.75">
      <c r="AN254"/>
      <c r="AO254" s="293"/>
      <c r="AP254"/>
      <c r="AQ254" s="145"/>
      <c r="AR254"/>
      <c r="AS254"/>
      <c r="AT254"/>
      <c r="AU254"/>
      <c r="AV254"/>
      <c r="AW254"/>
      <c r="AX254"/>
      <c r="AY254"/>
      <c r="AZ254"/>
      <c r="BA254"/>
      <c r="BB254"/>
      <c r="BC254" s="578"/>
      <c r="BD254" s="578"/>
      <c r="BE254"/>
      <c r="BF254"/>
      <c r="BG254"/>
      <c r="BH254"/>
      <c r="BI254"/>
      <c r="BJ254"/>
      <c r="BK254"/>
    </row>
    <row r="255" spans="40:63" ht="12.75">
      <c r="AN255"/>
      <c r="AO255" s="293"/>
      <c r="AP255"/>
      <c r="AQ255" s="145"/>
      <c r="AR255"/>
      <c r="AS255"/>
      <c r="AT255"/>
      <c r="AU255"/>
      <c r="AV255"/>
      <c r="AW255"/>
      <c r="AX255"/>
      <c r="AY255"/>
      <c r="AZ255"/>
      <c r="BA255"/>
      <c r="BB255"/>
      <c r="BC255" s="578"/>
      <c r="BD255" s="578"/>
      <c r="BE255"/>
      <c r="BF255"/>
      <c r="BG255"/>
      <c r="BH255"/>
      <c r="BI255"/>
      <c r="BJ255"/>
      <c r="BK255"/>
    </row>
    <row r="256" spans="40:63" ht="12.75">
      <c r="AN256"/>
      <c r="AO256" s="293"/>
      <c r="AP256"/>
      <c r="AQ256" s="145"/>
      <c r="AR256"/>
      <c r="AS256"/>
      <c r="AT256"/>
      <c r="AU256"/>
      <c r="AV256"/>
      <c r="AW256"/>
      <c r="AX256"/>
      <c r="AY256"/>
      <c r="AZ256"/>
      <c r="BA256"/>
      <c r="BB256"/>
      <c r="BC256" s="578"/>
      <c r="BD256" s="578"/>
      <c r="BE256"/>
      <c r="BF256"/>
      <c r="BG256"/>
      <c r="BH256"/>
      <c r="BI256"/>
      <c r="BJ256"/>
      <c r="BK256"/>
    </row>
    <row r="257" spans="40:63" ht="12.75">
      <c r="AN257"/>
      <c r="AO257" s="293"/>
      <c r="AP257"/>
      <c r="AQ257" s="145"/>
      <c r="AR257"/>
      <c r="AS257"/>
      <c r="AT257"/>
      <c r="AU257"/>
      <c r="AV257"/>
      <c r="AW257"/>
      <c r="AX257"/>
      <c r="AY257"/>
      <c r="AZ257"/>
      <c r="BA257"/>
      <c r="BB257"/>
      <c r="BC257" s="578"/>
      <c r="BD257" s="578"/>
      <c r="BE257"/>
      <c r="BF257"/>
      <c r="BG257"/>
      <c r="BH257"/>
      <c r="BI257"/>
      <c r="BJ257"/>
      <c r="BK257"/>
    </row>
    <row r="258" spans="40:63" ht="12.75">
      <c r="AN258"/>
      <c r="AO258" s="293"/>
      <c r="AP258"/>
      <c r="AQ258" s="145"/>
      <c r="AR258"/>
      <c r="AS258"/>
      <c r="AT258"/>
      <c r="AU258"/>
      <c r="AV258"/>
      <c r="AW258"/>
      <c r="AX258"/>
      <c r="AY258"/>
      <c r="AZ258"/>
      <c r="BA258"/>
      <c r="BB258"/>
      <c r="BC258" s="578"/>
      <c r="BD258" s="578"/>
      <c r="BE258"/>
      <c r="BF258"/>
      <c r="BG258"/>
      <c r="BH258"/>
      <c r="BI258"/>
      <c r="BJ258"/>
      <c r="BK258"/>
    </row>
    <row r="259" spans="40:63" ht="12.75">
      <c r="AN259"/>
      <c r="AO259" s="293"/>
      <c r="AP259"/>
      <c r="AQ259" s="145"/>
      <c r="AR259"/>
      <c r="AS259"/>
      <c r="AT259"/>
      <c r="AU259"/>
      <c r="AV259"/>
      <c r="AW259"/>
      <c r="AX259"/>
      <c r="AY259"/>
      <c r="AZ259"/>
      <c r="BA259"/>
      <c r="BB259"/>
      <c r="BC259" s="578"/>
      <c r="BD259" s="578"/>
      <c r="BE259"/>
      <c r="BF259"/>
      <c r="BG259"/>
      <c r="BH259"/>
      <c r="BI259"/>
      <c r="BJ259"/>
      <c r="BK259"/>
    </row>
    <row r="260" spans="40:63" ht="12.75">
      <c r="AN260"/>
      <c r="AO260" s="293"/>
      <c r="AP260"/>
      <c r="AQ260" s="145"/>
      <c r="AR260"/>
      <c r="AS260"/>
      <c r="AT260"/>
      <c r="AU260"/>
      <c r="AV260"/>
      <c r="AW260"/>
      <c r="AX260"/>
      <c r="AY260"/>
      <c r="AZ260"/>
      <c r="BA260"/>
      <c r="BB260"/>
      <c r="BC260" s="578"/>
      <c r="BD260" s="578"/>
      <c r="BE260"/>
      <c r="BF260"/>
      <c r="BG260"/>
      <c r="BH260"/>
      <c r="BI260"/>
      <c r="BJ260"/>
      <c r="BK260"/>
    </row>
    <row r="261" spans="40:63" ht="12.75">
      <c r="AN261"/>
      <c r="AO261" s="293"/>
      <c r="AP261"/>
      <c r="AQ261" s="145"/>
      <c r="AR261"/>
      <c r="AS261"/>
      <c r="AT261"/>
      <c r="AU261"/>
      <c r="AV261"/>
      <c r="AW261"/>
      <c r="AX261"/>
      <c r="AY261"/>
      <c r="AZ261"/>
      <c r="BA261"/>
      <c r="BB261"/>
      <c r="BC261" s="578"/>
      <c r="BD261" s="578"/>
      <c r="BE261"/>
      <c r="BF261"/>
      <c r="BG261"/>
      <c r="BH261"/>
      <c r="BI261"/>
      <c r="BJ261"/>
      <c r="BK261"/>
    </row>
    <row r="262" spans="40:63" ht="12.75">
      <c r="AN262"/>
      <c r="AO262" s="293"/>
      <c r="AP262"/>
      <c r="AQ262" s="145"/>
      <c r="AR262"/>
      <c r="AS262"/>
      <c r="AT262"/>
      <c r="AU262"/>
      <c r="AV262"/>
      <c r="AW262"/>
      <c r="AX262"/>
      <c r="AY262"/>
      <c r="AZ262"/>
      <c r="BA262"/>
      <c r="BB262"/>
      <c r="BC262" s="578"/>
      <c r="BD262" s="578"/>
      <c r="BE262"/>
      <c r="BF262"/>
      <c r="BG262"/>
      <c r="BH262"/>
      <c r="BI262"/>
      <c r="BJ262"/>
      <c r="BK262"/>
    </row>
    <row r="263" spans="40:63" ht="12.75">
      <c r="AN263"/>
      <c r="AO263" s="293"/>
      <c r="AP263"/>
      <c r="AQ263" s="145"/>
      <c r="AR263"/>
      <c r="AS263"/>
      <c r="AT263"/>
      <c r="AU263"/>
      <c r="AV263"/>
      <c r="AW263"/>
      <c r="AX263"/>
      <c r="AY263"/>
      <c r="AZ263"/>
      <c r="BA263"/>
      <c r="BB263"/>
      <c r="BC263" s="578"/>
      <c r="BD263" s="578"/>
      <c r="BE263"/>
      <c r="BF263"/>
      <c r="BG263"/>
      <c r="BH263"/>
      <c r="BI263"/>
      <c r="BJ263"/>
      <c r="BK263"/>
    </row>
    <row r="264" spans="40:63" ht="12.75">
      <c r="AN264"/>
      <c r="AO264" s="293"/>
      <c r="AP264"/>
      <c r="AQ264" s="145"/>
      <c r="AR264"/>
      <c r="AS264"/>
      <c r="AT264"/>
      <c r="AU264"/>
      <c r="AV264"/>
      <c r="AW264"/>
      <c r="AX264"/>
      <c r="AY264"/>
      <c r="AZ264"/>
      <c r="BA264"/>
      <c r="BB264"/>
      <c r="BC264" s="578"/>
      <c r="BD264" s="578"/>
      <c r="BE264"/>
      <c r="BF264"/>
      <c r="BG264"/>
      <c r="BH264"/>
      <c r="BI264"/>
      <c r="BJ264"/>
      <c r="BK264"/>
    </row>
    <row r="265" spans="40:63" ht="12.75">
      <c r="AN265"/>
      <c r="AO265" s="293"/>
      <c r="AP265"/>
      <c r="AQ265" s="145"/>
      <c r="AR265"/>
      <c r="AS265"/>
      <c r="AT265"/>
      <c r="AU265"/>
      <c r="AV265"/>
      <c r="AW265"/>
      <c r="AX265"/>
      <c r="AY265"/>
      <c r="AZ265"/>
      <c r="BA265"/>
      <c r="BB265"/>
      <c r="BC265" s="578"/>
      <c r="BD265" s="578"/>
      <c r="BE265"/>
      <c r="BF265"/>
      <c r="BG265"/>
      <c r="BH265"/>
      <c r="BI265"/>
      <c r="BJ265"/>
      <c r="BK265"/>
    </row>
    <row r="266" spans="40:63" ht="12.75">
      <c r="AN266"/>
      <c r="AO266" s="293"/>
      <c r="AP266"/>
      <c r="AQ266" s="145"/>
      <c r="AR266"/>
      <c r="AS266"/>
      <c r="AT266"/>
      <c r="AU266"/>
      <c r="AV266"/>
      <c r="AW266"/>
      <c r="AX266"/>
      <c r="AY266"/>
      <c r="AZ266"/>
      <c r="BA266"/>
      <c r="BB266"/>
      <c r="BC266" s="578"/>
      <c r="BD266" s="578"/>
      <c r="BE266"/>
      <c r="BF266"/>
      <c r="BG266"/>
      <c r="BH266"/>
      <c r="BI266"/>
      <c r="BJ266"/>
      <c r="BK266"/>
    </row>
    <row r="267" spans="40:63" ht="12.75">
      <c r="AN267"/>
      <c r="AO267" s="293"/>
      <c r="AP267"/>
      <c r="AQ267" s="145"/>
      <c r="AR267"/>
      <c r="AS267"/>
      <c r="AT267"/>
      <c r="AU267"/>
      <c r="AV267"/>
      <c r="AW267"/>
      <c r="AX267"/>
      <c r="AY267"/>
      <c r="AZ267"/>
      <c r="BA267"/>
      <c r="BB267"/>
      <c r="BC267" s="578"/>
      <c r="BD267" s="578"/>
      <c r="BE267"/>
      <c r="BF267"/>
      <c r="BG267"/>
      <c r="BH267"/>
      <c r="BI267"/>
      <c r="BJ267"/>
      <c r="BK267"/>
    </row>
    <row r="268" spans="40:63" ht="12.75">
      <c r="AN268"/>
      <c r="AO268" s="293"/>
      <c r="AP268"/>
      <c r="AQ268" s="145"/>
      <c r="AR268"/>
      <c r="AS268"/>
      <c r="AT268"/>
      <c r="AU268"/>
      <c r="AV268"/>
      <c r="AW268"/>
      <c r="AX268"/>
      <c r="AY268"/>
      <c r="AZ268"/>
      <c r="BA268"/>
      <c r="BB268"/>
      <c r="BC268" s="578"/>
      <c r="BD268" s="578"/>
      <c r="BE268"/>
      <c r="BF268"/>
      <c r="BG268"/>
      <c r="BH268"/>
      <c r="BI268"/>
      <c r="BJ268"/>
      <c r="BK268"/>
    </row>
    <row r="269" spans="40:63" ht="12.75">
      <c r="AN269"/>
      <c r="AO269" s="293"/>
      <c r="AP269"/>
      <c r="AQ269" s="145"/>
      <c r="AR269"/>
      <c r="AS269"/>
      <c r="AT269"/>
      <c r="AU269"/>
      <c r="AV269"/>
      <c r="AW269"/>
      <c r="AX269"/>
      <c r="AY269"/>
      <c r="AZ269"/>
      <c r="BA269"/>
      <c r="BB269"/>
      <c r="BC269" s="578"/>
      <c r="BD269" s="578"/>
      <c r="BE269"/>
      <c r="BF269"/>
      <c r="BG269"/>
      <c r="BH269"/>
      <c r="BI269"/>
      <c r="BJ269"/>
      <c r="BK269"/>
    </row>
    <row r="270" spans="40:63" ht="12.75">
      <c r="AN270"/>
      <c r="AO270" s="293"/>
      <c r="AP270"/>
      <c r="AQ270" s="145"/>
      <c r="AR270"/>
      <c r="AS270"/>
      <c r="AT270"/>
      <c r="AU270"/>
      <c r="AV270"/>
      <c r="AW270"/>
      <c r="AX270"/>
      <c r="AY270"/>
      <c r="AZ270"/>
      <c r="BA270"/>
      <c r="BB270"/>
      <c r="BC270" s="578"/>
      <c r="BD270" s="578"/>
      <c r="BE270"/>
      <c r="BF270"/>
      <c r="BG270"/>
      <c r="BH270"/>
      <c r="BI270"/>
      <c r="BJ270"/>
      <c r="BK270"/>
    </row>
    <row r="271" spans="40:63" ht="12.75">
      <c r="AN271"/>
      <c r="AO271" s="293"/>
      <c r="AP271"/>
      <c r="AQ271" s="145"/>
      <c r="AR271"/>
      <c r="AS271"/>
      <c r="AT271"/>
      <c r="AU271"/>
      <c r="AV271"/>
      <c r="AW271"/>
      <c r="AX271"/>
      <c r="AY271"/>
      <c r="AZ271"/>
      <c r="BA271"/>
      <c r="BB271"/>
      <c r="BC271" s="578"/>
      <c r="BD271" s="578"/>
      <c r="BE271"/>
      <c r="BF271"/>
      <c r="BG271"/>
      <c r="BH271"/>
      <c r="BI271"/>
      <c r="BJ271"/>
      <c r="BK271"/>
    </row>
    <row r="272" spans="40:63" ht="12.75">
      <c r="AN272"/>
      <c r="AO272" s="293"/>
      <c r="AP272"/>
      <c r="AQ272" s="145"/>
      <c r="AR272"/>
      <c r="AS272"/>
      <c r="AT272"/>
      <c r="AU272"/>
      <c r="AV272"/>
      <c r="AW272"/>
      <c r="AX272"/>
      <c r="AY272"/>
      <c r="AZ272"/>
      <c r="BA272"/>
      <c r="BB272"/>
      <c r="BC272" s="578"/>
      <c r="BD272" s="578"/>
      <c r="BE272"/>
      <c r="BF272"/>
      <c r="BG272"/>
      <c r="BH272"/>
      <c r="BI272"/>
      <c r="BJ272"/>
      <c r="BK272"/>
    </row>
    <row r="273" spans="40:63" ht="12.75">
      <c r="AN273"/>
      <c r="AO273" s="293"/>
      <c r="AP273"/>
      <c r="AQ273" s="145"/>
      <c r="AR273"/>
      <c r="AS273"/>
      <c r="AT273"/>
      <c r="AU273"/>
      <c r="AV273"/>
      <c r="AW273"/>
      <c r="AX273"/>
      <c r="AY273"/>
      <c r="AZ273"/>
      <c r="BA273"/>
      <c r="BB273"/>
      <c r="BC273" s="578"/>
      <c r="BD273" s="578"/>
      <c r="BE273"/>
      <c r="BF273"/>
      <c r="BG273"/>
      <c r="BH273"/>
      <c r="BI273"/>
      <c r="BJ273"/>
      <c r="BK273"/>
    </row>
    <row r="274" spans="40:63" ht="12.75">
      <c r="AN274"/>
      <c r="AO274" s="293"/>
      <c r="AP274"/>
      <c r="AQ274" s="145"/>
      <c r="AR274"/>
      <c r="AS274"/>
      <c r="AT274"/>
      <c r="AU274"/>
      <c r="AV274"/>
      <c r="AW274"/>
      <c r="AX274"/>
      <c r="AY274"/>
      <c r="AZ274"/>
      <c r="BA274"/>
      <c r="BB274"/>
      <c r="BC274" s="578"/>
      <c r="BD274" s="578"/>
      <c r="BE274"/>
      <c r="BF274"/>
      <c r="BG274"/>
      <c r="BH274"/>
      <c r="BI274"/>
      <c r="BJ274"/>
      <c r="BK274"/>
    </row>
    <row r="275" spans="40:63" ht="12.75">
      <c r="AN275"/>
      <c r="AO275" s="293"/>
      <c r="AP275"/>
      <c r="AQ275" s="145"/>
      <c r="AR275"/>
      <c r="AS275"/>
      <c r="AT275"/>
      <c r="AU275"/>
      <c r="AV275"/>
      <c r="AW275"/>
      <c r="AX275"/>
      <c r="AY275"/>
      <c r="AZ275"/>
      <c r="BA275"/>
      <c r="BB275"/>
      <c r="BC275" s="578"/>
      <c r="BD275" s="578"/>
      <c r="BE275"/>
      <c r="BF275"/>
      <c r="BG275"/>
      <c r="BH275"/>
      <c r="BI275"/>
      <c r="BJ275"/>
      <c r="BK275"/>
    </row>
    <row r="276" spans="40:63" ht="12.75">
      <c r="AN276"/>
      <c r="AO276" s="293"/>
      <c r="AP276"/>
      <c r="AQ276" s="145"/>
      <c r="AR276"/>
      <c r="AS276"/>
      <c r="AT276"/>
      <c r="AU276"/>
      <c r="AV276"/>
      <c r="AW276"/>
      <c r="AX276"/>
      <c r="AY276"/>
      <c r="AZ276"/>
      <c r="BA276"/>
      <c r="BB276"/>
      <c r="BC276" s="578"/>
      <c r="BD276" s="578"/>
      <c r="BE276"/>
      <c r="BF276"/>
      <c r="BG276"/>
      <c r="BH276"/>
      <c r="BI276"/>
      <c r="BJ276"/>
      <c r="BK276"/>
    </row>
    <row r="277" spans="40:63" ht="12.75">
      <c r="AN277"/>
      <c r="AO277" s="293"/>
      <c r="AP277"/>
      <c r="AQ277" s="145"/>
      <c r="AR277"/>
      <c r="AS277"/>
      <c r="AT277"/>
      <c r="AU277"/>
      <c r="AV277"/>
      <c r="AW277"/>
      <c r="AX277"/>
      <c r="AY277"/>
      <c r="AZ277"/>
      <c r="BA277"/>
      <c r="BB277"/>
      <c r="BC277" s="578"/>
      <c r="BD277" s="578"/>
      <c r="BE277"/>
      <c r="BF277"/>
      <c r="BG277"/>
      <c r="BH277"/>
      <c r="BI277"/>
      <c r="BJ277"/>
      <c r="BK277"/>
    </row>
    <row r="278" spans="40:63" ht="12.75">
      <c r="AN278"/>
      <c r="AO278" s="293"/>
      <c r="AP278"/>
      <c r="AQ278" s="145"/>
      <c r="AR278"/>
      <c r="AS278"/>
      <c r="AT278"/>
      <c r="AU278"/>
      <c r="AV278"/>
      <c r="AW278"/>
      <c r="AX278"/>
      <c r="AY278"/>
      <c r="AZ278"/>
      <c r="BA278"/>
      <c r="BB278"/>
      <c r="BC278" s="578"/>
      <c r="BD278" s="578"/>
      <c r="BE278"/>
      <c r="BF278"/>
      <c r="BG278"/>
      <c r="BH278"/>
      <c r="BI278"/>
      <c r="BJ278"/>
      <c r="BK278"/>
    </row>
    <row r="279" spans="40:63" ht="12.75">
      <c r="AN279"/>
      <c r="AO279" s="293"/>
      <c r="AP279"/>
      <c r="AQ279" s="145"/>
      <c r="AR279"/>
      <c r="AS279"/>
      <c r="AT279"/>
      <c r="AU279"/>
      <c r="AV279"/>
      <c r="AW279"/>
      <c r="AX279"/>
      <c r="AY279"/>
      <c r="AZ279"/>
      <c r="BA279"/>
      <c r="BB279"/>
      <c r="BC279" s="578"/>
      <c r="BD279" s="578"/>
      <c r="BE279"/>
      <c r="BF279"/>
      <c r="BG279"/>
      <c r="BH279"/>
      <c r="BI279"/>
      <c r="BJ279"/>
      <c r="BK279"/>
    </row>
    <row r="280" spans="40:63" ht="12.75">
      <c r="AN280"/>
      <c r="AO280" s="293"/>
      <c r="AP280"/>
      <c r="AQ280" s="145"/>
      <c r="AR280"/>
      <c r="AS280"/>
      <c r="AT280"/>
      <c r="AU280"/>
      <c r="AV280"/>
      <c r="AW280"/>
      <c r="AX280"/>
      <c r="AY280"/>
      <c r="AZ280"/>
      <c r="BA280"/>
      <c r="BB280"/>
      <c r="BC280" s="578"/>
      <c r="BD280" s="578"/>
      <c r="BE280"/>
      <c r="BF280"/>
      <c r="BG280"/>
      <c r="BH280"/>
      <c r="BI280"/>
      <c r="BJ280"/>
      <c r="BK280"/>
    </row>
    <row r="281" spans="40:63" ht="12.75">
      <c r="AN281"/>
      <c r="AO281" s="293"/>
      <c r="AP281"/>
      <c r="AQ281" s="145"/>
      <c r="AR281"/>
      <c r="AS281"/>
      <c r="AT281"/>
      <c r="AU281"/>
      <c r="AV281"/>
      <c r="AW281"/>
      <c r="AX281"/>
      <c r="AY281"/>
      <c r="AZ281"/>
      <c r="BA281"/>
      <c r="BB281"/>
      <c r="BC281" s="578"/>
      <c r="BD281" s="578"/>
      <c r="BE281"/>
      <c r="BF281"/>
      <c r="BG281"/>
      <c r="BH281"/>
      <c r="BI281"/>
      <c r="BJ281"/>
      <c r="BK281"/>
    </row>
    <row r="282" spans="40:63" ht="12.75">
      <c r="AN282"/>
      <c r="AO282" s="293"/>
      <c r="AP282"/>
      <c r="AQ282" s="145"/>
      <c r="AR282"/>
      <c r="AS282"/>
      <c r="AT282"/>
      <c r="AU282"/>
      <c r="AV282"/>
      <c r="AW282"/>
      <c r="AX282"/>
      <c r="AY282"/>
      <c r="AZ282"/>
      <c r="BA282"/>
      <c r="BB282"/>
      <c r="BC282" s="578"/>
      <c r="BD282" s="578"/>
      <c r="BE282"/>
      <c r="BF282"/>
      <c r="BG282"/>
      <c r="BH282"/>
      <c r="BI282"/>
      <c r="BJ282"/>
      <c r="BK282"/>
    </row>
    <row r="283" spans="40:63" ht="12.75">
      <c r="AN283"/>
      <c r="AO283" s="293"/>
      <c r="AP283"/>
      <c r="AQ283" s="145"/>
      <c r="AR283"/>
      <c r="AS283"/>
      <c r="AT283"/>
      <c r="AU283"/>
      <c r="AV283"/>
      <c r="AW283"/>
      <c r="AX283"/>
      <c r="AY283"/>
      <c r="AZ283"/>
      <c r="BA283"/>
      <c r="BB283"/>
      <c r="BC283" s="578"/>
      <c r="BD283" s="578"/>
      <c r="BE283"/>
      <c r="BF283"/>
      <c r="BG283"/>
      <c r="BH283"/>
      <c r="BI283"/>
      <c r="BJ283"/>
      <c r="BK283"/>
    </row>
    <row r="284" spans="40:63" ht="12.75">
      <c r="AN284"/>
      <c r="AO284" s="293"/>
      <c r="AP284"/>
      <c r="AQ284" s="145"/>
      <c r="AR284"/>
      <c r="AS284"/>
      <c r="AT284"/>
      <c r="AU284"/>
      <c r="AV284"/>
      <c r="AW284"/>
      <c r="AX284"/>
      <c r="AY284"/>
      <c r="AZ284"/>
      <c r="BA284"/>
      <c r="BB284"/>
      <c r="BC284" s="578"/>
      <c r="BD284" s="578"/>
      <c r="BE284"/>
      <c r="BF284"/>
      <c r="BG284"/>
      <c r="BH284"/>
      <c r="BI284"/>
      <c r="BJ284"/>
      <c r="BK284"/>
    </row>
    <row r="285" spans="40:63" ht="12.75">
      <c r="AN285"/>
      <c r="AO285" s="293"/>
      <c r="AP285"/>
      <c r="AQ285" s="145"/>
      <c r="AR285"/>
      <c r="AS285"/>
      <c r="AT285"/>
      <c r="AU285"/>
      <c r="AV285"/>
      <c r="AW285"/>
      <c r="AX285"/>
      <c r="AY285"/>
      <c r="AZ285"/>
      <c r="BA285"/>
      <c r="BB285"/>
      <c r="BC285" s="578"/>
      <c r="BD285" s="578"/>
      <c r="BE285"/>
      <c r="BF285"/>
      <c r="BG285"/>
      <c r="BH285"/>
      <c r="BI285"/>
      <c r="BJ285"/>
      <c r="BK285"/>
    </row>
    <row r="286" spans="40:63" ht="12.75">
      <c r="AN286"/>
      <c r="AO286" s="293"/>
      <c r="AP286"/>
      <c r="AQ286" s="145"/>
      <c r="AR286"/>
      <c r="AS286"/>
      <c r="AT286"/>
      <c r="AU286"/>
      <c r="AV286"/>
      <c r="AW286"/>
      <c r="AX286"/>
      <c r="AY286"/>
      <c r="AZ286"/>
      <c r="BA286"/>
      <c r="BB286"/>
      <c r="BC286" s="578"/>
      <c r="BD286" s="578"/>
      <c r="BE286"/>
      <c r="BF286"/>
      <c r="BG286"/>
      <c r="BH286"/>
      <c r="BI286"/>
      <c r="BJ286"/>
      <c r="BK286"/>
    </row>
    <row r="287" spans="40:63" ht="12.75">
      <c r="AN287"/>
      <c r="AO287" s="293"/>
      <c r="AP287"/>
      <c r="AQ287" s="145"/>
      <c r="AR287"/>
      <c r="AS287"/>
      <c r="AT287"/>
      <c r="AU287"/>
      <c r="AV287"/>
      <c r="AW287"/>
      <c r="AX287"/>
      <c r="AY287"/>
      <c r="AZ287"/>
      <c r="BA287"/>
      <c r="BB287"/>
      <c r="BC287" s="578"/>
      <c r="BD287" s="578"/>
      <c r="BE287"/>
      <c r="BF287"/>
      <c r="BG287"/>
      <c r="BH287"/>
      <c r="BI287"/>
      <c r="BJ287"/>
      <c r="BK287"/>
    </row>
    <row r="288" spans="40:63" ht="12.75">
      <c r="AN288"/>
      <c r="AO288" s="293"/>
      <c r="AP288"/>
      <c r="AQ288" s="145"/>
      <c r="AR288"/>
      <c r="AS288"/>
      <c r="AT288"/>
      <c r="AU288"/>
      <c r="AV288"/>
      <c r="AW288"/>
      <c r="AX288"/>
      <c r="AY288"/>
      <c r="AZ288"/>
      <c r="BA288"/>
      <c r="BB288"/>
      <c r="BC288" s="578"/>
      <c r="BD288" s="578"/>
      <c r="BE288"/>
      <c r="BF288"/>
      <c r="BG288"/>
      <c r="BH288"/>
      <c r="BI288"/>
      <c r="BJ288"/>
      <c r="BK288"/>
    </row>
    <row r="289" spans="40:63" ht="12.75">
      <c r="AN289"/>
      <c r="AO289" s="293"/>
      <c r="AP289"/>
      <c r="AQ289" s="145"/>
      <c r="AR289"/>
      <c r="AS289"/>
      <c r="AT289"/>
      <c r="AU289"/>
      <c r="AV289"/>
      <c r="AW289"/>
      <c r="AX289"/>
      <c r="AY289"/>
      <c r="AZ289"/>
      <c r="BA289"/>
      <c r="BB289"/>
      <c r="BC289" s="578"/>
      <c r="BD289" s="578"/>
      <c r="BE289"/>
      <c r="BF289"/>
      <c r="BG289"/>
      <c r="BH289"/>
      <c r="BI289"/>
      <c r="BJ289"/>
      <c r="BK289"/>
    </row>
    <row r="290" spans="40:63" ht="12.75">
      <c r="AN290"/>
      <c r="AO290" s="293"/>
      <c r="AP290"/>
      <c r="AQ290" s="145"/>
      <c r="AR290"/>
      <c r="AS290"/>
      <c r="AT290"/>
      <c r="AU290"/>
      <c r="AV290"/>
      <c r="AW290"/>
      <c r="AX290"/>
      <c r="AY290"/>
      <c r="AZ290"/>
      <c r="BA290"/>
      <c r="BB290"/>
      <c r="BC290" s="578"/>
      <c r="BD290" s="578"/>
      <c r="BE290"/>
      <c r="BF290"/>
      <c r="BG290"/>
      <c r="BH290"/>
      <c r="BI290"/>
      <c r="BJ290"/>
      <c r="BK290"/>
    </row>
    <row r="291" spans="40:63" ht="12.75">
      <c r="AN291"/>
      <c r="AO291" s="293"/>
      <c r="AP291"/>
      <c r="AQ291" s="145"/>
      <c r="AR291"/>
      <c r="AS291"/>
      <c r="AT291"/>
      <c r="AU291"/>
      <c r="AV291"/>
      <c r="AW291"/>
      <c r="AX291"/>
      <c r="AY291"/>
      <c r="AZ291"/>
      <c r="BA291"/>
      <c r="BB291"/>
      <c r="BC291" s="578"/>
      <c r="BD291" s="578"/>
      <c r="BE291"/>
      <c r="BF291"/>
      <c r="BG291"/>
      <c r="BH291"/>
      <c r="BI291"/>
      <c r="BJ291"/>
      <c r="BK291"/>
    </row>
    <row r="292" spans="40:63" ht="12.75">
      <c r="AN292"/>
      <c r="AO292" s="293"/>
      <c r="AP292"/>
      <c r="AQ292" s="145"/>
      <c r="AR292"/>
      <c r="AS292"/>
      <c r="AT292"/>
      <c r="AU292"/>
      <c r="AV292"/>
      <c r="AW292"/>
      <c r="AX292"/>
      <c r="AY292"/>
      <c r="AZ292"/>
      <c r="BA292"/>
      <c r="BB292"/>
      <c r="BC292" s="578"/>
      <c r="BD292" s="578"/>
      <c r="BE292"/>
      <c r="BF292"/>
      <c r="BG292"/>
      <c r="BH292"/>
      <c r="BI292"/>
      <c r="BJ292"/>
      <c r="BK292"/>
    </row>
    <row r="293" spans="40:63" ht="12.75">
      <c r="AN293"/>
      <c r="AO293" s="293"/>
      <c r="AP293"/>
      <c r="AQ293" s="145"/>
      <c r="AR293"/>
      <c r="AS293"/>
      <c r="AT293"/>
      <c r="AU293"/>
      <c r="AV293"/>
      <c r="AW293"/>
      <c r="AX293"/>
      <c r="AY293"/>
      <c r="AZ293"/>
      <c r="BA293"/>
      <c r="BB293"/>
      <c r="BC293" s="578"/>
      <c r="BD293" s="578"/>
      <c r="BE293"/>
      <c r="BF293"/>
      <c r="BG293"/>
      <c r="BH293"/>
      <c r="BI293"/>
      <c r="BJ293"/>
      <c r="BK293"/>
    </row>
    <row r="294" spans="40:63" ht="12.75">
      <c r="AN294"/>
      <c r="AO294" s="293"/>
      <c r="AP294"/>
      <c r="AQ294" s="145"/>
      <c r="AR294"/>
      <c r="AS294"/>
      <c r="AT294"/>
      <c r="AU294"/>
      <c r="AV294"/>
      <c r="AW294"/>
      <c r="AX294"/>
      <c r="AY294"/>
      <c r="AZ294"/>
      <c r="BA294"/>
      <c r="BB294"/>
      <c r="BC294" s="578"/>
      <c r="BD294" s="578"/>
      <c r="BE294"/>
      <c r="BF294"/>
      <c r="BG294"/>
      <c r="BH294"/>
      <c r="BI294"/>
      <c r="BJ294"/>
      <c r="BK294"/>
    </row>
    <row r="295" spans="40:63" ht="12.75">
      <c r="AN295"/>
      <c r="AO295" s="293"/>
      <c r="AP295"/>
      <c r="AQ295" s="145"/>
      <c r="AR295"/>
      <c r="AS295"/>
      <c r="AT295"/>
      <c r="AU295"/>
      <c r="AV295"/>
      <c r="AW295"/>
      <c r="AX295"/>
      <c r="AY295"/>
      <c r="AZ295"/>
      <c r="BA295"/>
      <c r="BB295"/>
      <c r="BC295" s="578"/>
      <c r="BD295" s="578"/>
      <c r="BE295"/>
      <c r="BF295"/>
      <c r="BG295"/>
      <c r="BH295"/>
      <c r="BI295"/>
      <c r="BJ295"/>
      <c r="BK295"/>
    </row>
    <row r="296" spans="40:63" ht="12.75">
      <c r="AN296"/>
      <c r="AO296" s="293"/>
      <c r="AP296"/>
      <c r="AQ296" s="145"/>
      <c r="AR296"/>
      <c r="AS296"/>
      <c r="AT296"/>
      <c r="AU296"/>
      <c r="AV296"/>
      <c r="AW296"/>
      <c r="AX296"/>
      <c r="AY296"/>
      <c r="AZ296"/>
      <c r="BA296"/>
      <c r="BB296"/>
      <c r="BC296" s="578"/>
      <c r="BD296" s="578"/>
      <c r="BE296"/>
      <c r="BF296"/>
      <c r="BG296"/>
      <c r="BH296"/>
      <c r="BI296"/>
      <c r="BJ296"/>
      <c r="BK296"/>
    </row>
    <row r="297" spans="40:63" ht="12.75">
      <c r="AN297"/>
      <c r="AO297" s="293"/>
      <c r="AP297"/>
      <c r="AQ297" s="145"/>
      <c r="AR297"/>
      <c r="AS297"/>
      <c r="AT297"/>
      <c r="AU297"/>
      <c r="AV297"/>
      <c r="AW297"/>
      <c r="AX297"/>
      <c r="AY297"/>
      <c r="AZ297"/>
      <c r="BA297"/>
      <c r="BB297"/>
      <c r="BC297" s="578"/>
      <c r="BD297" s="578"/>
      <c r="BE297"/>
      <c r="BF297"/>
      <c r="BG297"/>
      <c r="BH297"/>
      <c r="BI297"/>
      <c r="BJ297"/>
      <c r="BK297"/>
    </row>
    <row r="298" spans="40:63" ht="12.75">
      <c r="AN298"/>
      <c r="AO298" s="293"/>
      <c r="AP298"/>
      <c r="AQ298" s="145"/>
      <c r="AR298"/>
      <c r="AS298"/>
      <c r="AT298"/>
      <c r="AU298"/>
      <c r="AV298"/>
      <c r="AW298"/>
      <c r="AX298"/>
      <c r="AY298"/>
      <c r="AZ298"/>
      <c r="BA298"/>
      <c r="BB298"/>
      <c r="BC298" s="578"/>
      <c r="BD298" s="578"/>
      <c r="BE298"/>
      <c r="BF298"/>
      <c r="BG298"/>
      <c r="BH298"/>
      <c r="BI298"/>
      <c r="BJ298"/>
      <c r="BK298"/>
    </row>
    <row r="299" spans="40:63" ht="12.75">
      <c r="AN299"/>
      <c r="AO299" s="293"/>
      <c r="AP299"/>
      <c r="AQ299" s="145"/>
      <c r="AR299"/>
      <c r="AS299"/>
      <c r="AT299"/>
      <c r="AU299"/>
      <c r="AV299"/>
      <c r="AW299"/>
      <c r="AX299"/>
      <c r="AY299"/>
      <c r="AZ299"/>
      <c r="BA299"/>
      <c r="BB299"/>
      <c r="BC299" s="578"/>
      <c r="BD299" s="578"/>
      <c r="BE299"/>
      <c r="BF299"/>
      <c r="BG299"/>
      <c r="BH299"/>
      <c r="BI299"/>
      <c r="BJ299"/>
      <c r="BK299"/>
    </row>
    <row r="300" spans="40:63" ht="12.75">
      <c r="AN300"/>
      <c r="AO300" s="293"/>
      <c r="AP300"/>
      <c r="AQ300" s="145"/>
      <c r="AR300"/>
      <c r="AS300"/>
      <c r="AT300"/>
      <c r="AU300"/>
      <c r="AV300"/>
      <c r="AW300"/>
      <c r="AX300"/>
      <c r="AY300"/>
      <c r="AZ300"/>
      <c r="BA300"/>
      <c r="BB300"/>
      <c r="BC300" s="578"/>
      <c r="BD300" s="578"/>
      <c r="BE300"/>
      <c r="BF300"/>
      <c r="BG300"/>
      <c r="BH300"/>
      <c r="BI300"/>
      <c r="BJ300"/>
      <c r="BK300"/>
    </row>
    <row r="301" spans="40:63" ht="12.75">
      <c r="AN301"/>
      <c r="AO301" s="293"/>
      <c r="AP301"/>
      <c r="AQ301" s="145"/>
      <c r="AR301"/>
      <c r="AS301"/>
      <c r="AT301"/>
      <c r="AU301"/>
      <c r="AV301"/>
      <c r="AW301"/>
      <c r="AX301"/>
      <c r="AY301"/>
      <c r="AZ301"/>
      <c r="BA301"/>
      <c r="BB301"/>
      <c r="BC301" s="578"/>
      <c r="BD301" s="578"/>
      <c r="BE301"/>
      <c r="BF301"/>
      <c r="BG301"/>
      <c r="BH301"/>
      <c r="BI301"/>
      <c r="BJ301"/>
      <c r="BK301"/>
    </row>
    <row r="302" spans="40:63" ht="12.75">
      <c r="AN302"/>
      <c r="AO302" s="293"/>
      <c r="AP302"/>
      <c r="AQ302" s="145"/>
      <c r="AR302"/>
      <c r="AS302"/>
      <c r="AT302"/>
      <c r="AU302"/>
      <c r="AV302"/>
      <c r="AW302"/>
      <c r="AX302"/>
      <c r="AY302"/>
      <c r="AZ302"/>
      <c r="BA302"/>
      <c r="BB302"/>
      <c r="BC302" s="578"/>
      <c r="BD302" s="578"/>
      <c r="BE302"/>
      <c r="BF302"/>
      <c r="BG302"/>
      <c r="BH302"/>
      <c r="BI302"/>
      <c r="BJ302"/>
      <c r="BK302"/>
    </row>
    <row r="303" spans="40:63" ht="12.75">
      <c r="AN303"/>
      <c r="AO303" s="293"/>
      <c r="AP303"/>
      <c r="AQ303" s="145"/>
      <c r="AR303"/>
      <c r="AS303"/>
      <c r="AT303"/>
      <c r="AU303"/>
      <c r="AV303"/>
      <c r="AW303"/>
      <c r="AX303"/>
      <c r="AY303"/>
      <c r="AZ303"/>
      <c r="BA303"/>
      <c r="BB303"/>
      <c r="BC303" s="578"/>
      <c r="BD303" s="578"/>
      <c r="BE303"/>
      <c r="BF303"/>
      <c r="BG303"/>
      <c r="BH303"/>
      <c r="BI303"/>
      <c r="BJ303"/>
      <c r="BK303"/>
    </row>
    <row r="304" spans="40:63" ht="12.75">
      <c r="AN304"/>
      <c r="AO304" s="293"/>
      <c r="AP304"/>
      <c r="AQ304" s="145"/>
      <c r="AR304"/>
      <c r="AS304"/>
      <c r="AT304"/>
      <c r="AU304"/>
      <c r="AV304"/>
      <c r="AW304"/>
      <c r="AX304"/>
      <c r="AY304"/>
      <c r="AZ304"/>
      <c r="BA304"/>
      <c r="BB304"/>
      <c r="BC304" s="578"/>
      <c r="BD304" s="578"/>
      <c r="BE304"/>
      <c r="BF304"/>
      <c r="BG304"/>
      <c r="BH304"/>
      <c r="BI304"/>
      <c r="BJ304"/>
      <c r="BK304"/>
    </row>
    <row r="305" spans="40:63" ht="12.75">
      <c r="AN305"/>
      <c r="AO305" s="293"/>
      <c r="AP305"/>
      <c r="AQ305" s="145"/>
      <c r="AR305"/>
      <c r="AS305"/>
      <c r="AT305"/>
      <c r="AU305"/>
      <c r="AV305"/>
      <c r="AW305"/>
      <c r="AX305"/>
      <c r="AY305"/>
      <c r="AZ305"/>
      <c r="BA305"/>
      <c r="BB305"/>
      <c r="BC305" s="578"/>
      <c r="BD305" s="578"/>
      <c r="BE305"/>
      <c r="BF305"/>
      <c r="BG305"/>
      <c r="BH305"/>
      <c r="BI305"/>
      <c r="BJ305"/>
      <c r="BK305"/>
    </row>
    <row r="306" spans="40:63" ht="12.75">
      <c r="AN306"/>
      <c r="AO306" s="293"/>
      <c r="AP306"/>
      <c r="AQ306" s="145"/>
      <c r="AR306"/>
      <c r="AS306"/>
      <c r="AT306"/>
      <c r="AU306"/>
      <c r="AV306"/>
      <c r="AW306"/>
      <c r="AX306"/>
      <c r="AY306"/>
      <c r="AZ306"/>
      <c r="BA306"/>
      <c r="BB306"/>
      <c r="BC306" s="578"/>
      <c r="BD306" s="578"/>
      <c r="BE306"/>
      <c r="BF306"/>
      <c r="BG306"/>
      <c r="BH306"/>
      <c r="BI306"/>
      <c r="BJ306"/>
      <c r="BK306"/>
    </row>
    <row r="307" spans="40:63" ht="12.75">
      <c r="AN307"/>
      <c r="AO307" s="293"/>
      <c r="AP307"/>
      <c r="AQ307" s="145"/>
      <c r="AR307"/>
      <c r="AS307"/>
      <c r="AT307"/>
      <c r="AU307"/>
      <c r="AV307"/>
      <c r="AW307"/>
      <c r="AX307"/>
      <c r="AY307"/>
      <c r="AZ307"/>
      <c r="BA307"/>
      <c r="BB307"/>
      <c r="BC307" s="578"/>
      <c r="BD307" s="578"/>
      <c r="BE307"/>
      <c r="BF307"/>
      <c r="BG307"/>
      <c r="BH307"/>
      <c r="BI307"/>
      <c r="BJ307"/>
      <c r="BK307"/>
    </row>
    <row r="308" spans="40:63" ht="12.75">
      <c r="AN308"/>
      <c r="AO308" s="293"/>
      <c r="AP308"/>
      <c r="AQ308" s="145"/>
      <c r="AR308"/>
      <c r="AS308"/>
      <c r="AT308"/>
      <c r="AU308"/>
      <c r="AV308"/>
      <c r="AW308"/>
      <c r="AX308"/>
      <c r="AY308"/>
      <c r="AZ308"/>
      <c r="BA308"/>
      <c r="BB308"/>
      <c r="BC308" s="578"/>
      <c r="BD308" s="578"/>
      <c r="BE308"/>
      <c r="BF308"/>
      <c r="BG308"/>
      <c r="BH308"/>
      <c r="BI308"/>
      <c r="BJ308"/>
      <c r="BK308"/>
    </row>
    <row r="309" spans="40:63" ht="12.75">
      <c r="AN309"/>
      <c r="AO309" s="293"/>
      <c r="AP309"/>
      <c r="AQ309" s="145"/>
      <c r="AR309"/>
      <c r="AS309"/>
      <c r="AT309"/>
      <c r="AU309"/>
      <c r="AV309"/>
      <c r="AW309"/>
      <c r="AX309"/>
      <c r="AY309"/>
      <c r="AZ309"/>
      <c r="BA309"/>
      <c r="BB309"/>
      <c r="BC309" s="578"/>
      <c r="BD309" s="578"/>
      <c r="BE309"/>
      <c r="BF309"/>
      <c r="BG309"/>
      <c r="BH309"/>
      <c r="BI309"/>
      <c r="BJ309"/>
      <c r="BK309"/>
    </row>
    <row r="310" spans="40:63" ht="12.75">
      <c r="AN310"/>
      <c r="AO310" s="293"/>
      <c r="AP310"/>
      <c r="AQ310" s="145"/>
      <c r="AR310"/>
      <c r="AS310"/>
      <c r="AT310"/>
      <c r="AU310"/>
      <c r="AV310"/>
      <c r="AW310"/>
      <c r="AX310"/>
      <c r="AY310"/>
      <c r="AZ310"/>
      <c r="BA310"/>
      <c r="BB310"/>
      <c r="BC310" s="578"/>
      <c r="BD310" s="578"/>
      <c r="BE310"/>
      <c r="BF310"/>
      <c r="BG310"/>
      <c r="BH310"/>
      <c r="BI310"/>
      <c r="BJ310"/>
      <c r="BK310"/>
    </row>
    <row r="311" spans="40:63" ht="12.75">
      <c r="AN311"/>
      <c r="AO311" s="293"/>
      <c r="AP311"/>
      <c r="AQ311" s="145"/>
      <c r="AR311"/>
      <c r="AS311"/>
      <c r="AT311"/>
      <c r="AU311"/>
      <c r="AV311"/>
      <c r="AW311"/>
      <c r="AX311"/>
      <c r="AY311"/>
      <c r="AZ311"/>
      <c r="BA311"/>
      <c r="BB311"/>
      <c r="BC311" s="578"/>
      <c r="BD311" s="578"/>
      <c r="BE311"/>
      <c r="BF311"/>
      <c r="BG311"/>
      <c r="BH311"/>
      <c r="BI311"/>
      <c r="BJ311"/>
      <c r="BK311"/>
    </row>
    <row r="312" spans="40:63" ht="12.75">
      <c r="AN312"/>
      <c r="AO312" s="293"/>
      <c r="AP312"/>
      <c r="AQ312" s="145"/>
      <c r="AR312"/>
      <c r="AS312"/>
      <c r="AT312"/>
      <c r="AU312"/>
      <c r="AV312"/>
      <c r="AW312"/>
      <c r="AX312"/>
      <c r="AY312"/>
      <c r="AZ312"/>
      <c r="BA312"/>
      <c r="BB312"/>
      <c r="BC312" s="578"/>
      <c r="BD312" s="578"/>
      <c r="BE312"/>
      <c r="BF312"/>
      <c r="BG312"/>
      <c r="BH312"/>
      <c r="BI312"/>
      <c r="BJ312"/>
      <c r="BK312"/>
    </row>
    <row r="313" spans="40:63" ht="12.75">
      <c r="AN313"/>
      <c r="AO313" s="293"/>
      <c r="AP313"/>
      <c r="AQ313" s="145"/>
      <c r="AR313"/>
      <c r="AS313"/>
      <c r="AT313"/>
      <c r="AU313"/>
      <c r="AV313"/>
      <c r="AW313"/>
      <c r="AX313"/>
      <c r="AY313"/>
      <c r="AZ313"/>
      <c r="BA313"/>
      <c r="BB313"/>
      <c r="BC313" s="578"/>
      <c r="BD313" s="578"/>
      <c r="BE313"/>
      <c r="BF313"/>
      <c r="BG313"/>
      <c r="BH313"/>
      <c r="BI313"/>
      <c r="BJ313"/>
      <c r="BK313"/>
    </row>
    <row r="314" spans="40:63" ht="12.75">
      <c r="AN314"/>
      <c r="AO314" s="293"/>
      <c r="AP314"/>
      <c r="AQ314" s="145"/>
      <c r="AR314"/>
      <c r="AS314"/>
      <c r="AT314"/>
      <c r="AU314"/>
      <c r="AV314"/>
      <c r="AW314"/>
      <c r="AX314"/>
      <c r="AY314"/>
      <c r="AZ314"/>
      <c r="BA314"/>
      <c r="BB314"/>
      <c r="BC314" s="578"/>
      <c r="BD314" s="578"/>
      <c r="BE314"/>
      <c r="BF314"/>
      <c r="BG314"/>
      <c r="BH314"/>
      <c r="BI314"/>
      <c r="BJ314"/>
      <c r="BK314"/>
    </row>
    <row r="315" spans="40:63" ht="12.75">
      <c r="AN315"/>
      <c r="AO315" s="293"/>
      <c r="AP315"/>
      <c r="AQ315" s="145"/>
      <c r="AR315"/>
      <c r="AS315"/>
      <c r="AT315"/>
      <c r="AU315"/>
      <c r="AV315"/>
      <c r="AW315"/>
      <c r="AX315"/>
      <c r="AY315"/>
      <c r="AZ315"/>
      <c r="BA315"/>
      <c r="BB315"/>
      <c r="BC315" s="578"/>
      <c r="BD315" s="578"/>
      <c r="BE315"/>
      <c r="BF315"/>
      <c r="BG315"/>
      <c r="BH315"/>
      <c r="BI315"/>
      <c r="BJ315"/>
      <c r="BK315"/>
    </row>
    <row r="316" spans="40:63" ht="12.75">
      <c r="AN316"/>
      <c r="AO316" s="293"/>
      <c r="AP316"/>
      <c r="AQ316" s="145"/>
      <c r="AR316"/>
      <c r="AS316"/>
      <c r="AT316"/>
      <c r="AU316"/>
      <c r="AV316"/>
      <c r="AW316"/>
      <c r="AX316"/>
      <c r="AY316"/>
      <c r="AZ316"/>
      <c r="BA316"/>
      <c r="BB316"/>
      <c r="BC316" s="578"/>
      <c r="BD316" s="578"/>
      <c r="BE316"/>
      <c r="BF316"/>
      <c r="BG316"/>
      <c r="BH316"/>
      <c r="BI316"/>
      <c r="BJ316"/>
      <c r="BK316"/>
    </row>
    <row r="317" spans="40:63" ht="12.75">
      <c r="AN317"/>
      <c r="AO317" s="293"/>
      <c r="AP317"/>
      <c r="AQ317" s="145"/>
      <c r="AR317"/>
      <c r="AS317"/>
      <c r="AT317"/>
      <c r="AU317"/>
      <c r="AV317"/>
      <c r="AW317"/>
      <c r="AX317"/>
      <c r="AY317"/>
      <c r="AZ317"/>
      <c r="BA317"/>
      <c r="BB317"/>
      <c r="BC317" s="578"/>
      <c r="BD317" s="578"/>
      <c r="BE317"/>
      <c r="BF317"/>
      <c r="BG317"/>
      <c r="BH317"/>
      <c r="BI317"/>
      <c r="BJ317"/>
      <c r="BK317"/>
    </row>
    <row r="318" spans="40:63" ht="12.75">
      <c r="AN318"/>
      <c r="AO318" s="293"/>
      <c r="AP318"/>
      <c r="AQ318" s="145"/>
      <c r="AR318"/>
      <c r="AS318"/>
      <c r="AT318"/>
      <c r="AU318"/>
      <c r="AV318"/>
      <c r="AW318"/>
      <c r="AX318"/>
      <c r="AY318"/>
      <c r="AZ318"/>
      <c r="BA318"/>
      <c r="BB318"/>
      <c r="BC318" s="578"/>
      <c r="BD318" s="578"/>
      <c r="BE318"/>
      <c r="BF318"/>
      <c r="BG318"/>
      <c r="BH318"/>
      <c r="BI318"/>
      <c r="BJ318"/>
      <c r="BK318"/>
    </row>
    <row r="319" spans="40:63" ht="12.75">
      <c r="AN319"/>
      <c r="AO319" s="293"/>
      <c r="AP319"/>
      <c r="AQ319" s="145"/>
      <c r="AR319"/>
      <c r="AS319"/>
      <c r="AT319"/>
      <c r="AU319"/>
      <c r="AV319"/>
      <c r="AW319"/>
      <c r="AX319"/>
      <c r="AY319"/>
      <c r="AZ319"/>
      <c r="BA319"/>
      <c r="BB319"/>
      <c r="BC319" s="578"/>
      <c r="BD319" s="578"/>
      <c r="BE319"/>
      <c r="BF319"/>
      <c r="BG319"/>
      <c r="BH319"/>
      <c r="BI319"/>
      <c r="BJ319"/>
      <c r="BK319"/>
    </row>
    <row r="320" spans="40:63" ht="12.75">
      <c r="AN320"/>
      <c r="AO320" s="293"/>
      <c r="AP320"/>
      <c r="AQ320" s="145"/>
      <c r="AR320"/>
      <c r="AS320"/>
      <c r="AT320"/>
      <c r="AU320"/>
      <c r="AV320"/>
      <c r="AW320"/>
      <c r="AX320"/>
      <c r="AY320"/>
      <c r="AZ320"/>
      <c r="BA320"/>
      <c r="BB320"/>
      <c r="BC320" s="578"/>
      <c r="BD320" s="578"/>
      <c r="BE320"/>
      <c r="BF320"/>
      <c r="BG320"/>
      <c r="BH320"/>
      <c r="BI320"/>
      <c r="BJ320"/>
      <c r="BK320"/>
    </row>
    <row r="321" spans="40:63" ht="12.75">
      <c r="AN321"/>
      <c r="AO321" s="293"/>
      <c r="AP321"/>
      <c r="AQ321" s="145"/>
      <c r="AR321"/>
      <c r="AS321"/>
      <c r="AT321"/>
      <c r="AU321"/>
      <c r="AV321"/>
      <c r="AW321"/>
      <c r="AX321"/>
      <c r="AY321"/>
      <c r="AZ321"/>
      <c r="BA321"/>
      <c r="BB321"/>
      <c r="BC321" s="578"/>
      <c r="BD321" s="578"/>
      <c r="BE321"/>
      <c r="BF321"/>
      <c r="BG321"/>
      <c r="BH321"/>
      <c r="BI321"/>
      <c r="BJ321"/>
      <c r="BK321"/>
    </row>
    <row r="322" spans="40:63" ht="12.75">
      <c r="AN322"/>
      <c r="AO322" s="293"/>
      <c r="AP322"/>
      <c r="AQ322" s="145"/>
      <c r="AR322"/>
      <c r="AS322"/>
      <c r="AT322"/>
      <c r="AU322"/>
      <c r="AV322"/>
      <c r="AW322"/>
      <c r="AX322"/>
      <c r="AY322"/>
      <c r="AZ322"/>
      <c r="BA322"/>
      <c r="BB322"/>
      <c r="BC322" s="578"/>
      <c r="BD322" s="578"/>
      <c r="BE322"/>
      <c r="BF322"/>
      <c r="BG322"/>
      <c r="BH322"/>
      <c r="BI322"/>
      <c r="BJ322"/>
      <c r="BK322"/>
    </row>
    <row r="323" spans="40:63" ht="12.75">
      <c r="AN323"/>
      <c r="AO323" s="293"/>
      <c r="AP323"/>
      <c r="AQ323" s="145"/>
      <c r="AR323"/>
      <c r="AS323"/>
      <c r="AT323"/>
      <c r="AU323"/>
      <c r="AV323"/>
      <c r="AW323"/>
      <c r="AX323"/>
      <c r="AY323"/>
      <c r="AZ323"/>
      <c r="BA323"/>
      <c r="BB323"/>
      <c r="BC323" s="578"/>
      <c r="BD323" s="578"/>
      <c r="BE323"/>
      <c r="BF323"/>
      <c r="BG323"/>
      <c r="BH323"/>
      <c r="BI323"/>
      <c r="BJ323"/>
      <c r="BK323"/>
    </row>
    <row r="324" spans="40:63" ht="12.75">
      <c r="AN324"/>
      <c r="AO324" s="293"/>
      <c r="AP324"/>
      <c r="AQ324" s="145"/>
      <c r="AR324"/>
      <c r="AS324"/>
      <c r="AT324"/>
      <c r="AU324"/>
      <c r="AV324"/>
      <c r="AW324"/>
      <c r="AX324"/>
      <c r="AY324"/>
      <c r="AZ324"/>
      <c r="BA324"/>
      <c r="BB324"/>
      <c r="BC324" s="578"/>
      <c r="BD324" s="578"/>
      <c r="BE324"/>
      <c r="BF324"/>
      <c r="BG324"/>
      <c r="BH324"/>
      <c r="BI324"/>
      <c r="BJ324"/>
      <c r="BK324"/>
    </row>
    <row r="325" spans="40:63" ht="12.75">
      <c r="AN325"/>
      <c r="AO325" s="293"/>
      <c r="AP325"/>
      <c r="AQ325" s="145"/>
      <c r="AR325"/>
      <c r="AS325"/>
      <c r="AT325"/>
      <c r="AU325"/>
      <c r="AV325"/>
      <c r="AW325"/>
      <c r="AX325"/>
      <c r="AY325"/>
      <c r="AZ325"/>
      <c r="BA325"/>
      <c r="BB325"/>
      <c r="BC325" s="578"/>
      <c r="BD325" s="578"/>
      <c r="BE325"/>
      <c r="BF325"/>
      <c r="BG325"/>
      <c r="BH325"/>
      <c r="BI325"/>
      <c r="BJ325"/>
      <c r="BK325"/>
    </row>
    <row r="326" spans="40:63" ht="12.75">
      <c r="AN326"/>
      <c r="AO326" s="293"/>
      <c r="AP326"/>
      <c r="AQ326" s="145"/>
      <c r="AR326"/>
      <c r="AS326"/>
      <c r="AT326"/>
      <c r="AU326"/>
      <c r="AV326"/>
      <c r="AW326"/>
      <c r="AX326"/>
      <c r="AY326"/>
      <c r="AZ326"/>
      <c r="BA326"/>
      <c r="BB326"/>
      <c r="BC326" s="578"/>
      <c r="BD326" s="578"/>
      <c r="BE326"/>
      <c r="BF326"/>
      <c r="BG326"/>
      <c r="BH326"/>
      <c r="BI326"/>
      <c r="BJ326"/>
      <c r="BK326"/>
    </row>
    <row r="327" spans="40:63" ht="12.75">
      <c r="AN327"/>
      <c r="AO327" s="293"/>
      <c r="AP327"/>
      <c r="AQ327" s="145"/>
      <c r="AR327"/>
      <c r="AS327"/>
      <c r="AT327"/>
      <c r="AU327"/>
      <c r="AV327"/>
      <c r="AW327"/>
      <c r="AX327"/>
      <c r="AY327"/>
      <c r="AZ327"/>
      <c r="BA327"/>
      <c r="BB327"/>
      <c r="BC327" s="578"/>
      <c r="BD327" s="578"/>
      <c r="BE327"/>
      <c r="BF327"/>
      <c r="BG327"/>
      <c r="BH327"/>
      <c r="BI327"/>
      <c r="BJ327"/>
      <c r="BK327"/>
    </row>
    <row r="328" spans="40:63" ht="12.75">
      <c r="AN328"/>
      <c r="AO328" s="293"/>
      <c r="AP328"/>
      <c r="AQ328" s="145"/>
      <c r="AR328"/>
      <c r="AS328"/>
      <c r="AT328"/>
      <c r="AU328"/>
      <c r="AV328"/>
      <c r="AW328"/>
      <c r="AX328"/>
      <c r="AY328"/>
      <c r="AZ328"/>
      <c r="BA328"/>
      <c r="BB328"/>
      <c r="BC328" s="578"/>
      <c r="BD328" s="578"/>
      <c r="BE328"/>
      <c r="BF328"/>
      <c r="BG328"/>
      <c r="BH328"/>
      <c r="BI328"/>
      <c r="BJ328"/>
      <c r="BK328"/>
    </row>
    <row r="329" spans="40:63" ht="12.75">
      <c r="AN329"/>
      <c r="AO329" s="293"/>
      <c r="AP329"/>
      <c r="AQ329" s="145"/>
      <c r="AR329"/>
      <c r="AS329"/>
      <c r="AT329"/>
      <c r="AU329"/>
      <c r="AV329"/>
      <c r="AW329"/>
      <c r="AX329"/>
      <c r="AY329"/>
      <c r="AZ329"/>
      <c r="BA329"/>
      <c r="BB329"/>
      <c r="BC329" s="578"/>
      <c r="BD329" s="578"/>
      <c r="BE329"/>
      <c r="BF329"/>
      <c r="BG329"/>
      <c r="BH329"/>
      <c r="BI329"/>
      <c r="BJ329"/>
      <c r="BK329"/>
    </row>
    <row r="330" spans="40:63" ht="12.75">
      <c r="AN330"/>
      <c r="AO330" s="293"/>
      <c r="AP330"/>
      <c r="AQ330" s="145"/>
      <c r="AR330"/>
      <c r="AS330"/>
      <c r="AT330"/>
      <c r="AU330"/>
      <c r="AV330"/>
      <c r="AW330"/>
      <c r="AX330"/>
      <c r="AY330"/>
      <c r="AZ330"/>
      <c r="BA330"/>
      <c r="BB330"/>
      <c r="BC330" s="578"/>
      <c r="BD330" s="578"/>
      <c r="BE330"/>
      <c r="BF330"/>
      <c r="BG330"/>
      <c r="BH330"/>
      <c r="BI330"/>
      <c r="BJ330"/>
      <c r="BK330"/>
    </row>
    <row r="331" spans="40:63" ht="12.75">
      <c r="AN331"/>
      <c r="AO331" s="293"/>
      <c r="AP331"/>
      <c r="AQ331" s="145"/>
      <c r="AR331"/>
      <c r="AS331"/>
      <c r="AT331"/>
      <c r="AU331"/>
      <c r="AV331"/>
      <c r="AW331"/>
      <c r="AX331"/>
      <c r="AY331"/>
      <c r="AZ331"/>
      <c r="BA331"/>
      <c r="BB331"/>
      <c r="BC331" s="578"/>
      <c r="BD331" s="578"/>
      <c r="BE331"/>
      <c r="BF331"/>
      <c r="BG331"/>
      <c r="BH331"/>
      <c r="BI331"/>
      <c r="BJ331"/>
      <c r="BK331"/>
    </row>
    <row r="332" spans="40:63" ht="12.75">
      <c r="AN332"/>
      <c r="AO332" s="293"/>
      <c r="AP332"/>
      <c r="AQ332" s="145"/>
      <c r="AR332"/>
      <c r="AS332"/>
      <c r="AT332"/>
      <c r="AU332"/>
      <c r="AV332"/>
      <c r="AW332"/>
      <c r="AX332"/>
      <c r="AY332"/>
      <c r="AZ332"/>
      <c r="BA332"/>
      <c r="BB332"/>
      <c r="BC332" s="578"/>
      <c r="BD332" s="578"/>
      <c r="BE332"/>
      <c r="BF332"/>
      <c r="BG332"/>
      <c r="BH332"/>
      <c r="BI332"/>
      <c r="BJ332"/>
      <c r="BK332"/>
    </row>
    <row r="333" spans="40:63" ht="12.75">
      <c r="AN333"/>
      <c r="AO333" s="293"/>
      <c r="AP333"/>
      <c r="AQ333" s="145"/>
      <c r="AR333"/>
      <c r="AS333"/>
      <c r="AT333"/>
      <c r="AU333"/>
      <c r="AV333"/>
      <c r="AW333"/>
      <c r="AX333"/>
      <c r="AY333"/>
      <c r="AZ333"/>
      <c r="BA333"/>
      <c r="BB333"/>
      <c r="BC333" s="578"/>
      <c r="BD333" s="578"/>
      <c r="BE333"/>
      <c r="BF333"/>
      <c r="BG333"/>
      <c r="BH333"/>
      <c r="BI333"/>
      <c r="BJ333"/>
      <c r="BK333"/>
    </row>
    <row r="334" spans="40:63" ht="12.75">
      <c r="AN334"/>
      <c r="AO334" s="293"/>
      <c r="AP334"/>
      <c r="AQ334" s="145"/>
      <c r="AR334"/>
      <c r="AS334"/>
      <c r="AT334"/>
      <c r="AU334"/>
      <c r="AV334"/>
      <c r="AW334"/>
      <c r="AX334"/>
      <c r="AY334"/>
      <c r="AZ334"/>
      <c r="BA334"/>
      <c r="BB334"/>
      <c r="BC334" s="578"/>
      <c r="BD334" s="578"/>
      <c r="BE334"/>
      <c r="BF334"/>
      <c r="BG334"/>
      <c r="BH334"/>
      <c r="BI334"/>
      <c r="BJ334"/>
      <c r="BK334"/>
    </row>
    <row r="335" spans="40:63" ht="12.75">
      <c r="AN335"/>
      <c r="AO335" s="293"/>
      <c r="AP335"/>
      <c r="AQ335" s="145"/>
      <c r="AR335"/>
      <c r="AS335"/>
      <c r="AT335"/>
      <c r="AU335"/>
      <c r="AV335"/>
      <c r="AW335"/>
      <c r="AX335"/>
      <c r="AY335"/>
      <c r="AZ335"/>
      <c r="BA335"/>
      <c r="BB335"/>
      <c r="BC335" s="578"/>
      <c r="BD335" s="578"/>
      <c r="BE335"/>
      <c r="BF335"/>
      <c r="BG335"/>
      <c r="BH335"/>
      <c r="BI335"/>
      <c r="BJ335"/>
      <c r="BK335"/>
    </row>
    <row r="336" spans="40:63" ht="12.75">
      <c r="AN336"/>
      <c r="AO336" s="293"/>
      <c r="AP336"/>
      <c r="AQ336" s="145"/>
      <c r="AR336"/>
      <c r="AS336"/>
      <c r="AT336"/>
      <c r="AU336"/>
      <c r="AV336"/>
      <c r="AW336"/>
      <c r="AX336"/>
      <c r="AY336"/>
      <c r="AZ336"/>
      <c r="BA336"/>
      <c r="BB336"/>
      <c r="BC336" s="578"/>
      <c r="BD336" s="578"/>
      <c r="BE336"/>
      <c r="BF336"/>
      <c r="BG336"/>
      <c r="BH336"/>
      <c r="BI336"/>
      <c r="BJ336"/>
      <c r="BK336"/>
    </row>
    <row r="337" spans="40:63" ht="12.75">
      <c r="AN337"/>
      <c r="AO337" s="293"/>
      <c r="AP337"/>
      <c r="AQ337" s="145"/>
      <c r="AR337"/>
      <c r="AS337"/>
      <c r="AT337"/>
      <c r="AU337"/>
      <c r="AV337"/>
      <c r="AW337"/>
      <c r="AX337"/>
      <c r="AY337"/>
      <c r="AZ337"/>
      <c r="BA337"/>
      <c r="BB337"/>
      <c r="BC337" s="578"/>
      <c r="BD337" s="578"/>
      <c r="BE337"/>
      <c r="BF337"/>
      <c r="BG337"/>
      <c r="BH337"/>
      <c r="BI337"/>
      <c r="BJ337"/>
      <c r="BK337"/>
    </row>
    <row r="338" spans="40:63" ht="12.75">
      <c r="AN338"/>
      <c r="AO338" s="293"/>
      <c r="AP338"/>
      <c r="AQ338" s="145"/>
      <c r="AR338"/>
      <c r="AS338"/>
      <c r="AT338"/>
      <c r="AU338"/>
      <c r="AV338"/>
      <c r="AW338"/>
      <c r="AX338"/>
      <c r="AY338"/>
      <c r="AZ338"/>
      <c r="BA338"/>
      <c r="BB338"/>
      <c r="BC338" s="578"/>
      <c r="BD338" s="578"/>
      <c r="BE338"/>
      <c r="BF338"/>
      <c r="BG338"/>
      <c r="BH338"/>
      <c r="BI338"/>
      <c r="BJ338"/>
      <c r="BK338"/>
    </row>
    <row r="339" spans="40:63" ht="12.75">
      <c r="AN339"/>
      <c r="AO339" s="293"/>
      <c r="AP339"/>
      <c r="AQ339" s="145"/>
      <c r="AR339"/>
      <c r="AS339"/>
      <c r="AT339"/>
      <c r="AU339"/>
      <c r="AV339"/>
      <c r="AW339"/>
      <c r="AX339"/>
      <c r="AY339"/>
      <c r="AZ339"/>
      <c r="BA339"/>
      <c r="BB339"/>
      <c r="BC339" s="578"/>
      <c r="BD339" s="578"/>
      <c r="BE339"/>
      <c r="BF339"/>
      <c r="BG339"/>
      <c r="BH339"/>
      <c r="BI339"/>
      <c r="BJ339"/>
      <c r="BK339"/>
    </row>
    <row r="340" spans="40:63" ht="12.75">
      <c r="AN340"/>
      <c r="AO340" s="293"/>
      <c r="AP340"/>
      <c r="AQ340" s="145"/>
      <c r="AR340"/>
      <c r="AS340"/>
      <c r="AT340"/>
      <c r="AU340"/>
      <c r="AV340"/>
      <c r="AW340"/>
      <c r="AX340"/>
      <c r="AY340"/>
      <c r="AZ340"/>
      <c r="BA340"/>
      <c r="BB340"/>
      <c r="BC340" s="578"/>
      <c r="BD340" s="578"/>
      <c r="BE340"/>
      <c r="BF340"/>
      <c r="BG340"/>
      <c r="BH340"/>
      <c r="BI340"/>
      <c r="BJ340"/>
      <c r="BK340"/>
    </row>
    <row r="341" spans="40:63" ht="12.75">
      <c r="AN341"/>
      <c r="AO341" s="293"/>
      <c r="AP341"/>
      <c r="AQ341" s="145"/>
      <c r="AR341"/>
      <c r="AS341"/>
      <c r="AT341"/>
      <c r="AU341"/>
      <c r="AV341"/>
      <c r="AW341"/>
      <c r="AX341"/>
      <c r="AY341"/>
      <c r="AZ341"/>
      <c r="BA341"/>
      <c r="BB341"/>
      <c r="BC341" s="578"/>
      <c r="BD341" s="578"/>
      <c r="BE341"/>
      <c r="BF341"/>
      <c r="BG341"/>
      <c r="BH341"/>
      <c r="BI341"/>
      <c r="BJ341"/>
      <c r="BK341"/>
    </row>
    <row r="342" spans="40:63" ht="12.75">
      <c r="AN342"/>
      <c r="AO342" s="293"/>
      <c r="AP342"/>
      <c r="AQ342" s="145"/>
      <c r="AR342"/>
      <c r="AS342"/>
      <c r="AT342"/>
      <c r="AU342"/>
      <c r="AV342"/>
      <c r="AW342"/>
      <c r="AX342"/>
      <c r="AY342"/>
      <c r="AZ342"/>
      <c r="BA342"/>
      <c r="BB342"/>
      <c r="BC342" s="578"/>
      <c r="BD342" s="578"/>
      <c r="BE342"/>
      <c r="BF342"/>
      <c r="BG342"/>
      <c r="BH342"/>
      <c r="BI342"/>
      <c r="BJ342"/>
      <c r="BK342"/>
    </row>
    <row r="343" spans="40:63" ht="12.75">
      <c r="AN343"/>
      <c r="AO343" s="293"/>
      <c r="AP343"/>
      <c r="AQ343" s="145"/>
      <c r="AR343"/>
      <c r="AS343"/>
      <c r="AT343"/>
      <c r="AU343"/>
      <c r="AV343"/>
      <c r="AW343"/>
      <c r="AX343"/>
      <c r="AY343"/>
      <c r="AZ343"/>
      <c r="BA343"/>
      <c r="BB343"/>
      <c r="BC343" s="578"/>
      <c r="BD343" s="578"/>
      <c r="BE343"/>
      <c r="BF343"/>
      <c r="BG343"/>
      <c r="BH343"/>
      <c r="BI343"/>
      <c r="BJ343"/>
      <c r="BK343"/>
    </row>
    <row r="344" spans="40:63" ht="12.75">
      <c r="AN344"/>
      <c r="AO344" s="293"/>
      <c r="AP344"/>
      <c r="AQ344" s="145"/>
      <c r="AR344"/>
      <c r="AS344"/>
      <c r="AT344"/>
      <c r="AU344"/>
      <c r="AV344"/>
      <c r="AW344"/>
      <c r="AX344"/>
      <c r="AY344"/>
      <c r="AZ344"/>
      <c r="BA344"/>
      <c r="BB344"/>
      <c r="BC344" s="578"/>
      <c r="BD344" s="578"/>
      <c r="BE344"/>
      <c r="BF344"/>
      <c r="BG344"/>
      <c r="BH344"/>
      <c r="BI344"/>
      <c r="BJ344"/>
      <c r="BK344"/>
    </row>
    <row r="345" spans="40:63" ht="12.75">
      <c r="AN345"/>
      <c r="AO345" s="293"/>
      <c r="AP345"/>
      <c r="AQ345" s="145"/>
      <c r="AR345"/>
      <c r="AS345"/>
      <c r="AT345"/>
      <c r="AU345"/>
      <c r="AV345"/>
      <c r="AW345"/>
      <c r="AX345"/>
      <c r="AY345"/>
      <c r="AZ345"/>
      <c r="BA345"/>
      <c r="BB345"/>
      <c r="BC345" s="578"/>
      <c r="BD345" s="578"/>
      <c r="BE345"/>
      <c r="BF345"/>
      <c r="BG345"/>
      <c r="BH345"/>
      <c r="BI345"/>
      <c r="BJ345"/>
      <c r="BK345"/>
    </row>
    <row r="346" spans="40:63" ht="12.75">
      <c r="AN346"/>
      <c r="AO346" s="293"/>
      <c r="AP346"/>
      <c r="AQ346" s="145"/>
      <c r="AR346"/>
      <c r="AS346"/>
      <c r="AT346"/>
      <c r="AU346"/>
      <c r="AV346"/>
      <c r="AW346"/>
      <c r="AX346"/>
      <c r="AY346"/>
      <c r="AZ346"/>
      <c r="BA346"/>
      <c r="BB346"/>
      <c r="BC346" s="578"/>
      <c r="BD346" s="578"/>
      <c r="BE346"/>
      <c r="BF346"/>
      <c r="BG346"/>
      <c r="BH346"/>
      <c r="BI346"/>
      <c r="BJ346"/>
      <c r="BK346"/>
    </row>
    <row r="347" spans="40:63" ht="12.75">
      <c r="AN347"/>
      <c r="AO347" s="293"/>
      <c r="AP347"/>
      <c r="AQ347" s="145"/>
      <c r="AR347"/>
      <c r="AS347"/>
      <c r="AT347"/>
      <c r="AU347"/>
      <c r="AV347"/>
      <c r="AW347"/>
      <c r="AX347"/>
      <c r="AY347"/>
      <c r="AZ347"/>
      <c r="BA347"/>
      <c r="BB347"/>
      <c r="BC347" s="578"/>
      <c r="BD347" s="578"/>
      <c r="BE347"/>
      <c r="BF347"/>
      <c r="BG347"/>
      <c r="BH347"/>
      <c r="BI347"/>
      <c r="BJ347"/>
      <c r="BK347"/>
    </row>
    <row r="348" spans="40:63" ht="12.75">
      <c r="AN348"/>
      <c r="AO348" s="293"/>
      <c r="AP348"/>
      <c r="AQ348" s="145"/>
      <c r="AR348"/>
      <c r="AS348"/>
      <c r="AT348"/>
      <c r="AU348"/>
      <c r="AV348"/>
      <c r="AW348"/>
      <c r="AX348"/>
      <c r="AY348"/>
      <c r="AZ348"/>
      <c r="BA348"/>
      <c r="BB348"/>
      <c r="BC348" s="578"/>
      <c r="BD348" s="578"/>
      <c r="BE348"/>
      <c r="BF348"/>
      <c r="BG348"/>
      <c r="BH348"/>
      <c r="BI348"/>
      <c r="BJ348"/>
      <c r="BK348"/>
    </row>
    <row r="349" spans="40:63" ht="12.75">
      <c r="AN349"/>
      <c r="AO349" s="293"/>
      <c r="AP349"/>
      <c r="AQ349" s="145"/>
      <c r="AR349"/>
      <c r="AS349"/>
      <c r="AT349"/>
      <c r="AU349"/>
      <c r="AV349"/>
      <c r="AW349"/>
      <c r="AX349"/>
      <c r="AY349"/>
      <c r="AZ349"/>
      <c r="BA349"/>
      <c r="BB349"/>
      <c r="BC349" s="578"/>
      <c r="BD349" s="578"/>
      <c r="BE349"/>
      <c r="BF349"/>
      <c r="BG349"/>
      <c r="BH349"/>
      <c r="BI349"/>
      <c r="BJ349"/>
      <c r="BK349"/>
    </row>
    <row r="350" spans="40:63" ht="12.75">
      <c r="AN350"/>
      <c r="AO350" s="293"/>
      <c r="AP350"/>
      <c r="AQ350" s="145"/>
      <c r="AR350"/>
      <c r="AS350"/>
      <c r="AT350"/>
      <c r="AU350"/>
      <c r="AV350"/>
      <c r="AW350"/>
      <c r="AX350"/>
      <c r="AY350"/>
      <c r="AZ350"/>
      <c r="BA350"/>
      <c r="BB350"/>
      <c r="BC350" s="578"/>
      <c r="BD350" s="578"/>
      <c r="BE350"/>
      <c r="BF350"/>
      <c r="BG350"/>
      <c r="BH350"/>
      <c r="BI350"/>
      <c r="BJ350"/>
      <c r="BK350"/>
    </row>
    <row r="351" spans="40:63" ht="12.75">
      <c r="AN351"/>
      <c r="AO351" s="293"/>
      <c r="AP351"/>
      <c r="AQ351" s="145"/>
      <c r="AR351"/>
      <c r="AS351"/>
      <c r="AT351"/>
      <c r="AU351"/>
      <c r="AV351"/>
      <c r="AW351"/>
      <c r="AX351"/>
      <c r="AY351"/>
      <c r="AZ351"/>
      <c r="BA351"/>
      <c r="BB351"/>
      <c r="BC351" s="578"/>
      <c r="BD351" s="578"/>
      <c r="BE351"/>
      <c r="BF351"/>
      <c r="BG351"/>
      <c r="BH351"/>
      <c r="BI351"/>
      <c r="BJ351"/>
      <c r="BK351"/>
    </row>
    <row r="352" spans="40:63" ht="12.75">
      <c r="AN352"/>
      <c r="AO352" s="293"/>
      <c r="AP352"/>
      <c r="AQ352" s="145"/>
      <c r="AR352"/>
      <c r="AS352"/>
      <c r="AT352"/>
      <c r="AU352"/>
      <c r="AV352"/>
      <c r="AW352"/>
      <c r="AX352"/>
      <c r="AY352"/>
      <c r="AZ352"/>
      <c r="BA352"/>
      <c r="BB352"/>
      <c r="BC352" s="578"/>
      <c r="BD352" s="578"/>
      <c r="BE352"/>
      <c r="BF352"/>
      <c r="BG352"/>
      <c r="BH352"/>
      <c r="BI352"/>
      <c r="BJ352"/>
      <c r="BK352"/>
    </row>
    <row r="353" spans="40:63" ht="12.75">
      <c r="AN353"/>
      <c r="AO353" s="293"/>
      <c r="AP353"/>
      <c r="AQ353" s="145"/>
      <c r="AR353"/>
      <c r="AS353"/>
      <c r="AT353"/>
      <c r="AU353"/>
      <c r="AV353"/>
      <c r="AW353"/>
      <c r="AX353"/>
      <c r="AY353"/>
      <c r="AZ353"/>
      <c r="BA353"/>
      <c r="BB353"/>
      <c r="BC353" s="578"/>
      <c r="BD353" s="578"/>
      <c r="BE353"/>
      <c r="BF353"/>
      <c r="BG353"/>
      <c r="BH353"/>
      <c r="BI353"/>
      <c r="BJ353"/>
      <c r="BK353"/>
    </row>
    <row r="354" spans="40:63" ht="12.75">
      <c r="AN354"/>
      <c r="AO354" s="293"/>
      <c r="AP354"/>
      <c r="AQ354" s="145"/>
      <c r="AR354"/>
      <c r="AS354"/>
      <c r="AT354"/>
      <c r="AU354"/>
      <c r="AV354"/>
      <c r="AW354"/>
      <c r="AX354"/>
      <c r="AY354"/>
      <c r="AZ354"/>
      <c r="BA354"/>
      <c r="BB354"/>
      <c r="BC354" s="578"/>
      <c r="BD354" s="578"/>
      <c r="BE354"/>
      <c r="BF354"/>
      <c r="BG354"/>
      <c r="BH354"/>
      <c r="BI354"/>
      <c r="BJ354"/>
      <c r="BK354"/>
    </row>
    <row r="355" spans="40:63" ht="12.75">
      <c r="AN355"/>
      <c r="AO355" s="293"/>
      <c r="AP355"/>
      <c r="AQ355" s="145"/>
      <c r="AR355"/>
      <c r="AS355"/>
      <c r="AT355"/>
      <c r="AU355"/>
      <c r="AV355"/>
      <c r="AW355"/>
      <c r="AX355"/>
      <c r="AY355"/>
      <c r="AZ355"/>
      <c r="BA355"/>
      <c r="BB355"/>
      <c r="BC355" s="578"/>
      <c r="BD355" s="578"/>
      <c r="BE355"/>
      <c r="BF355"/>
      <c r="BG355"/>
      <c r="BH355"/>
      <c r="BI355"/>
      <c r="BJ355"/>
      <c r="BK355"/>
    </row>
    <row r="356" spans="40:63" ht="12.75">
      <c r="AN356"/>
      <c r="AO356" s="293"/>
      <c r="AP356"/>
      <c r="AQ356" s="145"/>
      <c r="AR356"/>
      <c r="AS356"/>
      <c r="AT356"/>
      <c r="AU356"/>
      <c r="AV356"/>
      <c r="AW356"/>
      <c r="AX356"/>
      <c r="AY356"/>
      <c r="AZ356"/>
      <c r="BA356"/>
      <c r="BB356"/>
      <c r="BC356" s="578"/>
      <c r="BD356" s="578"/>
      <c r="BE356"/>
      <c r="BF356"/>
      <c r="BG356"/>
      <c r="BH356"/>
      <c r="BI356"/>
      <c r="BJ356"/>
      <c r="BK356"/>
    </row>
    <row r="357" spans="40:63" ht="12.75">
      <c r="AN357"/>
      <c r="AO357" s="293"/>
      <c r="AP357"/>
      <c r="AQ357" s="145"/>
      <c r="AR357"/>
      <c r="AS357"/>
      <c r="AT357"/>
      <c r="AU357"/>
      <c r="AV357"/>
      <c r="AW357"/>
      <c r="AX357"/>
      <c r="AY357"/>
      <c r="AZ357"/>
      <c r="BA357"/>
      <c r="BB357"/>
      <c r="BC357" s="578"/>
      <c r="BD357" s="578"/>
      <c r="BE357"/>
      <c r="BF357"/>
      <c r="BG357"/>
      <c r="BH357"/>
      <c r="BI357"/>
      <c r="BJ357"/>
      <c r="BK357"/>
    </row>
    <row r="358" spans="40:63" ht="12.75">
      <c r="AN358"/>
      <c r="AO358" s="293"/>
      <c r="AP358"/>
      <c r="AQ358" s="145"/>
      <c r="AR358"/>
      <c r="AS358"/>
      <c r="AT358"/>
      <c r="AU358"/>
      <c r="AV358"/>
      <c r="AW358"/>
      <c r="AX358"/>
      <c r="AY358"/>
      <c r="AZ358"/>
      <c r="BA358"/>
      <c r="BB358"/>
      <c r="BC358" s="578"/>
      <c r="BD358" s="578"/>
      <c r="BE358"/>
      <c r="BF358"/>
      <c r="BG358"/>
      <c r="BH358"/>
      <c r="BI358"/>
      <c r="BJ358"/>
      <c r="BK358"/>
    </row>
    <row r="359" spans="40:63" ht="12.75">
      <c r="AN359"/>
      <c r="AO359" s="293"/>
      <c r="AP359"/>
      <c r="AQ359" s="145"/>
      <c r="AR359"/>
      <c r="AS359"/>
      <c r="AT359"/>
      <c r="AU359"/>
      <c r="AV359"/>
      <c r="AW359"/>
      <c r="AX359"/>
      <c r="AY359"/>
      <c r="AZ359"/>
      <c r="BA359"/>
      <c r="BB359"/>
      <c r="BC359" s="578"/>
      <c r="BD359" s="578"/>
      <c r="BE359"/>
      <c r="BF359"/>
      <c r="BG359"/>
      <c r="BH359"/>
      <c r="BI359"/>
      <c r="BJ359"/>
      <c r="BK359"/>
    </row>
    <row r="360" spans="40:63" ht="12.75">
      <c r="AN360"/>
      <c r="AO360" s="293"/>
      <c r="AP360"/>
      <c r="AQ360" s="145"/>
      <c r="AR360"/>
      <c r="AS360"/>
      <c r="AT360"/>
      <c r="AU360"/>
      <c r="AV360"/>
      <c r="AW360"/>
      <c r="AX360"/>
      <c r="AY360"/>
      <c r="AZ360"/>
      <c r="BA360"/>
      <c r="BB360"/>
      <c r="BC360" s="578"/>
      <c r="BD360" s="578"/>
      <c r="BE360"/>
      <c r="BF360"/>
      <c r="BG360"/>
      <c r="BH360"/>
      <c r="BI360"/>
      <c r="BJ360"/>
      <c r="BK360"/>
    </row>
    <row r="361" spans="40:63" ht="12.75">
      <c r="AN361"/>
      <c r="AO361" s="293"/>
      <c r="AP361"/>
      <c r="AQ361" s="145"/>
      <c r="AR361"/>
      <c r="AS361"/>
      <c r="AT361"/>
      <c r="AU361"/>
      <c r="AV361"/>
      <c r="AW361"/>
      <c r="AX361"/>
      <c r="AY361"/>
      <c r="AZ361"/>
      <c r="BA361"/>
      <c r="BB361"/>
      <c r="BC361" s="578"/>
      <c r="BD361" s="578"/>
      <c r="BE361"/>
      <c r="BF361"/>
      <c r="BG361"/>
      <c r="BH361"/>
      <c r="BI361"/>
      <c r="BJ361"/>
      <c r="BK361"/>
    </row>
    <row r="362" spans="40:63" ht="12.75">
      <c r="AN362"/>
      <c r="AO362" s="293"/>
      <c r="AP362"/>
      <c r="AQ362" s="145"/>
      <c r="AR362"/>
      <c r="AS362"/>
      <c r="AT362"/>
      <c r="AU362"/>
      <c r="AV362"/>
      <c r="AW362"/>
      <c r="AX362"/>
      <c r="AY362"/>
      <c r="AZ362"/>
      <c r="BA362"/>
      <c r="BB362"/>
      <c r="BC362" s="578"/>
      <c r="BD362" s="578"/>
      <c r="BE362"/>
      <c r="BF362"/>
      <c r="BG362"/>
      <c r="BH362"/>
      <c r="BI362"/>
      <c r="BJ362"/>
      <c r="BK362"/>
    </row>
    <row r="363" spans="40:63" ht="12.75">
      <c r="AN363"/>
      <c r="AO363" s="293"/>
      <c r="AP363"/>
      <c r="AQ363" s="145"/>
      <c r="AR363"/>
      <c r="AS363"/>
      <c r="AT363"/>
      <c r="AU363"/>
      <c r="AV363"/>
      <c r="AW363"/>
      <c r="AX363"/>
      <c r="AY363"/>
      <c r="AZ363"/>
      <c r="BA363"/>
      <c r="BB363"/>
      <c r="BC363" s="578"/>
      <c r="BD363" s="578"/>
      <c r="BE363"/>
      <c r="BF363"/>
      <c r="BG363"/>
      <c r="BH363"/>
      <c r="BI363"/>
      <c r="BJ363"/>
      <c r="BK363"/>
    </row>
    <row r="364" spans="40:63" ht="12.75">
      <c r="AN364"/>
      <c r="AO364" s="293"/>
      <c r="AP364"/>
      <c r="AQ364" s="145"/>
      <c r="AR364"/>
      <c r="AS364"/>
      <c r="AT364"/>
      <c r="AU364"/>
      <c r="AV364"/>
      <c r="AW364"/>
      <c r="AX364"/>
      <c r="AY364"/>
      <c r="AZ364"/>
      <c r="BA364"/>
      <c r="BB364"/>
      <c r="BC364" s="578"/>
      <c r="BD364" s="578"/>
      <c r="BE364"/>
      <c r="BF364"/>
      <c r="BG364"/>
      <c r="BH364"/>
      <c r="BI364"/>
      <c r="BJ364"/>
      <c r="BK364"/>
    </row>
    <row r="365" spans="40:63" ht="12.75">
      <c r="AN365"/>
      <c r="AO365" s="293"/>
      <c r="AP365"/>
      <c r="AQ365" s="145"/>
      <c r="AR365"/>
      <c r="AS365"/>
      <c r="AT365"/>
      <c r="AU365"/>
      <c r="AV365"/>
      <c r="AW365"/>
      <c r="AX365"/>
      <c r="AY365"/>
      <c r="AZ365"/>
      <c r="BA365"/>
      <c r="BB365"/>
      <c r="BC365" s="578"/>
      <c r="BD365" s="578"/>
      <c r="BE365"/>
      <c r="BF365"/>
      <c r="BG365"/>
      <c r="BH365"/>
      <c r="BI365"/>
      <c r="BJ365"/>
      <c r="BK365"/>
    </row>
    <row r="366" spans="40:63" ht="12.75">
      <c r="AN366"/>
      <c r="AO366" s="293"/>
      <c r="AP366"/>
      <c r="AQ366" s="145"/>
      <c r="AR366"/>
      <c r="AS366"/>
      <c r="AT366"/>
      <c r="AU366"/>
      <c r="AV366"/>
      <c r="AW366"/>
      <c r="AX366"/>
      <c r="AY366"/>
      <c r="AZ366"/>
      <c r="BA366"/>
      <c r="BB366"/>
      <c r="BC366" s="578"/>
      <c r="BD366" s="578"/>
      <c r="BE366"/>
      <c r="BF366"/>
      <c r="BG366"/>
      <c r="BH366"/>
      <c r="BI366"/>
      <c r="BJ366"/>
      <c r="BK366"/>
    </row>
    <row r="367" spans="40:63" ht="12.75">
      <c r="AN367"/>
      <c r="AO367" s="293"/>
      <c r="AP367"/>
      <c r="AQ367" s="145"/>
      <c r="AR367"/>
      <c r="AS367"/>
      <c r="AT367"/>
      <c r="AU367"/>
      <c r="AV367"/>
      <c r="AW367"/>
      <c r="AX367"/>
      <c r="AY367"/>
      <c r="AZ367"/>
      <c r="BA367"/>
      <c r="BB367"/>
      <c r="BC367" s="578"/>
      <c r="BD367" s="578"/>
      <c r="BE367"/>
      <c r="BF367"/>
      <c r="BG367"/>
      <c r="BH367"/>
      <c r="BI367"/>
      <c r="BJ367"/>
      <c r="BK367"/>
    </row>
    <row r="368" spans="40:63" ht="12.75">
      <c r="AN368"/>
      <c r="AO368" s="293"/>
      <c r="AP368"/>
      <c r="AQ368" s="145"/>
      <c r="AR368"/>
      <c r="AS368"/>
      <c r="AT368"/>
      <c r="AU368"/>
      <c r="AV368"/>
      <c r="AW368"/>
      <c r="AX368"/>
      <c r="AY368"/>
      <c r="AZ368"/>
      <c r="BA368"/>
      <c r="BB368"/>
      <c r="BC368" s="578"/>
      <c r="BD368" s="578"/>
      <c r="BE368"/>
      <c r="BF368"/>
      <c r="BG368"/>
      <c r="BH368"/>
      <c r="BI368"/>
      <c r="BJ368"/>
      <c r="BK368"/>
    </row>
    <row r="369" spans="40:63" ht="12.75">
      <c r="AN369"/>
      <c r="AO369" s="293"/>
      <c r="AP369"/>
      <c r="AQ369" s="145"/>
      <c r="AR369"/>
      <c r="AS369"/>
      <c r="AT369"/>
      <c r="AU369"/>
      <c r="AV369"/>
      <c r="AW369"/>
      <c r="AX369"/>
      <c r="AY369"/>
      <c r="AZ369"/>
      <c r="BA369"/>
      <c r="BB369"/>
      <c r="BC369" s="578"/>
      <c r="BD369" s="578"/>
      <c r="BE369"/>
      <c r="BF369"/>
      <c r="BG369"/>
      <c r="BH369"/>
      <c r="BI369"/>
      <c r="BJ369"/>
      <c r="BK369"/>
    </row>
    <row r="370" spans="40:63" ht="12.75">
      <c r="AN370"/>
      <c r="AO370" s="293"/>
      <c r="AP370"/>
      <c r="AQ370" s="145"/>
      <c r="AR370"/>
      <c r="AS370"/>
      <c r="AT370"/>
      <c r="AU370"/>
      <c r="AV370"/>
      <c r="AW370"/>
      <c r="AX370"/>
      <c r="AY370"/>
      <c r="AZ370"/>
      <c r="BA370"/>
      <c r="BB370"/>
      <c r="BC370" s="578"/>
      <c r="BD370" s="578"/>
      <c r="BE370"/>
      <c r="BF370"/>
      <c r="BG370"/>
      <c r="BH370"/>
      <c r="BI370"/>
      <c r="BJ370"/>
      <c r="BK370"/>
    </row>
    <row r="371" spans="40:63" ht="12.75">
      <c r="AN371"/>
      <c r="AO371" s="293"/>
      <c r="AP371"/>
      <c r="AQ371" s="145"/>
      <c r="AR371"/>
      <c r="AS371"/>
      <c r="AT371"/>
      <c r="AU371"/>
      <c r="AV371"/>
      <c r="AW371"/>
      <c r="AX371"/>
      <c r="AY371"/>
      <c r="AZ371"/>
      <c r="BA371"/>
      <c r="BB371"/>
      <c r="BC371" s="578"/>
      <c r="BD371" s="578"/>
      <c r="BE371"/>
      <c r="BF371"/>
      <c r="BG371"/>
      <c r="BH371"/>
      <c r="BI371"/>
      <c r="BJ371"/>
      <c r="BK371"/>
    </row>
    <row r="372" spans="40:63" ht="12.75">
      <c r="AN372"/>
      <c r="AO372" s="293"/>
      <c r="AP372"/>
      <c r="AQ372" s="145"/>
      <c r="AR372"/>
      <c r="AS372"/>
      <c r="AT372"/>
      <c r="AU372"/>
      <c r="AV372"/>
      <c r="AW372"/>
      <c r="AX372"/>
      <c r="AY372"/>
      <c r="AZ372"/>
      <c r="BA372"/>
      <c r="BB372"/>
      <c r="BC372" s="578"/>
      <c r="BD372" s="578"/>
      <c r="BE372"/>
      <c r="BF372"/>
      <c r="BG372"/>
      <c r="BH372"/>
      <c r="BI372"/>
      <c r="BJ372"/>
      <c r="BK372"/>
    </row>
    <row r="373" spans="40:63" ht="12.75">
      <c r="AN373"/>
      <c r="AO373" s="293"/>
      <c r="AP373"/>
      <c r="AQ373" s="145"/>
      <c r="AR373"/>
      <c r="AS373"/>
      <c r="AT373"/>
      <c r="AU373"/>
      <c r="AV373"/>
      <c r="AW373"/>
      <c r="AX373"/>
      <c r="AY373"/>
      <c r="AZ373"/>
      <c r="BA373"/>
      <c r="BB373"/>
      <c r="BC373" s="578"/>
      <c r="BD373" s="578"/>
      <c r="BE373"/>
      <c r="BF373"/>
      <c r="BG373"/>
      <c r="BH373"/>
      <c r="BI373"/>
      <c r="BJ373"/>
      <c r="BK373"/>
    </row>
    <row r="374" spans="40:63" ht="12.75">
      <c r="AN374"/>
      <c r="AO374" s="293"/>
      <c r="AP374"/>
      <c r="AQ374" s="145"/>
      <c r="AR374"/>
      <c r="AS374"/>
      <c r="AT374"/>
      <c r="AU374"/>
      <c r="AV374"/>
      <c r="AW374"/>
      <c r="AX374"/>
      <c r="AY374"/>
      <c r="AZ374"/>
      <c r="BA374"/>
      <c r="BB374"/>
      <c r="BC374" s="578"/>
      <c r="BD374" s="578"/>
      <c r="BE374"/>
      <c r="BF374"/>
      <c r="BG374"/>
      <c r="BH374"/>
      <c r="BI374"/>
      <c r="BJ374"/>
      <c r="BK374"/>
    </row>
    <row r="375" spans="40:63" ht="12.75">
      <c r="AN375"/>
      <c r="AO375" s="293"/>
      <c r="AP375"/>
      <c r="AQ375" s="145"/>
      <c r="AR375"/>
      <c r="AS375"/>
      <c r="AT375"/>
      <c r="AU375"/>
      <c r="AV375"/>
      <c r="AW375"/>
      <c r="AX375"/>
      <c r="AY375"/>
      <c r="AZ375"/>
      <c r="BA375"/>
      <c r="BB375"/>
      <c r="BC375" s="578"/>
      <c r="BD375" s="578"/>
      <c r="BE375"/>
      <c r="BF375"/>
      <c r="BG375"/>
      <c r="BH375"/>
      <c r="BI375"/>
      <c r="BJ375"/>
      <c r="BK375"/>
    </row>
    <row r="376" spans="40:63" ht="12.75">
      <c r="AN376"/>
      <c r="AO376" s="293"/>
      <c r="AP376"/>
      <c r="AQ376" s="145"/>
      <c r="AR376"/>
      <c r="AS376"/>
      <c r="AT376"/>
      <c r="AU376"/>
      <c r="AV376"/>
      <c r="AW376"/>
      <c r="AX376"/>
      <c r="AY376"/>
      <c r="AZ376"/>
      <c r="BA376"/>
      <c r="BB376"/>
      <c r="BC376" s="578"/>
      <c r="BD376" s="578"/>
      <c r="BE376"/>
      <c r="BF376"/>
      <c r="BG376"/>
      <c r="BH376"/>
      <c r="BI376"/>
      <c r="BJ376"/>
      <c r="BK376"/>
    </row>
    <row r="377" spans="40:63" ht="12.75">
      <c r="AN377"/>
      <c r="AO377" s="293"/>
      <c r="AP377"/>
      <c r="AQ377" s="145"/>
      <c r="AR377"/>
      <c r="AS377"/>
      <c r="AT377"/>
      <c r="AU377"/>
      <c r="AV377"/>
      <c r="AW377"/>
      <c r="AX377"/>
      <c r="AY377"/>
      <c r="AZ377"/>
      <c r="BA377"/>
      <c r="BB377"/>
      <c r="BC377" s="578"/>
      <c r="BD377" s="578"/>
      <c r="BE377"/>
      <c r="BF377"/>
      <c r="BG377"/>
      <c r="BH377"/>
      <c r="BI377"/>
      <c r="BJ377"/>
      <c r="BK377"/>
    </row>
    <row r="378" spans="40:63" ht="12.75">
      <c r="AN378"/>
      <c r="AO378" s="293"/>
      <c r="AP378"/>
      <c r="AQ378" s="145"/>
      <c r="AR378"/>
      <c r="AS378"/>
      <c r="AT378"/>
      <c r="AU378"/>
      <c r="AV378"/>
      <c r="AW378"/>
      <c r="AX378"/>
      <c r="AY378"/>
      <c r="AZ378"/>
      <c r="BA378"/>
      <c r="BB378"/>
      <c r="BC378" s="578"/>
      <c r="BD378" s="578"/>
      <c r="BE378"/>
      <c r="BF378"/>
      <c r="BG378"/>
      <c r="BH378"/>
      <c r="BI378"/>
      <c r="BJ378"/>
      <c r="BK378"/>
    </row>
    <row r="379" spans="40:63" ht="12.75">
      <c r="AN379"/>
      <c r="AO379" s="293"/>
      <c r="AP379"/>
      <c r="AQ379" s="145"/>
      <c r="AR379"/>
      <c r="AS379"/>
      <c r="AT379"/>
      <c r="AU379"/>
      <c r="AV379"/>
      <c r="AW379"/>
      <c r="AX379"/>
      <c r="AY379"/>
      <c r="AZ379"/>
      <c r="BA379"/>
      <c r="BB379"/>
      <c r="BC379" s="578"/>
      <c r="BD379" s="578"/>
      <c r="BE379"/>
      <c r="BF379"/>
      <c r="BG379"/>
      <c r="BH379"/>
      <c r="BI379"/>
      <c r="BJ379"/>
      <c r="BK379"/>
    </row>
    <row r="380" spans="40:63" ht="12.75">
      <c r="AN380"/>
      <c r="AO380" s="293"/>
      <c r="AP380"/>
      <c r="AQ380" s="145"/>
      <c r="AR380"/>
      <c r="AS380"/>
      <c r="AT380"/>
      <c r="AU380"/>
      <c r="AV380"/>
      <c r="AW380"/>
      <c r="AX380"/>
      <c r="AY380"/>
      <c r="AZ380"/>
      <c r="BA380"/>
      <c r="BB380"/>
      <c r="BC380" s="578"/>
      <c r="BD380" s="578"/>
      <c r="BE380"/>
      <c r="BF380"/>
      <c r="BG380"/>
      <c r="BH380"/>
      <c r="BI380"/>
      <c r="BJ380"/>
      <c r="BK380"/>
    </row>
    <row r="381" spans="40:63" ht="12.75">
      <c r="AN381"/>
      <c r="AO381" s="293"/>
      <c r="AP381"/>
      <c r="AQ381" s="145"/>
      <c r="AR381"/>
      <c r="AS381"/>
      <c r="AT381"/>
      <c r="AU381"/>
      <c r="AV381"/>
      <c r="AW381"/>
      <c r="AX381"/>
      <c r="AY381"/>
      <c r="AZ381"/>
      <c r="BA381"/>
      <c r="BB381"/>
      <c r="BC381" s="578"/>
      <c r="BD381" s="578"/>
      <c r="BE381"/>
      <c r="BF381"/>
      <c r="BG381"/>
      <c r="BH381"/>
      <c r="BI381"/>
      <c r="BJ381"/>
      <c r="BK381"/>
    </row>
    <row r="382" spans="40:63" ht="12.75">
      <c r="AN382"/>
      <c r="AO382" s="293"/>
      <c r="AP382"/>
      <c r="AQ382" s="145"/>
      <c r="AR382"/>
      <c r="AS382"/>
      <c r="AT382"/>
      <c r="AU382"/>
      <c r="AV382"/>
      <c r="AW382"/>
      <c r="AX382"/>
      <c r="AY382"/>
      <c r="AZ382"/>
      <c r="BA382"/>
      <c r="BB382"/>
      <c r="BC382" s="578"/>
      <c r="BD382" s="578"/>
      <c r="BE382"/>
      <c r="BF382"/>
      <c r="BG382"/>
      <c r="BH382"/>
      <c r="BI382"/>
      <c r="BJ382"/>
      <c r="BK382"/>
    </row>
    <row r="383" spans="40:63" ht="12.75">
      <c r="AN383"/>
      <c r="AO383" s="293"/>
      <c r="AP383"/>
      <c r="AQ383" s="145"/>
      <c r="AR383"/>
      <c r="AS383"/>
      <c r="AT383"/>
      <c r="AU383"/>
      <c r="AV383"/>
      <c r="AW383"/>
      <c r="AX383"/>
      <c r="AY383"/>
      <c r="AZ383"/>
      <c r="BA383"/>
      <c r="BB383"/>
      <c r="BC383" s="578"/>
      <c r="BD383" s="578"/>
      <c r="BE383"/>
      <c r="BF383"/>
      <c r="BG383"/>
      <c r="BH383"/>
      <c r="BI383"/>
      <c r="BJ383"/>
      <c r="BK383"/>
    </row>
    <row r="384" spans="40:63" ht="12.75">
      <c r="AN384"/>
      <c r="AO384" s="293"/>
      <c r="AP384"/>
      <c r="AQ384" s="145"/>
      <c r="AR384"/>
      <c r="AS384"/>
      <c r="AT384"/>
      <c r="AU384"/>
      <c r="AV384"/>
      <c r="AW384"/>
      <c r="AX384"/>
      <c r="AY384"/>
      <c r="AZ384"/>
      <c r="BA384"/>
      <c r="BB384"/>
      <c r="BC384" s="578"/>
      <c r="BD384" s="578"/>
      <c r="BE384"/>
      <c r="BF384"/>
      <c r="BG384"/>
      <c r="BH384"/>
      <c r="BI384"/>
      <c r="BJ384"/>
      <c r="BK384"/>
    </row>
    <row r="385" spans="40:63" ht="12.75">
      <c r="AN385"/>
      <c r="AO385" s="293"/>
      <c r="AP385"/>
      <c r="AQ385" s="145"/>
      <c r="AR385"/>
      <c r="AS385"/>
      <c r="AT385"/>
      <c r="AU385"/>
      <c r="AV385"/>
      <c r="AW385"/>
      <c r="AX385"/>
      <c r="AY385"/>
      <c r="AZ385"/>
      <c r="BA385"/>
      <c r="BB385"/>
      <c r="BC385" s="578"/>
      <c r="BD385" s="578"/>
      <c r="BE385"/>
      <c r="BF385"/>
      <c r="BG385"/>
      <c r="BH385"/>
      <c r="BI385"/>
      <c r="BJ385"/>
      <c r="BK385"/>
    </row>
    <row r="386" spans="40:63" ht="12.75">
      <c r="AN386"/>
      <c r="AO386" s="293"/>
      <c r="AP386"/>
      <c r="AQ386" s="145"/>
      <c r="AR386"/>
      <c r="AS386"/>
      <c r="AT386"/>
      <c r="AU386"/>
      <c r="AV386"/>
      <c r="AW386"/>
      <c r="AX386"/>
      <c r="AY386"/>
      <c r="AZ386"/>
      <c r="BA386"/>
      <c r="BB386"/>
      <c r="BC386" s="578"/>
      <c r="BD386" s="578"/>
      <c r="BE386"/>
      <c r="BF386"/>
      <c r="BG386"/>
      <c r="BH386"/>
      <c r="BI386"/>
      <c r="BJ386"/>
      <c r="BK386"/>
    </row>
    <row r="387" spans="40:63" ht="12.75">
      <c r="AN387"/>
      <c r="AO387" s="293"/>
      <c r="AP387"/>
      <c r="AQ387" s="145"/>
      <c r="AR387"/>
      <c r="AS387"/>
      <c r="AT387"/>
      <c r="AU387"/>
      <c r="AV387"/>
      <c r="AW387"/>
      <c r="AX387"/>
      <c r="AY387"/>
      <c r="AZ387"/>
      <c r="BA387"/>
      <c r="BB387"/>
      <c r="BC387" s="578"/>
      <c r="BD387" s="578"/>
      <c r="BE387"/>
      <c r="BF387"/>
      <c r="BG387"/>
      <c r="BH387"/>
      <c r="BI387"/>
      <c r="BJ387"/>
      <c r="BK387"/>
    </row>
    <row r="388" spans="40:63" ht="12.75">
      <c r="AN388"/>
      <c r="AO388" s="293"/>
      <c r="AP388"/>
      <c r="AQ388" s="145"/>
      <c r="AR388"/>
      <c r="AS388"/>
      <c r="AT388"/>
      <c r="AU388"/>
      <c r="AV388"/>
      <c r="AW388"/>
      <c r="AX388"/>
      <c r="AY388"/>
      <c r="AZ388"/>
      <c r="BA388"/>
      <c r="BB388"/>
      <c r="BC388" s="578"/>
      <c r="BD388" s="578"/>
      <c r="BE388"/>
      <c r="BF388"/>
      <c r="BG388"/>
      <c r="BH388"/>
      <c r="BI388"/>
      <c r="BJ388"/>
      <c r="BK388"/>
    </row>
    <row r="389" spans="40:63" ht="12.75">
      <c r="AN389"/>
      <c r="AO389" s="293"/>
      <c r="AP389"/>
      <c r="AQ389" s="145"/>
      <c r="AR389"/>
      <c r="AS389"/>
      <c r="AT389"/>
      <c r="AU389"/>
      <c r="AV389"/>
      <c r="AW389"/>
      <c r="AX389"/>
      <c r="AY389"/>
      <c r="AZ389"/>
      <c r="BA389"/>
      <c r="BB389"/>
      <c r="BC389" s="578"/>
      <c r="BD389" s="578"/>
      <c r="BE389"/>
      <c r="BF389"/>
      <c r="BG389"/>
      <c r="BH389"/>
      <c r="BI389"/>
      <c r="BJ389"/>
      <c r="BK389"/>
    </row>
    <row r="390" spans="40:63" ht="12.75">
      <c r="AN390"/>
      <c r="AO390" s="293"/>
      <c r="AP390"/>
      <c r="AQ390" s="145"/>
      <c r="AR390"/>
      <c r="AS390"/>
      <c r="AT390"/>
      <c r="AU390"/>
      <c r="AV390"/>
      <c r="AW390"/>
      <c r="AX390"/>
      <c r="AY390"/>
      <c r="AZ390"/>
      <c r="BA390"/>
      <c r="BB390"/>
      <c r="BC390" s="578"/>
      <c r="BD390" s="578"/>
      <c r="BE390"/>
      <c r="BF390"/>
      <c r="BG390"/>
      <c r="BH390"/>
      <c r="BI390"/>
      <c r="BJ390"/>
      <c r="BK390"/>
    </row>
    <row r="391" spans="40:63" ht="12.75">
      <c r="AN391"/>
      <c r="AO391" s="293"/>
      <c r="AP391"/>
      <c r="AQ391" s="145"/>
      <c r="AR391"/>
      <c r="AS391"/>
      <c r="AT391"/>
      <c r="AU391"/>
      <c r="AV391"/>
      <c r="AW391"/>
      <c r="AX391"/>
      <c r="AY391"/>
      <c r="AZ391"/>
      <c r="BA391"/>
      <c r="BB391"/>
      <c r="BC391" s="578"/>
      <c r="BD391" s="578"/>
      <c r="BE391"/>
      <c r="BF391"/>
      <c r="BG391"/>
      <c r="BH391"/>
      <c r="BI391"/>
      <c r="BJ391"/>
      <c r="BK391"/>
    </row>
    <row r="392" spans="40:63" ht="12.75">
      <c r="AN392"/>
      <c r="AO392" s="293"/>
      <c r="AP392"/>
      <c r="AQ392" s="145"/>
      <c r="AR392"/>
      <c r="AS392"/>
      <c r="AT392"/>
      <c r="AU392"/>
      <c r="AV392"/>
      <c r="AW392"/>
      <c r="AX392"/>
      <c r="AY392"/>
      <c r="AZ392"/>
      <c r="BA392"/>
      <c r="BB392"/>
      <c r="BC392" s="578"/>
      <c r="BD392" s="578"/>
      <c r="BE392"/>
      <c r="BF392"/>
      <c r="BG392"/>
      <c r="BH392"/>
      <c r="BI392"/>
      <c r="BJ392"/>
      <c r="BK392"/>
    </row>
    <row r="393" spans="40:63" ht="12.75">
      <c r="AN393"/>
      <c r="AO393" s="293"/>
      <c r="AP393"/>
      <c r="AQ393" s="145"/>
      <c r="AR393"/>
      <c r="AS393"/>
      <c r="AT393"/>
      <c r="AU393"/>
      <c r="AV393"/>
      <c r="AW393"/>
      <c r="AX393"/>
      <c r="AY393"/>
      <c r="AZ393"/>
      <c r="BA393"/>
      <c r="BB393"/>
      <c r="BC393" s="578"/>
      <c r="BD393" s="578"/>
      <c r="BE393"/>
      <c r="BF393"/>
      <c r="BG393"/>
      <c r="BH393"/>
      <c r="BI393"/>
      <c r="BJ393"/>
      <c r="BK393"/>
    </row>
    <row r="394" spans="40:63" ht="12.75">
      <c r="AN394"/>
      <c r="AO394" s="293"/>
      <c r="AP394"/>
      <c r="AQ394" s="145"/>
      <c r="AR394"/>
      <c r="AS394"/>
      <c r="AT394"/>
      <c r="AU394"/>
      <c r="AV394"/>
      <c r="AW394"/>
      <c r="AX394"/>
      <c r="AY394"/>
      <c r="AZ394"/>
      <c r="BA394"/>
      <c r="BB394"/>
      <c r="BC394" s="578"/>
      <c r="BD394" s="578"/>
      <c r="BE394"/>
      <c r="BF394"/>
      <c r="BG394"/>
      <c r="BH394"/>
      <c r="BI394"/>
      <c r="BJ394"/>
      <c r="BK394"/>
    </row>
    <row r="395" spans="40:63" ht="12.75">
      <c r="AN395"/>
      <c r="AO395" s="293"/>
      <c r="AP395"/>
      <c r="AQ395" s="145"/>
      <c r="AR395"/>
      <c r="AS395"/>
      <c r="AT395"/>
      <c r="AU395"/>
      <c r="AV395"/>
      <c r="AW395"/>
      <c r="AX395"/>
      <c r="AY395"/>
      <c r="AZ395"/>
      <c r="BA395"/>
      <c r="BB395"/>
      <c r="BC395" s="578"/>
      <c r="BD395" s="578"/>
      <c r="BE395"/>
      <c r="BF395"/>
      <c r="BG395"/>
      <c r="BH395"/>
      <c r="BI395"/>
      <c r="BJ395"/>
      <c r="BK395"/>
    </row>
    <row r="396" spans="40:63" ht="12.75">
      <c r="AN396"/>
      <c r="AO396" s="293"/>
      <c r="AP396"/>
      <c r="AQ396" s="145"/>
      <c r="AR396"/>
      <c r="AS396"/>
      <c r="AT396"/>
      <c r="AU396"/>
      <c r="AV396"/>
      <c r="AW396"/>
      <c r="AX396"/>
      <c r="AY396"/>
      <c r="AZ396"/>
      <c r="BA396"/>
      <c r="BB396"/>
      <c r="BC396" s="578"/>
      <c r="BD396" s="578"/>
      <c r="BE396"/>
      <c r="BF396"/>
      <c r="BG396"/>
      <c r="BH396"/>
      <c r="BI396"/>
      <c r="BJ396"/>
      <c r="BK396"/>
    </row>
    <row r="397" spans="40:63" ht="12.75">
      <c r="AN397"/>
      <c r="AO397" s="293"/>
      <c r="AP397"/>
      <c r="AQ397" s="145"/>
      <c r="AR397"/>
      <c r="AS397"/>
      <c r="AT397"/>
      <c r="AU397"/>
      <c r="AV397"/>
      <c r="AW397"/>
      <c r="AX397"/>
      <c r="AY397"/>
      <c r="AZ397"/>
      <c r="BA397"/>
      <c r="BB397"/>
      <c r="BC397" s="578"/>
      <c r="BD397" s="578"/>
      <c r="BE397"/>
      <c r="BF397"/>
      <c r="BG397"/>
      <c r="BH397"/>
      <c r="BI397"/>
      <c r="BJ397"/>
      <c r="BK397"/>
    </row>
    <row r="398" spans="40:63" ht="12.75">
      <c r="AN398"/>
      <c r="AO398" s="293"/>
      <c r="AP398"/>
      <c r="AQ398" s="145"/>
      <c r="AR398"/>
      <c r="AS398"/>
      <c r="AT398"/>
      <c r="AU398"/>
      <c r="AV398"/>
      <c r="AW398"/>
      <c r="AX398"/>
      <c r="AY398"/>
      <c r="AZ398"/>
      <c r="BA398"/>
      <c r="BB398"/>
      <c r="BC398" s="578"/>
      <c r="BD398" s="578"/>
      <c r="BE398"/>
      <c r="BF398"/>
      <c r="BG398"/>
      <c r="BH398"/>
      <c r="BI398"/>
      <c r="BJ398"/>
      <c r="BK398"/>
    </row>
    <row r="399" spans="40:63" ht="12.75">
      <c r="AN399"/>
      <c r="AO399" s="293"/>
      <c r="AP399"/>
      <c r="AQ399" s="145"/>
      <c r="AR399"/>
      <c r="AS399"/>
      <c r="AT399"/>
      <c r="AU399"/>
      <c r="AV399"/>
      <c r="AW399"/>
      <c r="AX399"/>
      <c r="AY399"/>
      <c r="AZ399"/>
      <c r="BA399"/>
      <c r="BB399"/>
      <c r="BC399" s="578"/>
      <c r="BD399" s="578"/>
      <c r="BE399"/>
      <c r="BF399"/>
      <c r="BG399"/>
      <c r="BH399"/>
      <c r="BI399"/>
      <c r="BJ399"/>
      <c r="BK399"/>
    </row>
    <row r="400" spans="40:63" ht="12.75">
      <c r="AN400"/>
      <c r="AO400" s="293"/>
      <c r="AP400"/>
      <c r="AQ400" s="145"/>
      <c r="AR400"/>
      <c r="AS400"/>
      <c r="AT400"/>
      <c r="AU400"/>
      <c r="AV400"/>
      <c r="AW400"/>
      <c r="AX400"/>
      <c r="AY400"/>
      <c r="AZ400"/>
      <c r="BA400"/>
      <c r="BB400"/>
      <c r="BC400" s="578"/>
      <c r="BD400" s="578"/>
      <c r="BE400"/>
      <c r="BF400"/>
      <c r="BG400"/>
      <c r="BH400"/>
      <c r="BI400"/>
      <c r="BJ400"/>
      <c r="BK400"/>
    </row>
    <row r="401" spans="40:63" ht="12.75">
      <c r="AN401"/>
      <c r="AO401" s="293"/>
      <c r="AP401"/>
      <c r="AQ401" s="145"/>
      <c r="AR401"/>
      <c r="AS401"/>
      <c r="AT401"/>
      <c r="AU401"/>
      <c r="AV401"/>
      <c r="AW401"/>
      <c r="AX401"/>
      <c r="AY401"/>
      <c r="AZ401"/>
      <c r="BA401"/>
      <c r="BB401"/>
      <c r="BC401" s="578"/>
      <c r="BD401" s="578"/>
      <c r="BE401"/>
      <c r="BF401"/>
      <c r="BG401"/>
      <c r="BH401"/>
      <c r="BI401"/>
      <c r="BJ401"/>
      <c r="BK401"/>
    </row>
    <row r="402" spans="40:63" ht="12.75">
      <c r="AN402"/>
      <c r="AO402" s="293"/>
      <c r="AP402"/>
      <c r="AQ402" s="145"/>
      <c r="AR402"/>
      <c r="AS402"/>
      <c r="AT402"/>
      <c r="AU402"/>
      <c r="AV402"/>
      <c r="AW402"/>
      <c r="AX402"/>
      <c r="AY402"/>
      <c r="AZ402"/>
      <c r="BA402"/>
      <c r="BB402"/>
      <c r="BC402" s="578"/>
      <c r="BD402" s="578"/>
      <c r="BE402"/>
      <c r="BF402"/>
      <c r="BG402"/>
      <c r="BH402"/>
      <c r="BI402"/>
      <c r="BJ402"/>
      <c r="BK402"/>
    </row>
    <row r="403" spans="40:63" ht="12.75">
      <c r="AN403"/>
      <c r="AO403" s="293"/>
      <c r="AP403"/>
      <c r="AQ403" s="145"/>
      <c r="AR403"/>
      <c r="AS403"/>
      <c r="AT403"/>
      <c r="AU403"/>
      <c r="AV403"/>
      <c r="AW403"/>
      <c r="AX403"/>
      <c r="AY403"/>
      <c r="AZ403"/>
      <c r="BA403"/>
      <c r="BB403"/>
      <c r="BC403" s="578"/>
      <c r="BD403" s="578"/>
      <c r="BE403"/>
      <c r="BF403"/>
      <c r="BG403"/>
      <c r="BH403"/>
      <c r="BI403"/>
      <c r="BJ403"/>
      <c r="BK403"/>
    </row>
    <row r="404" spans="40:63" ht="12.75">
      <c r="AN404"/>
      <c r="AO404" s="293"/>
      <c r="AP404"/>
      <c r="AQ404" s="145"/>
      <c r="AR404"/>
      <c r="AS404"/>
      <c r="AT404"/>
      <c r="AU404"/>
      <c r="AV404"/>
      <c r="AW404"/>
      <c r="AX404"/>
      <c r="AY404"/>
      <c r="AZ404"/>
      <c r="BA404"/>
      <c r="BB404"/>
      <c r="BC404" s="578"/>
      <c r="BD404" s="578"/>
      <c r="BE404"/>
      <c r="BF404"/>
      <c r="BG404"/>
      <c r="BH404"/>
      <c r="BI404"/>
      <c r="BJ404"/>
      <c r="BK404"/>
    </row>
    <row r="405" spans="40:63" ht="12.75">
      <c r="AN405"/>
      <c r="AO405" s="293"/>
      <c r="AP405"/>
      <c r="AQ405" s="145"/>
      <c r="AR405"/>
      <c r="AS405"/>
      <c r="AT405"/>
      <c r="AU405"/>
      <c r="AV405"/>
      <c r="AW405"/>
      <c r="AX405"/>
      <c r="AY405"/>
      <c r="AZ405"/>
      <c r="BA405"/>
      <c r="BB405"/>
      <c r="BC405" s="578"/>
      <c r="BD405" s="578"/>
      <c r="BE405"/>
      <c r="BF405"/>
      <c r="BG405"/>
      <c r="BH405"/>
      <c r="BI405"/>
      <c r="BJ405"/>
      <c r="BK405"/>
    </row>
    <row r="406" spans="40:63" ht="12.75">
      <c r="AN406"/>
      <c r="AO406" s="293"/>
      <c r="AP406"/>
      <c r="AQ406" s="145"/>
      <c r="AR406"/>
      <c r="AS406"/>
      <c r="AT406"/>
      <c r="AU406"/>
      <c r="AV406"/>
      <c r="AW406"/>
      <c r="AX406"/>
      <c r="AY406"/>
      <c r="AZ406"/>
      <c r="BA406"/>
      <c r="BB406"/>
      <c r="BC406" s="578"/>
      <c r="BD406" s="578"/>
      <c r="BE406"/>
      <c r="BF406"/>
      <c r="BG406"/>
      <c r="BH406"/>
      <c r="BI406"/>
      <c r="BJ406"/>
      <c r="BK406"/>
    </row>
    <row r="407" spans="40:63" ht="12.75">
      <c r="AN407"/>
      <c r="AO407" s="293"/>
      <c r="AP407"/>
      <c r="AQ407" s="145"/>
      <c r="AR407"/>
      <c r="AS407"/>
      <c r="AT407"/>
      <c r="AU407"/>
      <c r="AV407"/>
      <c r="AW407"/>
      <c r="AX407"/>
      <c r="AY407"/>
      <c r="AZ407"/>
      <c r="BA407"/>
      <c r="BB407"/>
      <c r="BC407" s="578"/>
      <c r="BD407" s="578"/>
      <c r="BE407"/>
      <c r="BF407"/>
      <c r="BG407"/>
      <c r="BH407"/>
      <c r="BI407"/>
      <c r="BJ407"/>
      <c r="BK407"/>
    </row>
    <row r="408" spans="40:63" ht="12.75">
      <c r="AN408"/>
      <c r="AO408" s="293"/>
      <c r="AP408"/>
      <c r="AQ408" s="145"/>
      <c r="AR408"/>
      <c r="AS408"/>
      <c r="AT408"/>
      <c r="AU408"/>
      <c r="AV408"/>
      <c r="AW408"/>
      <c r="AX408"/>
      <c r="AY408"/>
      <c r="AZ408"/>
      <c r="BA408"/>
      <c r="BB408"/>
      <c r="BC408" s="578"/>
      <c r="BD408" s="578"/>
      <c r="BE408"/>
      <c r="BF408"/>
      <c r="BG408"/>
      <c r="BH408"/>
      <c r="BI408"/>
      <c r="BJ408"/>
      <c r="BK408"/>
    </row>
    <row r="409" spans="40:63" ht="12.75">
      <c r="AN409"/>
      <c r="AO409" s="293"/>
      <c r="AP409"/>
      <c r="AQ409" s="145"/>
      <c r="AR409"/>
      <c r="AS409"/>
      <c r="AT409"/>
      <c r="AU409"/>
      <c r="AV409"/>
      <c r="AW409"/>
      <c r="AX409"/>
      <c r="AY409"/>
      <c r="AZ409"/>
      <c r="BA409"/>
      <c r="BB409"/>
      <c r="BC409" s="578"/>
      <c r="BD409" s="578"/>
      <c r="BE409"/>
      <c r="BF409"/>
      <c r="BG409"/>
      <c r="BH409"/>
      <c r="BI409"/>
      <c r="BJ409"/>
      <c r="BK409"/>
    </row>
    <row r="410" spans="40:63" ht="12.75">
      <c r="AN410"/>
      <c r="AO410" s="293"/>
      <c r="AP410"/>
      <c r="AQ410" s="145"/>
      <c r="AR410"/>
      <c r="AS410"/>
      <c r="AT410"/>
      <c r="AU410"/>
      <c r="AV410"/>
      <c r="AW410"/>
      <c r="AX410"/>
      <c r="AY410"/>
      <c r="AZ410"/>
      <c r="BA410"/>
      <c r="BB410"/>
      <c r="BC410" s="578"/>
      <c r="BD410" s="578"/>
      <c r="BE410"/>
      <c r="BF410"/>
      <c r="BG410"/>
      <c r="BH410"/>
      <c r="BI410"/>
      <c r="BJ410"/>
      <c r="BK410"/>
    </row>
    <row r="411" spans="40:63" ht="12.75">
      <c r="AN411"/>
      <c r="AO411" s="293"/>
      <c r="AP411"/>
      <c r="AQ411" s="145"/>
      <c r="AR411"/>
      <c r="AS411"/>
      <c r="AT411"/>
      <c r="AU411"/>
      <c r="AV411"/>
      <c r="AW411"/>
      <c r="AX411"/>
      <c r="AY411"/>
      <c r="AZ411"/>
      <c r="BA411"/>
      <c r="BB411"/>
      <c r="BC411" s="578"/>
      <c r="BD411" s="578"/>
      <c r="BE411"/>
      <c r="BF411"/>
      <c r="BG411"/>
      <c r="BH411"/>
      <c r="BI411"/>
      <c r="BJ411"/>
      <c r="BK411"/>
    </row>
    <row r="412" spans="40:63" ht="12.75">
      <c r="AN412"/>
      <c r="AO412" s="293"/>
      <c r="AP412"/>
      <c r="AQ412" s="145"/>
      <c r="AR412"/>
      <c r="AS412"/>
      <c r="AT412"/>
      <c r="AU412"/>
      <c r="AV412"/>
      <c r="AW412"/>
      <c r="AX412"/>
      <c r="AY412"/>
      <c r="AZ412"/>
      <c r="BA412"/>
      <c r="BB412"/>
      <c r="BC412" s="578"/>
      <c r="BD412" s="578"/>
      <c r="BE412"/>
      <c r="BF412"/>
      <c r="BG412"/>
      <c r="BH412"/>
      <c r="BI412"/>
      <c r="BJ412"/>
      <c r="BK412"/>
    </row>
    <row r="413" spans="40:63" ht="12.75">
      <c r="AN413"/>
      <c r="AO413" s="293"/>
      <c r="AP413"/>
      <c r="AQ413" s="145"/>
      <c r="AR413"/>
      <c r="AS413"/>
      <c r="AT413"/>
      <c r="AU413"/>
      <c r="AV413"/>
      <c r="AW413"/>
      <c r="AX413"/>
      <c r="AY413"/>
      <c r="AZ413"/>
      <c r="BA413"/>
      <c r="BB413"/>
      <c r="BC413" s="578"/>
      <c r="BD413" s="578"/>
      <c r="BE413"/>
      <c r="BF413"/>
      <c r="BG413"/>
      <c r="BH413"/>
      <c r="BI413"/>
      <c r="BJ413"/>
      <c r="BK413"/>
    </row>
    <row r="414" spans="40:63" ht="12.75">
      <c r="AN414"/>
      <c r="AO414" s="293"/>
      <c r="AP414"/>
      <c r="AQ414" s="145"/>
      <c r="AR414"/>
      <c r="AS414"/>
      <c r="AT414"/>
      <c r="AU414"/>
      <c r="AV414"/>
      <c r="AW414"/>
      <c r="AX414"/>
      <c r="AY414"/>
      <c r="AZ414"/>
      <c r="BA414"/>
      <c r="BB414"/>
      <c r="BC414" s="578"/>
      <c r="BD414" s="578"/>
      <c r="BE414"/>
      <c r="BF414"/>
      <c r="BG414"/>
      <c r="BH414"/>
      <c r="BI414"/>
      <c r="BJ414"/>
      <c r="BK414"/>
    </row>
    <row r="415" spans="40:63" ht="12.75">
      <c r="AN415"/>
      <c r="AO415" s="293"/>
      <c r="AP415"/>
      <c r="AQ415" s="145"/>
      <c r="AR415"/>
      <c r="AS415"/>
      <c r="AT415"/>
      <c r="AU415"/>
      <c r="AV415"/>
      <c r="AW415"/>
      <c r="AX415"/>
      <c r="AY415"/>
      <c r="AZ415"/>
      <c r="BA415"/>
      <c r="BB415"/>
      <c r="BC415" s="578"/>
      <c r="BD415" s="578"/>
      <c r="BE415"/>
      <c r="BF415"/>
      <c r="BG415"/>
      <c r="BH415"/>
      <c r="BI415"/>
      <c r="BJ415"/>
      <c r="BK415"/>
    </row>
    <row r="416" spans="40:63" ht="12.75">
      <c r="AN416"/>
      <c r="AO416" s="293"/>
      <c r="AP416"/>
      <c r="AQ416" s="145"/>
      <c r="AR416"/>
      <c r="AS416"/>
      <c r="AT416"/>
      <c r="AU416"/>
      <c r="AV416"/>
      <c r="AW416"/>
      <c r="AX416"/>
      <c r="AY416"/>
      <c r="AZ416"/>
      <c r="BA416"/>
      <c r="BB416"/>
      <c r="BC416" s="578"/>
      <c r="BD416" s="578"/>
      <c r="BE416"/>
      <c r="BF416"/>
      <c r="BG416"/>
      <c r="BH416"/>
      <c r="BI416"/>
      <c r="BJ416"/>
      <c r="BK416"/>
    </row>
    <row r="417" spans="40:63" ht="12.75">
      <c r="AN417"/>
      <c r="AO417" s="293"/>
      <c r="AP417"/>
      <c r="AQ417" s="145"/>
      <c r="AR417"/>
      <c r="AS417"/>
      <c r="AT417"/>
      <c r="AU417"/>
      <c r="AV417"/>
      <c r="AW417"/>
      <c r="AX417"/>
      <c r="AY417"/>
      <c r="AZ417"/>
      <c r="BA417"/>
      <c r="BB417"/>
      <c r="BC417" s="578"/>
      <c r="BD417" s="578"/>
      <c r="BE417"/>
      <c r="BF417"/>
      <c r="BG417"/>
      <c r="BH417"/>
      <c r="BI417"/>
      <c r="BJ417"/>
      <c r="BK417"/>
    </row>
    <row r="418" spans="40:63" ht="12.75">
      <c r="AN418"/>
      <c r="AO418" s="293"/>
      <c r="AP418"/>
      <c r="AQ418" s="145"/>
      <c r="AR418"/>
      <c r="AS418"/>
      <c r="AT418"/>
      <c r="AU418"/>
      <c r="AV418"/>
      <c r="AW418"/>
      <c r="AX418"/>
      <c r="AY418"/>
      <c r="AZ418"/>
      <c r="BA418"/>
      <c r="BB418"/>
      <c r="BC418" s="578"/>
      <c r="BD418" s="578"/>
      <c r="BE418"/>
      <c r="BF418"/>
      <c r="BG418"/>
      <c r="BH418"/>
      <c r="BI418"/>
      <c r="BJ418"/>
      <c r="BK418"/>
    </row>
    <row r="419" spans="40:63" ht="12.75">
      <c r="AN419"/>
      <c r="AO419" s="293"/>
      <c r="AP419"/>
      <c r="AQ419" s="145"/>
      <c r="AR419"/>
      <c r="AS419"/>
      <c r="AT419"/>
      <c r="AU419"/>
      <c r="AV419"/>
      <c r="AW419"/>
      <c r="AX419"/>
      <c r="AY419"/>
      <c r="AZ419"/>
      <c r="BA419"/>
      <c r="BB419"/>
      <c r="BC419" s="578"/>
      <c r="BD419" s="578"/>
      <c r="BE419"/>
      <c r="BF419"/>
      <c r="BG419"/>
      <c r="BH419"/>
      <c r="BI419"/>
      <c r="BJ419"/>
      <c r="BK419"/>
    </row>
    <row r="420" spans="40:63" ht="12.75">
      <c r="AN420"/>
      <c r="AO420" s="293"/>
      <c r="AP420"/>
      <c r="AQ420" s="145"/>
      <c r="AR420"/>
      <c r="AS420"/>
      <c r="AT420"/>
      <c r="AU420"/>
      <c r="AV420"/>
      <c r="AW420"/>
      <c r="AX420"/>
      <c r="AY420"/>
      <c r="AZ420"/>
      <c r="BA420"/>
      <c r="BB420"/>
      <c r="BC420" s="578"/>
      <c r="BD420" s="578"/>
      <c r="BE420"/>
      <c r="BF420"/>
      <c r="BG420"/>
      <c r="BH420"/>
      <c r="BI420"/>
      <c r="BJ420"/>
      <c r="BK420"/>
    </row>
    <row r="421" spans="40:63" ht="12.75">
      <c r="AN421"/>
      <c r="AO421" s="293"/>
      <c r="AP421"/>
      <c r="AQ421" s="145"/>
      <c r="AR421"/>
      <c r="AS421"/>
      <c r="AT421"/>
      <c r="AU421"/>
      <c r="AV421"/>
      <c r="AW421"/>
      <c r="AX421"/>
      <c r="AY421"/>
      <c r="AZ421"/>
      <c r="BA421"/>
      <c r="BB421"/>
      <c r="BC421" s="578"/>
      <c r="BD421" s="578"/>
      <c r="BE421"/>
      <c r="BF421"/>
      <c r="BG421"/>
      <c r="BH421"/>
      <c r="BI421"/>
      <c r="BJ421"/>
      <c r="BK421"/>
    </row>
    <row r="422" spans="40:63" ht="12.75">
      <c r="AN422"/>
      <c r="AO422" s="293"/>
      <c r="AP422"/>
      <c r="AQ422" s="145"/>
      <c r="AR422"/>
      <c r="AS422"/>
      <c r="AT422"/>
      <c r="AU422"/>
      <c r="AV422"/>
      <c r="AW422"/>
      <c r="AX422"/>
      <c r="AY422"/>
      <c r="AZ422"/>
      <c r="BA422"/>
      <c r="BB422"/>
      <c r="BC422" s="578"/>
      <c r="BD422" s="578"/>
      <c r="BE422"/>
      <c r="BF422"/>
      <c r="BG422"/>
      <c r="BH422"/>
      <c r="BI422"/>
      <c r="BJ422"/>
      <c r="BK422"/>
    </row>
    <row r="423" spans="40:63" ht="12.75">
      <c r="AN423"/>
      <c r="AO423" s="293"/>
      <c r="AP423"/>
      <c r="AQ423" s="145"/>
      <c r="AR423"/>
      <c r="AS423"/>
      <c r="AT423"/>
      <c r="AU423"/>
      <c r="AV423"/>
      <c r="AW423"/>
      <c r="AX423"/>
      <c r="AY423"/>
      <c r="AZ423"/>
      <c r="BA423"/>
      <c r="BB423"/>
      <c r="BC423" s="578"/>
      <c r="BD423" s="578"/>
      <c r="BE423"/>
      <c r="BF423"/>
      <c r="BG423"/>
      <c r="BH423"/>
      <c r="BI423"/>
      <c r="BJ423"/>
      <c r="BK423"/>
    </row>
    <row r="424" spans="40:63" ht="12.75">
      <c r="AN424"/>
      <c r="AO424" s="293"/>
      <c r="AP424"/>
      <c r="AQ424" s="145"/>
      <c r="AR424"/>
      <c r="AS424"/>
      <c r="AT424"/>
      <c r="AU424"/>
      <c r="AV424"/>
      <c r="AW424"/>
      <c r="AX424"/>
      <c r="AY424"/>
      <c r="AZ424"/>
      <c r="BA424"/>
      <c r="BB424"/>
      <c r="BC424" s="578"/>
      <c r="BD424" s="578"/>
      <c r="BE424"/>
      <c r="BF424"/>
      <c r="BG424"/>
      <c r="BH424"/>
      <c r="BI424"/>
      <c r="BJ424"/>
      <c r="BK424"/>
    </row>
    <row r="425" spans="40:63" ht="12.75">
      <c r="AN425"/>
      <c r="AO425" s="293"/>
      <c r="AP425"/>
      <c r="AQ425" s="145"/>
      <c r="AR425"/>
      <c r="AS425"/>
      <c r="AT425"/>
      <c r="AU425"/>
      <c r="AV425"/>
      <c r="AW425"/>
      <c r="AX425"/>
      <c r="AY425"/>
      <c r="AZ425"/>
      <c r="BA425"/>
      <c r="BB425"/>
      <c r="BC425" s="578"/>
      <c r="BD425" s="578"/>
      <c r="BE425"/>
      <c r="BF425"/>
      <c r="BG425"/>
      <c r="BH425"/>
      <c r="BI425"/>
      <c r="BJ425"/>
      <c r="BK425"/>
    </row>
    <row r="426" spans="40:63" ht="12.75">
      <c r="AN426"/>
      <c r="AO426" s="293"/>
      <c r="AP426"/>
      <c r="AQ426" s="145"/>
      <c r="AR426"/>
      <c r="AS426"/>
      <c r="AT426"/>
      <c r="AU426"/>
      <c r="AV426"/>
      <c r="AW426"/>
      <c r="AX426"/>
      <c r="AY426"/>
      <c r="AZ426"/>
      <c r="BA426"/>
      <c r="BB426"/>
      <c r="BC426" s="578"/>
      <c r="BD426" s="578"/>
      <c r="BE426"/>
      <c r="BF426"/>
      <c r="BG426"/>
      <c r="BH426"/>
      <c r="BI426"/>
      <c r="BJ426"/>
      <c r="BK426"/>
    </row>
    <row r="427" spans="40:63" ht="12.75">
      <c r="AN427"/>
      <c r="AO427" s="293"/>
      <c r="AP427"/>
      <c r="AQ427" s="145"/>
      <c r="AR427"/>
      <c r="AS427"/>
      <c r="AT427"/>
      <c r="AU427"/>
      <c r="AV427"/>
      <c r="AW427"/>
      <c r="AX427"/>
      <c r="AY427"/>
      <c r="AZ427"/>
      <c r="BA427"/>
      <c r="BB427"/>
      <c r="BC427" s="578"/>
      <c r="BD427" s="578"/>
      <c r="BE427"/>
      <c r="BF427"/>
      <c r="BG427"/>
      <c r="BH427"/>
      <c r="BI427"/>
      <c r="BJ427"/>
      <c r="BK427"/>
    </row>
    <row r="428" spans="40:63" ht="12.75">
      <c r="AN428"/>
      <c r="AO428" s="293"/>
      <c r="AP428"/>
      <c r="AQ428" s="145"/>
      <c r="AR428"/>
      <c r="AS428"/>
      <c r="AT428"/>
      <c r="AU428"/>
      <c r="AV428"/>
      <c r="AW428"/>
      <c r="AX428"/>
      <c r="AY428"/>
      <c r="AZ428"/>
      <c r="BA428"/>
      <c r="BB428"/>
      <c r="BC428" s="578"/>
      <c r="BD428" s="578"/>
      <c r="BE428"/>
      <c r="BF428"/>
      <c r="BG428"/>
      <c r="BH428"/>
      <c r="BI428"/>
      <c r="BJ428"/>
      <c r="BK428"/>
    </row>
    <row r="429" spans="40:63" ht="12.75">
      <c r="AN429"/>
      <c r="AO429" s="293"/>
      <c r="AP429"/>
      <c r="AQ429" s="145"/>
      <c r="AR429"/>
      <c r="AS429"/>
      <c r="AT429"/>
      <c r="AU429"/>
      <c r="AV429"/>
      <c r="AW429"/>
      <c r="AX429"/>
      <c r="AY429"/>
      <c r="AZ429"/>
      <c r="BA429"/>
      <c r="BB429"/>
      <c r="BC429" s="578"/>
      <c r="BD429" s="578"/>
      <c r="BE429"/>
      <c r="BF429"/>
      <c r="BG429"/>
      <c r="BH429"/>
      <c r="BI429"/>
      <c r="BJ429"/>
      <c r="BK429"/>
    </row>
    <row r="430" spans="40:63" ht="12.75">
      <c r="AN430"/>
      <c r="AO430" s="293"/>
      <c r="AP430"/>
      <c r="AQ430" s="145"/>
      <c r="AR430"/>
      <c r="AS430"/>
      <c r="AT430"/>
      <c r="AU430"/>
      <c r="AV430"/>
      <c r="AW430"/>
      <c r="AX430"/>
      <c r="AY430"/>
      <c r="AZ430"/>
      <c r="BA430"/>
      <c r="BB430"/>
      <c r="BC430" s="578"/>
      <c r="BD430" s="578"/>
      <c r="BE430"/>
      <c r="BF430"/>
      <c r="BG430"/>
      <c r="BH430"/>
      <c r="BI430"/>
      <c r="BJ430"/>
      <c r="BK430"/>
    </row>
    <row r="431" spans="40:63" ht="12.75">
      <c r="AN431"/>
      <c r="AO431" s="293"/>
      <c r="AP431"/>
      <c r="AQ431" s="145"/>
      <c r="AR431"/>
      <c r="AS431"/>
      <c r="AT431"/>
      <c r="AU431"/>
      <c r="AV431"/>
      <c r="AW431"/>
      <c r="AX431"/>
      <c r="AY431"/>
      <c r="AZ431"/>
      <c r="BA431"/>
      <c r="BB431"/>
      <c r="BC431" s="578"/>
      <c r="BD431" s="578"/>
      <c r="BE431"/>
      <c r="BF431"/>
      <c r="BG431"/>
      <c r="BH431"/>
      <c r="BI431"/>
      <c r="BJ431"/>
      <c r="BK431"/>
    </row>
    <row r="432" spans="40:63" ht="12.75">
      <c r="AN432"/>
      <c r="AO432" s="293"/>
      <c r="AP432"/>
      <c r="AQ432" s="145"/>
      <c r="AR432"/>
      <c r="AS432"/>
      <c r="AT432"/>
      <c r="AU432"/>
      <c r="AV432"/>
      <c r="AW432"/>
      <c r="AX432"/>
      <c r="AY432"/>
      <c r="AZ432"/>
      <c r="BA432"/>
      <c r="BB432"/>
      <c r="BC432" s="578"/>
      <c r="BD432" s="578"/>
      <c r="BE432"/>
      <c r="BF432"/>
      <c r="BG432"/>
      <c r="BH432"/>
      <c r="BI432"/>
      <c r="BJ432"/>
      <c r="BK432"/>
    </row>
    <row r="433" spans="40:63" ht="12.75">
      <c r="AN433"/>
      <c r="AO433" s="293"/>
      <c r="AP433"/>
      <c r="AQ433" s="145"/>
      <c r="AR433"/>
      <c r="AS433"/>
      <c r="AT433"/>
      <c r="AU433"/>
      <c r="AV433"/>
      <c r="AW433"/>
      <c r="AX433"/>
      <c r="AY433"/>
      <c r="AZ433"/>
      <c r="BA433"/>
      <c r="BB433"/>
      <c r="BC433" s="578"/>
      <c r="BD433" s="578"/>
      <c r="BE433"/>
      <c r="BF433"/>
      <c r="BG433"/>
      <c r="BH433"/>
      <c r="BI433"/>
      <c r="BJ433"/>
      <c r="BK433"/>
    </row>
    <row r="434" spans="40:63" ht="12.75">
      <c r="AN434"/>
      <c r="AO434" s="293"/>
      <c r="AP434"/>
      <c r="AQ434" s="145"/>
      <c r="AR434"/>
      <c r="AS434"/>
      <c r="AT434"/>
      <c r="AU434"/>
      <c r="AV434"/>
      <c r="AW434"/>
      <c r="AX434"/>
      <c r="AY434"/>
      <c r="AZ434"/>
      <c r="BA434"/>
      <c r="BB434"/>
      <c r="BC434" s="578"/>
      <c r="BD434" s="578"/>
      <c r="BE434"/>
      <c r="BF434"/>
      <c r="BG434"/>
      <c r="BH434"/>
      <c r="BI434"/>
      <c r="BJ434"/>
      <c r="BK434"/>
    </row>
    <row r="435" spans="40:63" ht="12.75">
      <c r="AN435"/>
      <c r="AO435" s="293"/>
      <c r="AP435"/>
      <c r="AQ435" s="145"/>
      <c r="AR435"/>
      <c r="AS435"/>
      <c r="AT435"/>
      <c r="AU435"/>
      <c r="AV435"/>
      <c r="AW435"/>
      <c r="AX435"/>
      <c r="AY435"/>
      <c r="AZ435"/>
      <c r="BA435"/>
      <c r="BB435"/>
      <c r="BC435" s="578"/>
      <c r="BD435" s="578"/>
      <c r="BE435"/>
      <c r="BF435"/>
      <c r="BG435"/>
      <c r="BH435"/>
      <c r="BI435"/>
      <c r="BJ435"/>
      <c r="BK435"/>
    </row>
    <row r="436" spans="40:63" ht="12.75">
      <c r="AN436"/>
      <c r="AO436" s="293"/>
      <c r="AP436"/>
      <c r="AQ436" s="145"/>
      <c r="AR436"/>
      <c r="AS436"/>
      <c r="AT436"/>
      <c r="AU436"/>
      <c r="AV436"/>
      <c r="AW436"/>
      <c r="AX436"/>
      <c r="AY436"/>
      <c r="AZ436"/>
      <c r="BA436"/>
      <c r="BB436"/>
      <c r="BC436" s="578"/>
      <c r="BD436" s="578"/>
      <c r="BE436"/>
      <c r="BF436"/>
      <c r="BG436"/>
      <c r="BH436"/>
      <c r="BI436"/>
      <c r="BJ436"/>
      <c r="BK436"/>
    </row>
    <row r="437" spans="40:63" ht="12.75">
      <c r="AN437"/>
      <c r="AO437" s="293"/>
      <c r="AP437"/>
      <c r="AQ437" s="145"/>
      <c r="AR437"/>
      <c r="AS437"/>
      <c r="AT437"/>
      <c r="AU437"/>
      <c r="AV437"/>
      <c r="AW437"/>
      <c r="AX437"/>
      <c r="AY437"/>
      <c r="AZ437"/>
      <c r="BA437"/>
      <c r="BB437"/>
      <c r="BC437" s="578"/>
      <c r="BD437" s="578"/>
      <c r="BE437"/>
      <c r="BF437"/>
      <c r="BG437"/>
      <c r="BH437"/>
      <c r="BI437"/>
      <c r="BJ437"/>
      <c r="BK437"/>
    </row>
    <row r="438" spans="40:63" ht="12.75">
      <c r="AN438"/>
      <c r="AO438" s="293"/>
      <c r="AP438"/>
      <c r="AQ438" s="145"/>
      <c r="AR438"/>
      <c r="AS438"/>
      <c r="AT438"/>
      <c r="AU438"/>
      <c r="AV438"/>
      <c r="AW438"/>
      <c r="AX438"/>
      <c r="AY438"/>
      <c r="AZ438"/>
      <c r="BA438"/>
      <c r="BB438"/>
      <c r="BC438" s="578"/>
      <c r="BD438" s="578"/>
      <c r="BE438"/>
      <c r="BF438"/>
      <c r="BG438"/>
      <c r="BH438"/>
      <c r="BI438"/>
      <c r="BJ438"/>
      <c r="BK438"/>
    </row>
    <row r="439" spans="40:63" ht="12.75">
      <c r="AN439"/>
      <c r="AO439" s="293"/>
      <c r="AP439"/>
      <c r="AQ439" s="145"/>
      <c r="AR439"/>
      <c r="AS439"/>
      <c r="AT439"/>
      <c r="AU439"/>
      <c r="AV439"/>
      <c r="AW439"/>
      <c r="AX439"/>
      <c r="AY439"/>
      <c r="AZ439"/>
      <c r="BA439"/>
      <c r="BB439"/>
      <c r="BC439" s="578"/>
      <c r="BD439" s="578"/>
      <c r="BE439"/>
      <c r="BF439"/>
      <c r="BG439"/>
      <c r="BH439"/>
      <c r="BI439"/>
      <c r="BJ439"/>
      <c r="BK439"/>
    </row>
    <row r="440" spans="40:63" ht="12.75">
      <c r="AN440"/>
      <c r="AO440" s="293"/>
      <c r="AP440"/>
      <c r="AQ440" s="145"/>
      <c r="AR440"/>
      <c r="AS440"/>
      <c r="AT440"/>
      <c r="AU440"/>
      <c r="AV440"/>
      <c r="AW440"/>
      <c r="AX440"/>
      <c r="AY440"/>
      <c r="AZ440"/>
      <c r="BA440"/>
      <c r="BB440"/>
      <c r="BC440" s="578"/>
      <c r="BD440" s="578"/>
      <c r="BE440"/>
      <c r="BF440"/>
      <c r="BG440"/>
      <c r="BH440"/>
      <c r="BI440"/>
      <c r="BJ440"/>
      <c r="BK440"/>
    </row>
    <row r="441" spans="40:63" ht="12.75">
      <c r="AN441"/>
      <c r="AO441" s="293"/>
      <c r="AP441"/>
      <c r="AQ441" s="145"/>
      <c r="AR441"/>
      <c r="AS441"/>
      <c r="AT441"/>
      <c r="AU441"/>
      <c r="AV441"/>
      <c r="AW441"/>
      <c r="AX441"/>
      <c r="AY441"/>
      <c r="AZ441"/>
      <c r="BA441"/>
      <c r="BB441"/>
      <c r="BC441" s="578"/>
      <c r="BD441" s="578"/>
      <c r="BE441"/>
      <c r="BF441"/>
      <c r="BG441"/>
      <c r="BH441"/>
      <c r="BI441"/>
      <c r="BJ441"/>
      <c r="BK441"/>
    </row>
    <row r="442" spans="40:63" ht="12.75">
      <c r="AN442"/>
      <c r="AO442" s="293"/>
      <c r="AP442"/>
      <c r="AQ442" s="145"/>
      <c r="AR442"/>
      <c r="AS442"/>
      <c r="AT442"/>
      <c r="AU442"/>
      <c r="AV442"/>
      <c r="AW442"/>
      <c r="AX442"/>
      <c r="AY442"/>
      <c r="AZ442"/>
      <c r="BA442"/>
      <c r="BB442"/>
      <c r="BC442" s="578"/>
      <c r="BD442" s="578"/>
      <c r="BE442"/>
      <c r="BF442"/>
      <c r="BG442"/>
      <c r="BH442"/>
      <c r="BI442"/>
      <c r="BJ442"/>
      <c r="BK442"/>
    </row>
    <row r="443" spans="40:63" ht="12.75">
      <c r="AN443"/>
      <c r="AO443" s="293"/>
      <c r="AP443"/>
      <c r="AQ443" s="145"/>
      <c r="AR443"/>
      <c r="AS443"/>
      <c r="AT443"/>
      <c r="AU443"/>
      <c r="AV443"/>
      <c r="AW443"/>
      <c r="AX443"/>
      <c r="AY443"/>
      <c r="AZ443"/>
      <c r="BA443"/>
      <c r="BB443"/>
      <c r="BC443" s="578"/>
      <c r="BD443" s="578"/>
      <c r="BE443"/>
      <c r="BF443"/>
      <c r="BG443"/>
      <c r="BH443"/>
      <c r="BI443"/>
      <c r="BJ443"/>
      <c r="BK443"/>
    </row>
    <row r="444" spans="40:63" ht="12.75">
      <c r="AN444"/>
      <c r="AO444" s="293"/>
      <c r="AP444"/>
      <c r="AQ444" s="145"/>
      <c r="AR444"/>
      <c r="AS444"/>
      <c r="AT444"/>
      <c r="AU444"/>
      <c r="AV444"/>
      <c r="AW444"/>
      <c r="AX444"/>
      <c r="AY444"/>
      <c r="AZ444"/>
      <c r="BA444"/>
      <c r="BB444"/>
      <c r="BC444" s="578"/>
      <c r="BD444" s="578"/>
      <c r="BE444"/>
      <c r="BF444"/>
      <c r="BG444"/>
      <c r="BH444"/>
      <c r="BI444"/>
      <c r="BJ444"/>
      <c r="BK444"/>
    </row>
    <row r="445" spans="40:63" ht="12.75">
      <c r="AN445"/>
      <c r="AO445" s="293"/>
      <c r="AP445"/>
      <c r="AQ445" s="145"/>
      <c r="AR445"/>
      <c r="AS445"/>
      <c r="AT445"/>
      <c r="AU445"/>
      <c r="AV445"/>
      <c r="AW445"/>
      <c r="AX445"/>
      <c r="AY445"/>
      <c r="AZ445"/>
      <c r="BA445"/>
      <c r="BB445"/>
      <c r="BC445" s="578"/>
      <c r="BD445" s="578"/>
      <c r="BE445"/>
      <c r="BF445"/>
      <c r="BG445"/>
      <c r="BH445"/>
      <c r="BI445"/>
      <c r="BJ445"/>
      <c r="BK445"/>
    </row>
    <row r="446" spans="40:63" ht="12.75">
      <c r="AN446"/>
      <c r="AO446" s="293"/>
      <c r="AP446"/>
      <c r="AQ446" s="145"/>
      <c r="AR446"/>
      <c r="AS446"/>
      <c r="AT446"/>
      <c r="AU446"/>
      <c r="AV446"/>
      <c r="AW446"/>
      <c r="AX446"/>
      <c r="AY446"/>
      <c r="AZ446"/>
      <c r="BA446"/>
      <c r="BB446"/>
      <c r="BC446" s="578"/>
      <c r="BD446" s="578"/>
      <c r="BE446"/>
      <c r="BF446"/>
      <c r="BG446"/>
      <c r="BH446"/>
      <c r="BI446"/>
      <c r="BJ446"/>
      <c r="BK446"/>
    </row>
    <row r="447" spans="40:63" ht="12.75">
      <c r="AN447"/>
      <c r="AO447" s="293"/>
      <c r="AP447"/>
      <c r="AQ447" s="145"/>
      <c r="AR447"/>
      <c r="AS447"/>
      <c r="AT447"/>
      <c r="AU447"/>
      <c r="AV447"/>
      <c r="AW447"/>
      <c r="AX447"/>
      <c r="AY447"/>
      <c r="AZ447"/>
      <c r="BA447"/>
      <c r="BB447"/>
      <c r="BC447" s="578"/>
      <c r="BD447" s="578"/>
      <c r="BE447"/>
      <c r="BF447"/>
      <c r="BG447"/>
      <c r="BH447"/>
      <c r="BI447"/>
      <c r="BJ447"/>
      <c r="BK447"/>
    </row>
    <row r="448" spans="40:63" ht="12.75">
      <c r="AN448"/>
      <c r="AO448" s="293"/>
      <c r="AP448"/>
      <c r="AQ448" s="145"/>
      <c r="AR448"/>
      <c r="AS448"/>
      <c r="AT448"/>
      <c r="AU448"/>
      <c r="AV448"/>
      <c r="AW448"/>
      <c r="AX448"/>
      <c r="AY448"/>
      <c r="AZ448"/>
      <c r="BA448"/>
      <c r="BB448"/>
      <c r="BC448" s="578"/>
      <c r="BD448" s="578"/>
      <c r="BE448"/>
      <c r="BF448"/>
      <c r="BG448"/>
      <c r="BH448"/>
      <c r="BI448"/>
      <c r="BJ448"/>
      <c r="BK448"/>
    </row>
    <row r="449" spans="40:63" ht="12.75">
      <c r="AN449"/>
      <c r="AO449" s="293"/>
      <c r="AP449"/>
      <c r="AQ449" s="145"/>
      <c r="AR449"/>
      <c r="AS449"/>
      <c r="AT449"/>
      <c r="AU449"/>
      <c r="AV449"/>
      <c r="AW449"/>
      <c r="AX449"/>
      <c r="AY449"/>
      <c r="AZ449"/>
      <c r="BA449"/>
      <c r="BB449"/>
      <c r="BC449" s="578"/>
      <c r="BD449" s="578"/>
      <c r="BE449"/>
      <c r="BF449"/>
      <c r="BG449"/>
      <c r="BH449"/>
      <c r="BI449"/>
      <c r="BJ449"/>
      <c r="BK449"/>
    </row>
    <row r="450" spans="40:63" ht="12.75">
      <c r="AN450"/>
      <c r="AO450" s="293"/>
      <c r="AP450"/>
      <c r="AQ450" s="145"/>
      <c r="AR450"/>
      <c r="AS450"/>
      <c r="AT450"/>
      <c r="AU450"/>
      <c r="AV450"/>
      <c r="AW450"/>
      <c r="AX450"/>
      <c r="AY450"/>
      <c r="AZ450"/>
      <c r="BA450"/>
      <c r="BB450"/>
      <c r="BC450" s="578"/>
      <c r="BD450" s="578"/>
      <c r="BE450"/>
      <c r="BF450"/>
      <c r="BG450"/>
      <c r="BH450"/>
      <c r="BI450"/>
      <c r="BJ450"/>
      <c r="BK450"/>
    </row>
    <row r="451" spans="40:63" ht="12.75">
      <c r="AN451"/>
      <c r="AO451" s="293"/>
      <c r="AP451"/>
      <c r="AQ451" s="145"/>
      <c r="AR451"/>
      <c r="AS451"/>
      <c r="AT451"/>
      <c r="AU451"/>
      <c r="AV451"/>
      <c r="AW451"/>
      <c r="AX451"/>
      <c r="AY451"/>
      <c r="AZ451"/>
      <c r="BA451"/>
      <c r="BB451"/>
      <c r="BC451" s="578"/>
      <c r="BD451" s="578"/>
      <c r="BE451"/>
      <c r="BF451"/>
      <c r="BG451"/>
      <c r="BH451"/>
      <c r="BI451"/>
      <c r="BJ451"/>
      <c r="BK451"/>
    </row>
    <row r="452" spans="40:63" ht="12.75">
      <c r="AN452"/>
      <c r="AO452" s="293"/>
      <c r="AP452"/>
      <c r="AQ452" s="145"/>
      <c r="AR452"/>
      <c r="AS452"/>
      <c r="AT452"/>
      <c r="AU452"/>
      <c r="AV452"/>
      <c r="AW452"/>
      <c r="AX452"/>
      <c r="AY452"/>
      <c r="AZ452"/>
      <c r="BA452"/>
      <c r="BB452"/>
      <c r="BC452" s="578"/>
      <c r="BD452" s="578"/>
      <c r="BE452"/>
      <c r="BF452"/>
      <c r="BG452"/>
      <c r="BH452"/>
      <c r="BI452"/>
      <c r="BJ452"/>
      <c r="BK452"/>
    </row>
    <row r="453" spans="40:63" ht="12.75">
      <c r="AN453"/>
      <c r="AO453" s="293"/>
      <c r="AP453"/>
      <c r="AQ453" s="145"/>
      <c r="AR453"/>
      <c r="AS453"/>
      <c r="AT453"/>
      <c r="AU453"/>
      <c r="AV453"/>
      <c r="AW453"/>
      <c r="AX453"/>
      <c r="AY453"/>
      <c r="AZ453"/>
      <c r="BA453"/>
      <c r="BB453"/>
      <c r="BC453" s="578"/>
      <c r="BD453" s="578"/>
      <c r="BE453"/>
      <c r="BF453"/>
      <c r="BG453"/>
      <c r="BH453"/>
      <c r="BI453"/>
      <c r="BJ453"/>
      <c r="BK453"/>
    </row>
    <row r="454" spans="40:63" ht="12.75">
      <c r="AN454"/>
      <c r="AO454" s="293"/>
      <c r="AP454"/>
      <c r="AQ454" s="145"/>
      <c r="AR454"/>
      <c r="AS454"/>
      <c r="AT454"/>
      <c r="AU454"/>
      <c r="AV454"/>
      <c r="AW454"/>
      <c r="AX454"/>
      <c r="AY454"/>
      <c r="AZ454"/>
      <c r="BA454"/>
      <c r="BB454"/>
      <c r="BC454" s="578"/>
      <c r="BD454" s="578"/>
      <c r="BE454"/>
      <c r="BF454"/>
      <c r="BG454"/>
      <c r="BH454"/>
      <c r="BI454"/>
      <c r="BJ454"/>
      <c r="BK454"/>
    </row>
    <row r="455" spans="40:63" ht="12.75">
      <c r="AN455"/>
      <c r="AO455" s="293"/>
      <c r="AP455"/>
      <c r="AQ455" s="145"/>
      <c r="AR455"/>
      <c r="AS455"/>
      <c r="AT455"/>
      <c r="AU455"/>
      <c r="AV455"/>
      <c r="AW455"/>
      <c r="AX455"/>
      <c r="AY455"/>
      <c r="AZ455"/>
      <c r="BA455"/>
      <c r="BB455"/>
      <c r="BC455" s="578"/>
      <c r="BD455" s="578"/>
      <c r="BE455"/>
      <c r="BF455"/>
      <c r="BG455"/>
      <c r="BH455"/>
      <c r="BI455"/>
      <c r="BJ455"/>
      <c r="BK455"/>
    </row>
    <row r="456" spans="40:63" ht="12.75">
      <c r="AN456"/>
      <c r="AO456" s="293"/>
      <c r="AP456"/>
      <c r="AQ456" s="145"/>
      <c r="AR456"/>
      <c r="AS456"/>
      <c r="AT456"/>
      <c r="AU456"/>
      <c r="AV456"/>
      <c r="AW456"/>
      <c r="AX456"/>
      <c r="AY456"/>
      <c r="AZ456"/>
      <c r="BA456"/>
      <c r="BB456"/>
      <c r="BC456" s="578"/>
      <c r="BD456" s="578"/>
      <c r="BE456"/>
      <c r="BF456"/>
      <c r="BG456"/>
      <c r="BH456"/>
      <c r="BI456"/>
      <c r="BJ456"/>
      <c r="BK456"/>
    </row>
    <row r="457" spans="40:63" ht="12.75">
      <c r="AN457"/>
      <c r="AO457" s="293"/>
      <c r="AP457"/>
      <c r="AQ457" s="145"/>
      <c r="AR457"/>
      <c r="AS457"/>
      <c r="AT457"/>
      <c r="AU457"/>
      <c r="AV457"/>
      <c r="AW457"/>
      <c r="AX457"/>
      <c r="AY457"/>
      <c r="AZ457"/>
      <c r="BA457"/>
      <c r="BB457"/>
      <c r="BC457" s="578"/>
      <c r="BD457" s="578"/>
      <c r="BE457"/>
      <c r="BF457"/>
      <c r="BG457"/>
      <c r="BH457"/>
      <c r="BI457"/>
      <c r="BJ457"/>
      <c r="BK457"/>
    </row>
    <row r="458" spans="40:63" ht="12.75">
      <c r="AN458"/>
      <c r="AO458" s="293"/>
      <c r="AP458"/>
      <c r="AQ458" s="145"/>
      <c r="AR458"/>
      <c r="AS458"/>
      <c r="AT458"/>
      <c r="AU458"/>
      <c r="AV458"/>
      <c r="AW458"/>
      <c r="AX458"/>
      <c r="AY458"/>
      <c r="AZ458"/>
      <c r="BA458"/>
      <c r="BB458"/>
      <c r="BC458" s="578"/>
      <c r="BD458" s="578"/>
      <c r="BE458"/>
      <c r="BF458"/>
      <c r="BG458"/>
      <c r="BH458"/>
      <c r="BI458"/>
      <c r="BJ458"/>
      <c r="BK458"/>
    </row>
    <row r="459" spans="40:63" ht="12.75">
      <c r="AN459"/>
      <c r="AO459" s="293"/>
      <c r="AP459"/>
      <c r="AQ459" s="145"/>
      <c r="AR459"/>
      <c r="AS459"/>
      <c r="AT459"/>
      <c r="AU459"/>
      <c r="AV459"/>
      <c r="AW459"/>
      <c r="AX459"/>
      <c r="AY459"/>
      <c r="AZ459"/>
      <c r="BA459"/>
      <c r="BB459"/>
      <c r="BC459" s="578"/>
      <c r="BD459" s="578"/>
      <c r="BE459"/>
      <c r="BF459"/>
      <c r="BG459"/>
      <c r="BH459"/>
      <c r="BI459"/>
      <c r="BJ459"/>
      <c r="BK459"/>
    </row>
    <row r="460" spans="40:63" ht="12.75">
      <c r="AN460"/>
      <c r="AO460" s="293"/>
      <c r="AP460"/>
      <c r="AQ460" s="145"/>
      <c r="AR460"/>
      <c r="AS460"/>
      <c r="AT460"/>
      <c r="AU460"/>
      <c r="AV460"/>
      <c r="AW460"/>
      <c r="AX460"/>
      <c r="AY460"/>
      <c r="AZ460"/>
      <c r="BA460"/>
      <c r="BB460"/>
      <c r="BC460" s="578"/>
      <c r="BD460" s="578"/>
      <c r="BE460"/>
      <c r="BF460"/>
      <c r="BG460"/>
      <c r="BH460"/>
      <c r="BI460"/>
      <c r="BJ460"/>
      <c r="BK460"/>
    </row>
    <row r="461" spans="40:63" ht="12.75">
      <c r="AN461"/>
      <c r="AO461" s="293"/>
      <c r="AP461"/>
      <c r="AQ461" s="145"/>
      <c r="AR461"/>
      <c r="AS461"/>
      <c r="AT461"/>
      <c r="AU461"/>
      <c r="AV461"/>
      <c r="AW461"/>
      <c r="AX461"/>
      <c r="AY461"/>
      <c r="AZ461"/>
      <c r="BA461"/>
      <c r="BB461"/>
      <c r="BC461" s="578"/>
      <c r="BD461" s="578"/>
      <c r="BE461"/>
      <c r="BF461"/>
      <c r="BG461"/>
      <c r="BH461"/>
      <c r="BI461"/>
      <c r="BJ461"/>
      <c r="BK461"/>
    </row>
    <row r="462" spans="40:63" ht="12.75">
      <c r="AN462"/>
      <c r="AO462" s="293"/>
      <c r="AP462"/>
      <c r="AQ462" s="145"/>
      <c r="AR462"/>
      <c r="AS462"/>
      <c r="AT462"/>
      <c r="AU462"/>
      <c r="AV462"/>
      <c r="AW462"/>
      <c r="AX462"/>
      <c r="AY462"/>
      <c r="AZ462"/>
      <c r="BA462"/>
      <c r="BB462"/>
      <c r="BC462" s="578"/>
      <c r="BD462" s="578"/>
      <c r="BE462"/>
      <c r="BF462"/>
      <c r="BG462"/>
      <c r="BH462"/>
      <c r="BI462"/>
      <c r="BJ462"/>
      <c r="BK462"/>
    </row>
    <row r="463" spans="40:63" ht="12.75">
      <c r="AN463"/>
      <c r="AO463" s="293"/>
      <c r="AP463"/>
      <c r="AQ463" s="145"/>
      <c r="AR463"/>
      <c r="AS463"/>
      <c r="AT463"/>
      <c r="AU463"/>
      <c r="AV463"/>
      <c r="AW463"/>
      <c r="AX463"/>
      <c r="AY463"/>
      <c r="AZ463"/>
      <c r="BA463"/>
      <c r="BB463"/>
      <c r="BC463" s="578"/>
      <c r="BD463" s="578"/>
      <c r="BE463"/>
      <c r="BF463"/>
      <c r="BG463"/>
      <c r="BH463"/>
      <c r="BI463"/>
      <c r="BJ463"/>
      <c r="BK463"/>
    </row>
    <row r="464" spans="40:63" ht="12.75">
      <c r="AN464"/>
      <c r="AO464" s="293"/>
      <c r="AP464"/>
      <c r="AQ464" s="145"/>
      <c r="AR464"/>
      <c r="AS464"/>
      <c r="AT464"/>
      <c r="AU464"/>
      <c r="AV464"/>
      <c r="AW464"/>
      <c r="AX464"/>
      <c r="AY464"/>
      <c r="AZ464"/>
      <c r="BA464"/>
      <c r="BB464"/>
      <c r="BC464" s="578"/>
      <c r="BD464" s="578"/>
      <c r="BE464"/>
      <c r="BF464"/>
      <c r="BG464"/>
      <c r="BH464"/>
      <c r="BI464"/>
      <c r="BJ464"/>
      <c r="BK464"/>
    </row>
    <row r="465" spans="40:63" ht="12.75">
      <c r="AN465"/>
      <c r="AO465" s="293"/>
      <c r="AP465"/>
      <c r="AQ465" s="145"/>
      <c r="AR465"/>
      <c r="AS465"/>
      <c r="AT465"/>
      <c r="AU465"/>
      <c r="AV465"/>
      <c r="AW465"/>
      <c r="AX465"/>
      <c r="AY465"/>
      <c r="AZ465"/>
      <c r="BA465"/>
      <c r="BB465"/>
      <c r="BC465" s="578"/>
      <c r="BD465" s="578"/>
      <c r="BE465"/>
      <c r="BF465"/>
      <c r="BG465"/>
      <c r="BH465"/>
      <c r="BI465"/>
      <c r="BJ465"/>
      <c r="BK465"/>
    </row>
    <row r="466" spans="40:63" ht="12.75">
      <c r="AN466"/>
      <c r="AO466" s="293"/>
      <c r="AP466"/>
      <c r="AQ466" s="145"/>
      <c r="AR466"/>
      <c r="AS466"/>
      <c r="AT466"/>
      <c r="AU466"/>
      <c r="AV466"/>
      <c r="AW466"/>
      <c r="AX466"/>
      <c r="AY466"/>
      <c r="AZ466"/>
      <c r="BA466"/>
      <c r="BB466"/>
      <c r="BC466" s="578"/>
      <c r="BD466" s="578"/>
      <c r="BE466"/>
      <c r="BF466"/>
      <c r="BG466"/>
      <c r="BH466"/>
      <c r="BI466"/>
      <c r="BJ466"/>
      <c r="BK466"/>
    </row>
    <row r="467" spans="40:63" ht="12.75">
      <c r="AN467"/>
      <c r="AO467" s="293"/>
      <c r="AP467"/>
      <c r="AQ467" s="145"/>
      <c r="AR467"/>
      <c r="AS467"/>
      <c r="AT467"/>
      <c r="AU467"/>
      <c r="AV467"/>
      <c r="AW467"/>
      <c r="AX467"/>
      <c r="AY467"/>
      <c r="AZ467"/>
      <c r="BA467"/>
      <c r="BB467"/>
      <c r="BC467" s="578"/>
      <c r="BD467" s="578"/>
      <c r="BE467"/>
      <c r="BF467"/>
      <c r="BG467"/>
      <c r="BH467"/>
      <c r="BI467"/>
      <c r="BJ467"/>
      <c r="BK467"/>
    </row>
    <row r="468" spans="40:63" ht="12.75">
      <c r="AN468"/>
      <c r="AO468" s="293"/>
      <c r="AP468"/>
      <c r="AQ468" s="145"/>
      <c r="AR468"/>
      <c r="AS468"/>
      <c r="AT468"/>
      <c r="AU468"/>
      <c r="AV468"/>
      <c r="AW468"/>
      <c r="AX468"/>
      <c r="AY468"/>
      <c r="AZ468"/>
      <c r="BA468"/>
      <c r="BB468"/>
      <c r="BC468" s="578"/>
      <c r="BD468" s="578"/>
      <c r="BE468"/>
      <c r="BF468"/>
      <c r="BG468"/>
      <c r="BH468"/>
      <c r="BI468"/>
      <c r="BJ468"/>
      <c r="BK468"/>
    </row>
    <row r="469" spans="40:63" ht="12.75">
      <c r="AN469"/>
      <c r="AO469" s="293"/>
      <c r="AP469"/>
      <c r="AQ469" s="145"/>
      <c r="AR469"/>
      <c r="AS469"/>
      <c r="AT469"/>
      <c r="AU469"/>
      <c r="AV469"/>
      <c r="AW469"/>
      <c r="AX469"/>
      <c r="AY469"/>
      <c r="AZ469"/>
      <c r="BA469"/>
      <c r="BB469"/>
      <c r="BC469" s="578"/>
      <c r="BD469" s="578"/>
      <c r="BE469"/>
      <c r="BF469"/>
      <c r="BG469"/>
      <c r="BH469"/>
      <c r="BI469"/>
      <c r="BJ469"/>
      <c r="BK469"/>
    </row>
    <row r="470" spans="40:63" ht="12.75">
      <c r="AN470"/>
      <c r="AO470" s="293"/>
      <c r="AP470"/>
      <c r="AQ470" s="145"/>
      <c r="AR470"/>
      <c r="AS470"/>
      <c r="AT470"/>
      <c r="AU470"/>
      <c r="AV470"/>
      <c r="AW470"/>
      <c r="AX470"/>
      <c r="AY470"/>
      <c r="AZ470"/>
      <c r="BA470"/>
      <c r="BB470"/>
      <c r="BC470" s="578"/>
      <c r="BD470" s="578"/>
      <c r="BE470"/>
      <c r="BF470"/>
      <c r="BG470"/>
      <c r="BH470"/>
      <c r="BI470"/>
      <c r="BJ470"/>
      <c r="BK470"/>
    </row>
    <row r="471" spans="40:63" ht="12.75">
      <c r="AN471"/>
      <c r="AO471" s="293"/>
      <c r="AP471"/>
      <c r="AQ471" s="145"/>
      <c r="AR471"/>
      <c r="AS471"/>
      <c r="AT471"/>
      <c r="AU471"/>
      <c r="AV471"/>
      <c r="AW471"/>
      <c r="AX471"/>
      <c r="AY471"/>
      <c r="AZ471"/>
      <c r="BA471"/>
      <c r="BB471"/>
      <c r="BC471" s="578"/>
      <c r="BD471" s="578"/>
      <c r="BE471"/>
      <c r="BF471"/>
      <c r="BG471"/>
      <c r="BH471"/>
      <c r="BI471"/>
      <c r="BJ471"/>
      <c r="BK471"/>
    </row>
    <row r="472" spans="40:63" ht="12.75">
      <c r="AN472"/>
      <c r="AO472" s="293"/>
      <c r="AP472"/>
      <c r="AQ472" s="145"/>
      <c r="AR472"/>
      <c r="AS472"/>
      <c r="AT472"/>
      <c r="AU472"/>
      <c r="AV472"/>
      <c r="AW472"/>
      <c r="AX472"/>
      <c r="AY472"/>
      <c r="AZ472"/>
      <c r="BA472"/>
      <c r="BB472"/>
      <c r="BC472" s="578"/>
      <c r="BD472" s="578"/>
      <c r="BE472"/>
      <c r="BF472"/>
      <c r="BG472"/>
      <c r="BH472"/>
      <c r="BI472"/>
      <c r="BJ472"/>
      <c r="BK472"/>
    </row>
    <row r="473" spans="40:63" ht="12.75">
      <c r="AN473"/>
      <c r="AO473" s="293"/>
      <c r="AP473"/>
      <c r="AQ473" s="145"/>
      <c r="AR473"/>
      <c r="AS473"/>
      <c r="AT473"/>
      <c r="AU473"/>
      <c r="AV473"/>
      <c r="AW473"/>
      <c r="AX473"/>
      <c r="AY473"/>
      <c r="AZ473"/>
      <c r="BA473"/>
      <c r="BB473"/>
      <c r="BC473" s="578"/>
      <c r="BD473" s="578"/>
      <c r="BE473"/>
      <c r="BF473"/>
      <c r="BG473"/>
      <c r="BH473"/>
      <c r="BI473"/>
      <c r="BJ473"/>
      <c r="BK473"/>
    </row>
    <row r="474" spans="40:63" ht="12.75">
      <c r="AN474"/>
      <c r="AO474" s="293"/>
      <c r="AP474"/>
      <c r="AQ474" s="145"/>
      <c r="AR474"/>
      <c r="AS474"/>
      <c r="AT474"/>
      <c r="AU474"/>
      <c r="AV474"/>
      <c r="AW474"/>
      <c r="AX474"/>
      <c r="AY474"/>
      <c r="AZ474"/>
      <c r="BA474"/>
      <c r="BB474"/>
      <c r="BC474" s="578"/>
      <c r="BD474" s="578"/>
      <c r="BE474"/>
      <c r="BF474"/>
      <c r="BG474"/>
      <c r="BH474"/>
      <c r="BI474"/>
      <c r="BJ474"/>
      <c r="BK474"/>
    </row>
    <row r="475" spans="40:63" ht="12.75">
      <c r="AN475"/>
      <c r="AO475" s="293"/>
      <c r="AP475"/>
      <c r="AQ475" s="145"/>
      <c r="AR475"/>
      <c r="AS475"/>
      <c r="AT475"/>
      <c r="AU475"/>
      <c r="AV475"/>
      <c r="AW475"/>
      <c r="AX475"/>
      <c r="AY475"/>
      <c r="AZ475"/>
      <c r="BA475"/>
      <c r="BB475"/>
      <c r="BC475" s="578"/>
      <c r="BD475" s="578"/>
      <c r="BE475"/>
      <c r="BF475"/>
      <c r="BG475"/>
      <c r="BH475"/>
      <c r="BI475"/>
      <c r="BJ475"/>
      <c r="BK475"/>
    </row>
    <row r="476" spans="40:63" ht="12.75">
      <c r="AN476"/>
      <c r="AO476" s="293"/>
      <c r="AP476"/>
      <c r="AQ476" s="145"/>
      <c r="AR476"/>
      <c r="AS476"/>
      <c r="AT476"/>
      <c r="AU476"/>
      <c r="AV476"/>
      <c r="AW476"/>
      <c r="AX476"/>
      <c r="AY476"/>
      <c r="AZ476"/>
      <c r="BA476"/>
      <c r="BB476"/>
      <c r="BC476" s="578"/>
      <c r="BD476" s="578"/>
      <c r="BE476"/>
      <c r="BF476"/>
      <c r="BG476"/>
      <c r="BH476"/>
      <c r="BI476"/>
      <c r="BJ476"/>
      <c r="BK476"/>
    </row>
    <row r="477" spans="40:63" ht="12.75">
      <c r="AN477"/>
      <c r="AO477" s="293"/>
      <c r="AP477"/>
      <c r="AQ477" s="145"/>
      <c r="AR477"/>
      <c r="AS477"/>
      <c r="AT477"/>
      <c r="AU477"/>
      <c r="AV477"/>
      <c r="AW477"/>
      <c r="AX477"/>
      <c r="AY477"/>
      <c r="AZ477"/>
      <c r="BA477"/>
      <c r="BB477"/>
      <c r="BC477" s="578"/>
      <c r="BD477" s="578"/>
      <c r="BE477"/>
      <c r="BF477"/>
      <c r="BG477"/>
      <c r="BH477"/>
      <c r="BI477"/>
      <c r="BJ477"/>
      <c r="BK477"/>
    </row>
    <row r="478" spans="40:63" ht="12.75">
      <c r="AN478"/>
      <c r="AO478" s="293"/>
      <c r="AP478"/>
      <c r="AQ478" s="145"/>
      <c r="AR478"/>
      <c r="AS478"/>
      <c r="AT478"/>
      <c r="AU478"/>
      <c r="AV478"/>
      <c r="AW478"/>
      <c r="AX478"/>
      <c r="AY478"/>
      <c r="AZ478"/>
      <c r="BA478"/>
      <c r="BB478"/>
      <c r="BC478" s="578"/>
      <c r="BD478" s="578"/>
      <c r="BE478"/>
      <c r="BF478"/>
      <c r="BG478"/>
      <c r="BH478"/>
      <c r="BI478"/>
      <c r="BJ478"/>
      <c r="BK478"/>
    </row>
    <row r="479" spans="40:63" ht="12.75">
      <c r="AN479"/>
      <c r="AO479" s="293"/>
      <c r="AP479"/>
      <c r="AQ479" s="145"/>
      <c r="AR479"/>
      <c r="AS479"/>
      <c r="AT479"/>
      <c r="AU479"/>
      <c r="AV479"/>
      <c r="AW479"/>
      <c r="AX479"/>
      <c r="AY479"/>
      <c r="AZ479"/>
      <c r="BA479"/>
      <c r="BB479"/>
      <c r="BC479" s="578"/>
      <c r="BD479" s="578"/>
      <c r="BE479"/>
      <c r="BF479"/>
      <c r="BG479"/>
      <c r="BH479"/>
      <c r="BI479"/>
      <c r="BJ479"/>
      <c r="BK479"/>
    </row>
    <row r="480" spans="40:63" ht="12.75">
      <c r="AN480"/>
      <c r="AO480" s="293"/>
      <c r="AP480"/>
      <c r="AQ480" s="145"/>
      <c r="AR480"/>
      <c r="AS480"/>
      <c r="AT480"/>
      <c r="AU480"/>
      <c r="AV480"/>
      <c r="AW480"/>
      <c r="AX480"/>
      <c r="AY480"/>
      <c r="AZ480"/>
      <c r="BA480"/>
      <c r="BB480"/>
      <c r="BC480" s="578"/>
      <c r="BD480" s="578"/>
      <c r="BE480"/>
      <c r="BF480"/>
      <c r="BG480"/>
      <c r="BH480"/>
      <c r="BI480"/>
      <c r="BJ480"/>
      <c r="BK480"/>
    </row>
    <row r="481" spans="40:63" ht="12.75">
      <c r="AN481"/>
      <c r="AO481" s="293"/>
      <c r="AP481"/>
      <c r="AQ481" s="145"/>
      <c r="AR481"/>
      <c r="AS481"/>
      <c r="AT481"/>
      <c r="AU481"/>
      <c r="AV481"/>
      <c r="AW481"/>
      <c r="AX481"/>
      <c r="AY481"/>
      <c r="AZ481"/>
      <c r="BA481"/>
      <c r="BB481"/>
      <c r="BC481" s="578"/>
      <c r="BD481" s="578"/>
      <c r="BE481"/>
      <c r="BF481"/>
      <c r="BG481"/>
      <c r="BH481"/>
      <c r="BI481"/>
      <c r="BJ481"/>
      <c r="BK481"/>
    </row>
    <row r="482" spans="40:63" ht="12.75">
      <c r="AN482"/>
      <c r="AO482" s="293"/>
      <c r="AP482"/>
      <c r="AQ482" s="145"/>
      <c r="AR482"/>
      <c r="AS482"/>
      <c r="AT482"/>
      <c r="AU482"/>
      <c r="AV482"/>
      <c r="AW482"/>
      <c r="AX482"/>
      <c r="AY482"/>
      <c r="AZ482"/>
      <c r="BA482"/>
      <c r="BB482"/>
      <c r="BC482" s="578"/>
      <c r="BD482" s="578"/>
      <c r="BE482"/>
      <c r="BF482"/>
      <c r="BG482"/>
      <c r="BH482"/>
      <c r="BI482"/>
      <c r="BJ482"/>
      <c r="BK482"/>
    </row>
    <row r="483" spans="40:63" ht="12.75">
      <c r="AN483"/>
      <c r="AO483" s="293"/>
      <c r="AP483"/>
      <c r="AQ483" s="145"/>
      <c r="AR483"/>
      <c r="AS483"/>
      <c r="AT483"/>
      <c r="AU483"/>
      <c r="AV483"/>
      <c r="AW483"/>
      <c r="AX483"/>
      <c r="AY483"/>
      <c r="AZ483"/>
      <c r="BA483"/>
      <c r="BB483"/>
      <c r="BC483" s="578"/>
      <c r="BD483" s="578"/>
      <c r="BE483"/>
      <c r="BF483"/>
      <c r="BG483"/>
      <c r="BH483"/>
      <c r="BI483"/>
      <c r="BJ483"/>
      <c r="BK483"/>
    </row>
    <row r="484" spans="40:63" ht="12.75">
      <c r="AN484"/>
      <c r="AO484" s="293"/>
      <c r="AP484"/>
      <c r="AQ484" s="145"/>
      <c r="AR484"/>
      <c r="AS484"/>
      <c r="AT484"/>
      <c r="AU484"/>
      <c r="AV484"/>
      <c r="AW484"/>
      <c r="AX484"/>
      <c r="AY484"/>
      <c r="AZ484"/>
      <c r="BA484"/>
      <c r="BB484"/>
      <c r="BC484" s="578"/>
      <c r="BD484" s="578"/>
      <c r="BE484"/>
      <c r="BF484"/>
      <c r="BG484"/>
      <c r="BH484"/>
      <c r="BI484"/>
      <c r="BJ484"/>
      <c r="BK484"/>
    </row>
    <row r="485" spans="40:63" ht="12.75">
      <c r="AN485"/>
      <c r="AO485" s="293"/>
      <c r="AP485"/>
      <c r="AQ485" s="145"/>
      <c r="AR485"/>
      <c r="AS485"/>
      <c r="AT485"/>
      <c r="AU485"/>
      <c r="AV485"/>
      <c r="AW485"/>
      <c r="AX485"/>
      <c r="AY485"/>
      <c r="AZ485"/>
      <c r="BA485"/>
      <c r="BB485"/>
      <c r="BC485" s="578"/>
      <c r="BD485" s="578"/>
      <c r="BE485"/>
      <c r="BF485"/>
      <c r="BG485"/>
      <c r="BH485"/>
      <c r="BI485"/>
      <c r="BJ485"/>
      <c r="BK485"/>
    </row>
    <row r="486" spans="40:63" ht="12.75">
      <c r="AN486"/>
      <c r="AO486" s="293"/>
      <c r="AP486"/>
      <c r="AQ486" s="145"/>
      <c r="AR486"/>
      <c r="AS486"/>
      <c r="AT486"/>
      <c r="AU486"/>
      <c r="AV486"/>
      <c r="AW486"/>
      <c r="AX486"/>
      <c r="AY486"/>
      <c r="AZ486"/>
      <c r="BA486"/>
      <c r="BB486"/>
      <c r="BC486" s="578"/>
      <c r="BD486" s="578"/>
      <c r="BE486"/>
      <c r="BF486"/>
      <c r="BG486"/>
      <c r="BH486"/>
      <c r="BI486"/>
      <c r="BJ486"/>
      <c r="BK486"/>
    </row>
    <row r="487" spans="40:63" ht="12.75">
      <c r="AN487"/>
      <c r="AO487" s="293"/>
      <c r="AP487"/>
      <c r="AQ487" s="145"/>
      <c r="AR487"/>
      <c r="AS487"/>
      <c r="AT487"/>
      <c r="AU487"/>
      <c r="AV487"/>
      <c r="AW487"/>
      <c r="AX487"/>
      <c r="AY487"/>
      <c r="AZ487"/>
      <c r="BA487"/>
      <c r="BB487"/>
      <c r="BC487" s="578"/>
      <c r="BD487" s="578"/>
      <c r="BE487"/>
      <c r="BF487"/>
      <c r="BG487"/>
      <c r="BH487"/>
      <c r="BI487"/>
      <c r="BJ487"/>
      <c r="BK487"/>
    </row>
    <row r="488" spans="40:63" ht="12.75">
      <c r="AN488"/>
      <c r="AO488" s="293"/>
      <c r="AP488"/>
      <c r="AQ488" s="145"/>
      <c r="AR488"/>
      <c r="AS488"/>
      <c r="AT488"/>
      <c r="AU488"/>
      <c r="AV488"/>
      <c r="AW488"/>
      <c r="AX488"/>
      <c r="AY488"/>
      <c r="AZ488"/>
      <c r="BA488"/>
      <c r="BB488"/>
      <c r="BC488" s="578"/>
      <c r="BD488" s="578"/>
      <c r="BE488"/>
      <c r="BF488"/>
      <c r="BG488"/>
      <c r="BH488"/>
      <c r="BI488"/>
      <c r="BJ488"/>
      <c r="BK488"/>
    </row>
    <row r="489" spans="40:63" ht="12.75">
      <c r="AN489"/>
      <c r="AO489" s="293"/>
      <c r="AP489"/>
      <c r="AQ489" s="145"/>
      <c r="AR489"/>
      <c r="AS489"/>
      <c r="AT489"/>
      <c r="AU489"/>
      <c r="AV489"/>
      <c r="AW489"/>
      <c r="AX489"/>
      <c r="AY489"/>
      <c r="AZ489"/>
      <c r="BA489"/>
      <c r="BB489"/>
      <c r="BC489" s="578"/>
      <c r="BD489" s="578"/>
      <c r="BE489"/>
      <c r="BF489"/>
      <c r="BG489"/>
      <c r="BH489"/>
      <c r="BI489"/>
      <c r="BJ489"/>
      <c r="BK489"/>
    </row>
    <row r="490" spans="40:63" ht="12.75">
      <c r="AN490"/>
      <c r="AO490" s="293"/>
      <c r="AP490"/>
      <c r="AQ490" s="145"/>
      <c r="AR490"/>
      <c r="AS490"/>
      <c r="AT490"/>
      <c r="AU490"/>
      <c r="AV490"/>
      <c r="AW490"/>
      <c r="AX490"/>
      <c r="AY490"/>
      <c r="AZ490"/>
      <c r="BA490"/>
      <c r="BB490"/>
      <c r="BC490" s="578"/>
      <c r="BD490" s="578"/>
      <c r="BE490"/>
      <c r="BF490"/>
      <c r="BG490"/>
      <c r="BH490"/>
      <c r="BI490"/>
      <c r="BJ490"/>
      <c r="BK490"/>
    </row>
    <row r="491" spans="40:63" ht="12.75">
      <c r="AN491"/>
      <c r="AO491" s="293"/>
      <c r="AP491"/>
      <c r="AQ491" s="145"/>
      <c r="AR491"/>
      <c r="AS491"/>
      <c r="AT491"/>
      <c r="AU491"/>
      <c r="AV491"/>
      <c r="AW491"/>
      <c r="AX491"/>
      <c r="AY491"/>
      <c r="AZ491"/>
      <c r="BA491"/>
      <c r="BB491"/>
      <c r="BC491" s="578"/>
      <c r="BD491" s="578"/>
      <c r="BE491"/>
      <c r="BF491"/>
      <c r="BG491"/>
      <c r="BH491"/>
      <c r="BI491"/>
      <c r="BJ491"/>
      <c r="BK491"/>
    </row>
    <row r="492" spans="40:63" ht="12.75">
      <c r="AN492"/>
      <c r="AO492" s="293"/>
      <c r="AP492"/>
      <c r="AQ492" s="145"/>
      <c r="AR492"/>
      <c r="AS492"/>
      <c r="AT492"/>
      <c r="AU492"/>
      <c r="AV492"/>
      <c r="AW492"/>
      <c r="AX492"/>
      <c r="AY492"/>
      <c r="AZ492"/>
      <c r="BA492"/>
      <c r="BB492"/>
      <c r="BC492" s="578"/>
      <c r="BD492" s="578"/>
      <c r="BE492"/>
      <c r="BF492"/>
      <c r="BG492"/>
      <c r="BH492"/>
      <c r="BI492"/>
      <c r="BJ492"/>
      <c r="BK492"/>
    </row>
    <row r="493" spans="40:63" ht="12.75">
      <c r="AN493"/>
      <c r="AO493" s="293"/>
      <c r="AP493"/>
      <c r="AQ493" s="145"/>
      <c r="AR493"/>
      <c r="AS493"/>
      <c r="AT493"/>
      <c r="AU493"/>
      <c r="AV493"/>
      <c r="AW493"/>
      <c r="AX493"/>
      <c r="AY493"/>
      <c r="AZ493"/>
      <c r="BA493"/>
      <c r="BB493"/>
      <c r="BC493" s="578"/>
      <c r="BD493" s="578"/>
      <c r="BE493"/>
      <c r="BF493"/>
      <c r="BG493"/>
      <c r="BH493"/>
      <c r="BI493"/>
      <c r="BJ493"/>
      <c r="BK493"/>
    </row>
    <row r="494" spans="40:63" ht="12.75">
      <c r="AN494"/>
      <c r="AO494" s="293"/>
      <c r="AP494"/>
      <c r="AQ494" s="145"/>
      <c r="AR494"/>
      <c r="AS494"/>
      <c r="AT494"/>
      <c r="AU494"/>
      <c r="AV494"/>
      <c r="AW494"/>
      <c r="AX494"/>
      <c r="AY494"/>
      <c r="AZ494"/>
      <c r="BA494"/>
      <c r="BB494"/>
      <c r="BC494" s="578"/>
      <c r="BD494" s="578"/>
      <c r="BE494"/>
      <c r="BF494"/>
      <c r="BG494"/>
      <c r="BH494"/>
      <c r="BI494"/>
      <c r="BJ494"/>
      <c r="BK494"/>
    </row>
    <row r="495" spans="40:63" ht="12.75">
      <c r="AN495"/>
      <c r="AO495" s="293"/>
      <c r="AP495"/>
      <c r="AQ495" s="145"/>
      <c r="AR495"/>
      <c r="AS495"/>
      <c r="AT495"/>
      <c r="AU495"/>
      <c r="AV495"/>
      <c r="AW495"/>
      <c r="AX495"/>
      <c r="AY495"/>
      <c r="AZ495"/>
      <c r="BA495"/>
      <c r="BB495"/>
      <c r="BC495" s="578"/>
      <c r="BD495" s="578"/>
      <c r="BE495"/>
      <c r="BF495"/>
      <c r="BG495"/>
      <c r="BH495"/>
      <c r="BI495"/>
      <c r="BJ495"/>
      <c r="BK495"/>
    </row>
    <row r="496" spans="40:63" ht="12.75">
      <c r="AN496"/>
      <c r="AO496" s="293"/>
      <c r="AP496"/>
      <c r="AQ496" s="145"/>
      <c r="AR496"/>
      <c r="AS496"/>
      <c r="AT496"/>
      <c r="AU496"/>
      <c r="AV496"/>
      <c r="AW496"/>
      <c r="AX496"/>
      <c r="AY496"/>
      <c r="AZ496"/>
      <c r="BA496"/>
      <c r="BB496"/>
      <c r="BC496" s="578"/>
      <c r="BD496" s="578"/>
      <c r="BE496"/>
      <c r="BF496"/>
      <c r="BG496"/>
      <c r="BH496"/>
      <c r="BI496"/>
      <c r="BJ496"/>
      <c r="BK496"/>
    </row>
    <row r="497" spans="40:63" ht="12.75">
      <c r="AN497"/>
      <c r="AO497" s="293"/>
      <c r="AP497"/>
      <c r="AQ497" s="145"/>
      <c r="AR497"/>
      <c r="AS497"/>
      <c r="AT497"/>
      <c r="AU497"/>
      <c r="AV497"/>
      <c r="AW497"/>
      <c r="AX497"/>
      <c r="AY497"/>
      <c r="AZ497"/>
      <c r="BA497"/>
      <c r="BB497"/>
      <c r="BC497" s="578"/>
      <c r="BD497" s="578"/>
      <c r="BE497"/>
      <c r="BF497"/>
      <c r="BG497"/>
      <c r="BH497"/>
      <c r="BI497"/>
      <c r="BJ497"/>
      <c r="BK497"/>
    </row>
    <row r="498" spans="40:63" ht="12.75">
      <c r="AN498"/>
      <c r="AO498" s="293"/>
      <c r="AP498"/>
      <c r="AQ498" s="145"/>
      <c r="AR498"/>
      <c r="AS498"/>
      <c r="AT498"/>
      <c r="AU498"/>
      <c r="AV498"/>
      <c r="AW498"/>
      <c r="AX498"/>
      <c r="AY498"/>
      <c r="AZ498"/>
      <c r="BA498"/>
      <c r="BB498"/>
      <c r="BC498" s="578"/>
      <c r="BD498" s="578"/>
      <c r="BE498"/>
      <c r="BF498"/>
      <c r="BG498"/>
      <c r="BH498"/>
      <c r="BI498"/>
      <c r="BJ498"/>
      <c r="BK498"/>
    </row>
    <row r="499" spans="40:63" ht="12.75">
      <c r="AN499"/>
      <c r="AO499" s="293"/>
      <c r="AP499"/>
      <c r="AQ499" s="145"/>
      <c r="AR499"/>
      <c r="AS499"/>
      <c r="AT499"/>
      <c r="AU499"/>
      <c r="AV499"/>
      <c r="AW499"/>
      <c r="AX499"/>
      <c r="AY499"/>
      <c r="AZ499"/>
      <c r="BA499"/>
      <c r="BB499"/>
      <c r="BC499" s="578"/>
      <c r="BD499" s="578"/>
      <c r="BE499"/>
      <c r="BF499"/>
      <c r="BG499"/>
      <c r="BH499"/>
      <c r="BI499"/>
      <c r="BJ499"/>
      <c r="BK499"/>
    </row>
    <row r="500" spans="40:63" ht="12.75">
      <c r="AN500"/>
      <c r="AO500" s="293"/>
      <c r="AP500"/>
      <c r="AQ500" s="145"/>
      <c r="AR500"/>
      <c r="AS500"/>
      <c r="AT500"/>
      <c r="AU500"/>
      <c r="AV500"/>
      <c r="AW500"/>
      <c r="AX500"/>
      <c r="AY500"/>
      <c r="AZ500"/>
      <c r="BA500"/>
      <c r="BB500"/>
      <c r="BC500" s="578"/>
      <c r="BD500" s="578"/>
      <c r="BE500"/>
      <c r="BF500"/>
      <c r="BG500"/>
      <c r="BH500"/>
      <c r="BI500"/>
      <c r="BJ500"/>
      <c r="BK500"/>
    </row>
    <row r="501" spans="40:63" ht="12.75">
      <c r="AN501"/>
      <c r="AO501" s="293"/>
      <c r="AP501"/>
      <c r="AQ501" s="145"/>
      <c r="AR501"/>
      <c r="AS501"/>
      <c r="AT501"/>
      <c r="AU501"/>
      <c r="AV501"/>
      <c r="AW501"/>
      <c r="AX501"/>
      <c r="AY501"/>
      <c r="AZ501"/>
      <c r="BA501"/>
      <c r="BB501"/>
      <c r="BC501" s="578"/>
      <c r="BD501" s="578"/>
      <c r="BE501"/>
      <c r="BF501"/>
      <c r="BG501"/>
      <c r="BH501"/>
      <c r="BI501"/>
      <c r="BJ501"/>
      <c r="BK501"/>
    </row>
    <row r="502" spans="40:63" ht="12.75">
      <c r="AN502"/>
      <c r="AO502" s="293"/>
      <c r="AP502"/>
      <c r="AQ502" s="145"/>
      <c r="AR502"/>
      <c r="AS502"/>
      <c r="AT502"/>
      <c r="AU502"/>
      <c r="AV502"/>
      <c r="AW502"/>
      <c r="AX502"/>
      <c r="AY502"/>
      <c r="AZ502"/>
      <c r="BA502"/>
      <c r="BB502"/>
      <c r="BC502" s="578"/>
      <c r="BD502" s="578"/>
      <c r="BE502"/>
      <c r="BF502"/>
      <c r="BG502"/>
      <c r="BH502"/>
      <c r="BI502"/>
      <c r="BJ502"/>
      <c r="BK502"/>
    </row>
    <row r="503" spans="40:63" ht="12.75">
      <c r="AN503"/>
      <c r="AO503" s="293"/>
      <c r="AP503"/>
      <c r="AQ503" s="145"/>
      <c r="AR503"/>
      <c r="AS503"/>
      <c r="AT503"/>
      <c r="AU503"/>
      <c r="AV503"/>
      <c r="AW503"/>
      <c r="AX503"/>
      <c r="AY503"/>
      <c r="AZ503"/>
      <c r="BA503"/>
      <c r="BB503"/>
      <c r="BC503" s="578"/>
      <c r="BD503" s="578"/>
      <c r="BE503"/>
      <c r="BF503"/>
      <c r="BG503"/>
      <c r="BH503"/>
      <c r="BI503"/>
      <c r="BJ503"/>
      <c r="BK503"/>
    </row>
    <row r="504" spans="40:63" ht="12.75">
      <c r="AN504"/>
      <c r="AO504" s="293"/>
      <c r="AP504"/>
      <c r="AQ504" s="145"/>
      <c r="AR504"/>
      <c r="AS504"/>
      <c r="AT504"/>
      <c r="AU504"/>
      <c r="AV504"/>
      <c r="AW504"/>
      <c r="AX504"/>
      <c r="AY504"/>
      <c r="AZ504"/>
      <c r="BA504"/>
      <c r="BB504"/>
      <c r="BC504" s="578"/>
      <c r="BD504" s="578"/>
      <c r="BE504"/>
      <c r="BF504"/>
      <c r="BG504"/>
      <c r="BH504"/>
      <c r="BI504"/>
      <c r="BJ504"/>
      <c r="BK504"/>
    </row>
    <row r="505" spans="40:63" ht="12.75">
      <c r="AN505"/>
      <c r="AO505" s="293"/>
      <c r="AP505"/>
      <c r="AQ505" s="145"/>
      <c r="AR505"/>
      <c r="AS505"/>
      <c r="AT505"/>
      <c r="AU505"/>
      <c r="AV505"/>
      <c r="AW505"/>
      <c r="AX505"/>
      <c r="AY505"/>
      <c r="AZ505"/>
      <c r="BA505"/>
      <c r="BB505"/>
      <c r="BC505" s="578"/>
      <c r="BD505" s="578"/>
      <c r="BE505"/>
      <c r="BF505"/>
      <c r="BG505"/>
      <c r="BH505"/>
      <c r="BI505"/>
      <c r="BJ505"/>
      <c r="BK505"/>
    </row>
    <row r="506" spans="40:63" ht="12.75">
      <c r="AN506"/>
      <c r="AO506" s="293"/>
      <c r="AP506"/>
      <c r="AQ506" s="145"/>
      <c r="AR506"/>
      <c r="AS506"/>
      <c r="AT506"/>
      <c r="AU506"/>
      <c r="AV506"/>
      <c r="AW506"/>
      <c r="AX506"/>
      <c r="AY506"/>
      <c r="AZ506"/>
      <c r="BA506"/>
      <c r="BB506"/>
      <c r="BC506" s="578"/>
      <c r="BD506" s="578"/>
      <c r="BE506"/>
      <c r="BF506"/>
      <c r="BG506"/>
      <c r="BH506"/>
      <c r="BI506"/>
      <c r="BJ506"/>
      <c r="BK506"/>
    </row>
    <row r="507" spans="40:63" ht="12.75">
      <c r="AN507"/>
      <c r="AO507" s="293"/>
      <c r="AP507"/>
      <c r="AQ507" s="145"/>
      <c r="AR507"/>
      <c r="AS507"/>
      <c r="AT507"/>
      <c r="AU507"/>
      <c r="AV507"/>
      <c r="AW507"/>
      <c r="AX507"/>
      <c r="AY507"/>
      <c r="AZ507"/>
      <c r="BA507"/>
      <c r="BB507"/>
      <c r="BC507" s="578"/>
      <c r="BD507" s="578"/>
      <c r="BE507"/>
      <c r="BF507"/>
      <c r="BG507"/>
      <c r="BH507"/>
      <c r="BI507"/>
      <c r="BJ507"/>
      <c r="BK507"/>
    </row>
    <row r="508" spans="40:63" ht="12.75">
      <c r="AN508"/>
      <c r="AO508" s="293"/>
      <c r="AP508"/>
      <c r="AQ508" s="145"/>
      <c r="AR508"/>
      <c r="AS508"/>
      <c r="AT508"/>
      <c r="AU508"/>
      <c r="AV508"/>
      <c r="AW508"/>
      <c r="AX508"/>
      <c r="AY508"/>
      <c r="AZ508"/>
      <c r="BA508"/>
      <c r="BB508"/>
      <c r="BC508" s="578"/>
      <c r="BD508" s="578"/>
      <c r="BE508"/>
      <c r="BF508"/>
      <c r="BG508"/>
      <c r="BH508"/>
      <c r="BI508"/>
      <c r="BJ508"/>
      <c r="BK508"/>
    </row>
    <row r="509" spans="40:63" ht="12.75">
      <c r="AN509"/>
      <c r="AO509" s="293"/>
      <c r="AP509"/>
      <c r="AQ509" s="145"/>
      <c r="AR509"/>
      <c r="AS509"/>
      <c r="AT509"/>
      <c r="AU509"/>
      <c r="AV509"/>
      <c r="AW509"/>
      <c r="AX509"/>
      <c r="AY509"/>
      <c r="AZ509"/>
      <c r="BA509"/>
      <c r="BB509"/>
      <c r="BC509" s="578"/>
      <c r="BD509" s="578"/>
      <c r="BE509"/>
      <c r="BF509"/>
      <c r="BG509"/>
      <c r="BH509"/>
      <c r="BI509"/>
      <c r="BJ509"/>
      <c r="BK509"/>
    </row>
    <row r="510" spans="40:63" ht="12.75">
      <c r="AN510"/>
      <c r="AO510" s="293"/>
      <c r="AP510"/>
      <c r="AQ510" s="145"/>
      <c r="AR510"/>
      <c r="AS510"/>
      <c r="AT510"/>
      <c r="AU510"/>
      <c r="AV510"/>
      <c r="AW510"/>
      <c r="AX510"/>
      <c r="AY510"/>
      <c r="AZ510"/>
      <c r="BA510"/>
      <c r="BB510"/>
      <c r="BC510" s="578"/>
      <c r="BD510" s="578"/>
      <c r="BE510"/>
      <c r="BF510"/>
      <c r="BG510"/>
      <c r="BH510"/>
      <c r="BI510"/>
      <c r="BJ510"/>
      <c r="BK510"/>
    </row>
    <row r="511" spans="40:63" ht="12.75">
      <c r="AN511"/>
      <c r="AO511" s="293"/>
      <c r="AP511"/>
      <c r="AQ511" s="145"/>
      <c r="AR511"/>
      <c r="AS511"/>
      <c r="AT511"/>
      <c r="AU511"/>
      <c r="AV511"/>
      <c r="AW511"/>
      <c r="AX511"/>
      <c r="AY511"/>
      <c r="AZ511"/>
      <c r="BA511"/>
      <c r="BB511"/>
      <c r="BC511" s="578"/>
      <c r="BD511" s="578"/>
      <c r="BE511"/>
      <c r="BF511"/>
      <c r="BG511"/>
      <c r="BH511"/>
      <c r="BI511"/>
      <c r="BJ511"/>
      <c r="BK511"/>
    </row>
    <row r="512" spans="40:63" ht="12.75">
      <c r="AN512"/>
      <c r="AO512" s="293"/>
      <c r="AP512"/>
      <c r="AQ512" s="145"/>
      <c r="AR512"/>
      <c r="AS512"/>
      <c r="AT512"/>
      <c r="AU512"/>
      <c r="AV512"/>
      <c r="AW512"/>
      <c r="AX512"/>
      <c r="AY512"/>
      <c r="AZ512"/>
      <c r="BA512"/>
      <c r="BB512"/>
      <c r="BC512" s="578"/>
      <c r="BD512" s="578"/>
      <c r="BE512"/>
      <c r="BF512"/>
      <c r="BG512"/>
      <c r="BH512"/>
      <c r="BI512"/>
      <c r="BJ512"/>
      <c r="BK512"/>
    </row>
    <row r="513" spans="40:63" ht="12.75">
      <c r="AN513"/>
      <c r="AO513" s="293"/>
      <c r="AP513"/>
      <c r="AQ513" s="145"/>
      <c r="AR513"/>
      <c r="AS513"/>
      <c r="AT513"/>
      <c r="AU513"/>
      <c r="AV513"/>
      <c r="AW513"/>
      <c r="AX513"/>
      <c r="AY513"/>
      <c r="AZ513"/>
      <c r="BA513"/>
      <c r="BB513"/>
      <c r="BC513" s="578"/>
      <c r="BD513" s="578"/>
      <c r="BE513"/>
      <c r="BF513"/>
      <c r="BG513"/>
      <c r="BH513"/>
      <c r="BI513"/>
      <c r="BJ513"/>
      <c r="BK513"/>
    </row>
    <row r="514" spans="40:63" ht="12.75">
      <c r="AN514"/>
      <c r="AO514" s="293"/>
      <c r="AP514"/>
      <c r="AQ514" s="145"/>
      <c r="AR514"/>
      <c r="AS514"/>
      <c r="AT514"/>
      <c r="AU514"/>
      <c r="AV514"/>
      <c r="AW514"/>
      <c r="AX514"/>
      <c r="AY514"/>
      <c r="AZ514"/>
      <c r="BA514"/>
      <c r="BB514"/>
      <c r="BC514" s="578"/>
      <c r="BD514" s="578"/>
      <c r="BE514"/>
      <c r="BF514"/>
      <c r="BG514"/>
      <c r="BH514"/>
      <c r="BI514"/>
      <c r="BJ514"/>
      <c r="BK514"/>
    </row>
    <row r="515" spans="40:63" ht="12.75">
      <c r="AN515"/>
      <c r="AO515" s="293"/>
      <c r="AP515"/>
      <c r="AQ515" s="145"/>
      <c r="AR515"/>
      <c r="AS515"/>
      <c r="AT515"/>
      <c r="AU515"/>
      <c r="AV515"/>
      <c r="AW515"/>
      <c r="AX515"/>
      <c r="AY515"/>
      <c r="AZ515"/>
      <c r="BA515"/>
      <c r="BB515"/>
      <c r="BC515" s="578"/>
      <c r="BD515" s="578"/>
      <c r="BE515"/>
      <c r="BF515"/>
      <c r="BG515"/>
      <c r="BH515"/>
      <c r="BI515"/>
      <c r="BJ515"/>
      <c r="BK515"/>
    </row>
    <row r="516" spans="40:63" ht="12.75">
      <c r="AN516"/>
      <c r="AO516" s="293"/>
      <c r="AP516"/>
      <c r="AQ516" s="145"/>
      <c r="AR516"/>
      <c r="AS516"/>
      <c r="AT516"/>
      <c r="AU516"/>
      <c r="AV516"/>
      <c r="AW516"/>
      <c r="AX516"/>
      <c r="AY516"/>
      <c r="AZ516"/>
      <c r="BA516"/>
      <c r="BB516"/>
      <c r="BC516" s="578"/>
      <c r="BD516" s="578"/>
      <c r="BE516"/>
      <c r="BF516"/>
      <c r="BG516"/>
      <c r="BH516"/>
      <c r="BI516"/>
      <c r="BJ516"/>
      <c r="BK516"/>
    </row>
    <row r="517" spans="40:63" ht="12.75">
      <c r="AN517"/>
      <c r="AO517" s="293"/>
      <c r="AP517"/>
      <c r="AQ517" s="145"/>
      <c r="AR517"/>
      <c r="AS517"/>
      <c r="AT517"/>
      <c r="AU517"/>
      <c r="AV517"/>
      <c r="AW517"/>
      <c r="AX517"/>
      <c r="AY517"/>
      <c r="AZ517"/>
      <c r="BA517"/>
      <c r="BB517"/>
      <c r="BC517" s="578"/>
      <c r="BD517" s="578"/>
      <c r="BE517"/>
      <c r="BF517"/>
      <c r="BG517"/>
      <c r="BH517"/>
      <c r="BI517"/>
      <c r="BJ517"/>
      <c r="BK517"/>
    </row>
    <row r="518" spans="40:63" ht="12.75">
      <c r="AN518"/>
      <c r="AO518" s="293"/>
      <c r="AP518"/>
      <c r="AQ518" s="145"/>
      <c r="AR518"/>
      <c r="AS518"/>
      <c r="AT518"/>
      <c r="AU518"/>
      <c r="AV518"/>
      <c r="AW518"/>
      <c r="AX518"/>
      <c r="AY518"/>
      <c r="AZ518"/>
      <c r="BA518"/>
      <c r="BB518"/>
      <c r="BC518" s="578"/>
      <c r="BD518" s="578"/>
      <c r="BE518"/>
      <c r="BF518"/>
      <c r="BG518"/>
      <c r="BH518"/>
      <c r="BI518"/>
      <c r="BJ518"/>
      <c r="BK518"/>
    </row>
    <row r="519" spans="40:63" ht="12.75">
      <c r="AN519"/>
      <c r="AO519" s="293"/>
      <c r="AP519"/>
      <c r="AQ519" s="145"/>
      <c r="AR519"/>
      <c r="AS519"/>
      <c r="AT519"/>
      <c r="AU519"/>
      <c r="AV519"/>
      <c r="AW519"/>
      <c r="AX519"/>
      <c r="AY519"/>
      <c r="AZ519"/>
      <c r="BA519"/>
      <c r="BB519"/>
      <c r="BC519" s="578"/>
      <c r="BD519" s="578"/>
      <c r="BE519"/>
      <c r="BF519"/>
      <c r="BG519"/>
      <c r="BH519"/>
      <c r="BI519"/>
      <c r="BJ519"/>
      <c r="BK519"/>
    </row>
    <row r="520" spans="40:63" ht="12.75">
      <c r="AN520"/>
      <c r="AO520" s="293"/>
      <c r="AP520"/>
      <c r="AQ520" s="145"/>
      <c r="AR520"/>
      <c r="AS520"/>
      <c r="AT520"/>
      <c r="AU520"/>
      <c r="AV520"/>
      <c r="AW520"/>
      <c r="AX520"/>
      <c r="AY520"/>
      <c r="AZ520"/>
      <c r="BA520"/>
      <c r="BB520"/>
      <c r="BC520" s="578"/>
      <c r="BD520" s="578"/>
      <c r="BE520"/>
      <c r="BF520"/>
      <c r="BG520"/>
      <c r="BH520"/>
      <c r="BI520"/>
      <c r="BJ520"/>
      <c r="BK520"/>
    </row>
    <row r="521" spans="40:63" ht="12.75">
      <c r="AN521"/>
      <c r="AO521" s="293"/>
      <c r="AP521"/>
      <c r="AQ521" s="145"/>
      <c r="AR521"/>
      <c r="AS521"/>
      <c r="AT521"/>
      <c r="AU521"/>
      <c r="AV521"/>
      <c r="AW521"/>
      <c r="AX521"/>
      <c r="AY521"/>
      <c r="AZ521"/>
      <c r="BA521"/>
      <c r="BB521"/>
      <c r="BC521" s="578"/>
      <c r="BD521" s="578"/>
      <c r="BE521"/>
      <c r="BF521"/>
      <c r="BG521"/>
      <c r="BH521"/>
      <c r="BI521"/>
      <c r="BJ521"/>
      <c r="BK521"/>
    </row>
    <row r="522" spans="40:63" ht="12.75">
      <c r="AN522"/>
      <c r="AO522" s="293"/>
      <c r="AP522"/>
      <c r="AQ522" s="145"/>
      <c r="AR522"/>
      <c r="AS522"/>
      <c r="AT522"/>
      <c r="AU522"/>
      <c r="AV522"/>
      <c r="AW522"/>
      <c r="AX522"/>
      <c r="AY522"/>
      <c r="AZ522"/>
      <c r="BA522"/>
      <c r="BB522"/>
      <c r="BC522" s="578"/>
      <c r="BD522" s="578"/>
      <c r="BE522"/>
      <c r="BF522"/>
      <c r="BG522"/>
      <c r="BH522"/>
      <c r="BI522"/>
      <c r="BJ522"/>
      <c r="BK522"/>
    </row>
    <row r="523" spans="40:63" ht="12.75">
      <c r="AN523"/>
      <c r="AO523" s="293"/>
      <c r="AP523"/>
      <c r="AQ523" s="145"/>
      <c r="AR523"/>
      <c r="AS523"/>
      <c r="AT523"/>
      <c r="AU523"/>
      <c r="AV523"/>
      <c r="AW523"/>
      <c r="AX523"/>
      <c r="AY523"/>
      <c r="AZ523"/>
      <c r="BA523"/>
      <c r="BB523"/>
      <c r="BC523" s="578"/>
      <c r="BD523" s="578"/>
      <c r="BE523"/>
      <c r="BF523"/>
      <c r="BG523"/>
      <c r="BH523"/>
      <c r="BI523"/>
      <c r="BJ523"/>
      <c r="BK523"/>
    </row>
    <row r="524" spans="40:63" ht="12.75">
      <c r="AN524"/>
      <c r="AO524" s="293"/>
      <c r="AP524"/>
      <c r="AQ524" s="145"/>
      <c r="AR524"/>
      <c r="AS524"/>
      <c r="AT524"/>
      <c r="AU524"/>
      <c r="AV524"/>
      <c r="AW524"/>
      <c r="AX524"/>
      <c r="AY524"/>
      <c r="AZ524"/>
      <c r="BA524"/>
      <c r="BB524"/>
      <c r="BC524" s="578"/>
      <c r="BD524" s="578"/>
      <c r="BE524"/>
      <c r="BF524"/>
      <c r="BG524"/>
      <c r="BH524"/>
      <c r="BI524"/>
      <c r="BJ524"/>
      <c r="BK524"/>
    </row>
    <row r="525" spans="40:63" ht="12.75">
      <c r="AN525"/>
      <c r="AO525" s="293"/>
      <c r="AP525"/>
      <c r="AQ525" s="145"/>
      <c r="AR525"/>
      <c r="AS525"/>
      <c r="AT525"/>
      <c r="AU525"/>
      <c r="AV525"/>
      <c r="AW525"/>
      <c r="AX525"/>
      <c r="AY525"/>
      <c r="AZ525"/>
      <c r="BA525"/>
      <c r="BB525"/>
      <c r="BC525" s="578"/>
      <c r="BD525" s="578"/>
      <c r="BE525"/>
      <c r="BF525"/>
      <c r="BG525"/>
      <c r="BH525"/>
      <c r="BI525"/>
      <c r="BJ525"/>
      <c r="BK525"/>
    </row>
    <row r="526" spans="40:63" ht="12.75">
      <c r="AN526"/>
      <c r="AO526" s="293"/>
      <c r="AP526"/>
      <c r="AQ526" s="145"/>
      <c r="AR526"/>
      <c r="AS526"/>
      <c r="AT526"/>
      <c r="AU526"/>
      <c r="AV526"/>
      <c r="AW526"/>
      <c r="AX526"/>
      <c r="AY526"/>
      <c r="AZ526"/>
      <c r="BA526"/>
      <c r="BB526"/>
      <c r="BC526" s="578"/>
      <c r="BD526" s="578"/>
      <c r="BE526"/>
      <c r="BF526"/>
      <c r="BG526"/>
      <c r="BH526"/>
      <c r="BI526"/>
      <c r="BJ526"/>
      <c r="BK526"/>
    </row>
    <row r="527" spans="40:63" ht="12.75">
      <c r="AN527"/>
      <c r="AO527" s="293"/>
      <c r="AP527"/>
      <c r="AQ527" s="145"/>
      <c r="AR527"/>
      <c r="AS527"/>
      <c r="AT527"/>
      <c r="AU527"/>
      <c r="AV527"/>
      <c r="AW527"/>
      <c r="AX527"/>
      <c r="AY527"/>
      <c r="AZ527"/>
      <c r="BA527"/>
      <c r="BB527"/>
      <c r="BC527" s="578"/>
      <c r="BD527" s="578"/>
      <c r="BE527"/>
      <c r="BF527"/>
      <c r="BG527"/>
      <c r="BH527"/>
      <c r="BI527"/>
      <c r="BJ527"/>
      <c r="BK527"/>
    </row>
    <row r="528" spans="40:63" ht="12.75">
      <c r="AN528"/>
      <c r="AO528" s="293"/>
      <c r="AP528"/>
      <c r="AQ528" s="145"/>
      <c r="AR528"/>
      <c r="AS528"/>
      <c r="AT528"/>
      <c r="AU528"/>
      <c r="AV528"/>
      <c r="AW528"/>
      <c r="AX528"/>
      <c r="AY528"/>
      <c r="AZ528"/>
      <c r="BA528"/>
      <c r="BB528"/>
      <c r="BC528" s="578"/>
      <c r="BD528" s="578"/>
      <c r="BE528"/>
      <c r="BF528"/>
      <c r="BG528"/>
      <c r="BH528"/>
      <c r="BI528"/>
      <c r="BJ528"/>
      <c r="BK528"/>
    </row>
    <row r="529" spans="40:63" ht="12.75">
      <c r="AN529"/>
      <c r="AO529" s="293"/>
      <c r="AP529"/>
      <c r="AQ529" s="145"/>
      <c r="AR529"/>
      <c r="AS529"/>
      <c r="AT529"/>
      <c r="AU529"/>
      <c r="AV529"/>
      <c r="AW529"/>
      <c r="AX529"/>
      <c r="AY529"/>
      <c r="AZ529"/>
      <c r="BA529"/>
      <c r="BB529"/>
      <c r="BC529" s="578"/>
      <c r="BD529" s="578"/>
      <c r="BE529"/>
      <c r="BF529"/>
      <c r="BG529"/>
      <c r="BH529"/>
      <c r="BI529"/>
      <c r="BJ529"/>
      <c r="BK529"/>
    </row>
    <row r="530" spans="40:63" ht="12.75">
      <c r="AN530"/>
      <c r="AO530" s="293"/>
      <c r="AP530"/>
      <c r="AQ530" s="145"/>
      <c r="AR530"/>
      <c r="AS530"/>
      <c r="AT530"/>
      <c r="AU530"/>
      <c r="AV530"/>
      <c r="AW530"/>
      <c r="AX530"/>
      <c r="AY530"/>
      <c r="AZ530"/>
      <c r="BA530"/>
      <c r="BB530"/>
      <c r="BC530" s="578"/>
      <c r="BD530" s="578"/>
      <c r="BE530"/>
      <c r="BF530"/>
      <c r="BG530"/>
      <c r="BH530"/>
      <c r="BI530"/>
      <c r="BJ530"/>
      <c r="BK530"/>
    </row>
    <row r="531" spans="40:63" ht="12.75">
      <c r="AN531"/>
      <c r="AO531" s="293"/>
      <c r="AP531"/>
      <c r="AQ531" s="145"/>
      <c r="AR531"/>
      <c r="AS531"/>
      <c r="AT531"/>
      <c r="AU531"/>
      <c r="AV531"/>
      <c r="AW531"/>
      <c r="AX531"/>
      <c r="AY531"/>
      <c r="AZ531"/>
      <c r="BA531"/>
      <c r="BB531"/>
      <c r="BC531" s="578"/>
      <c r="BD531" s="578"/>
      <c r="BE531"/>
      <c r="BF531"/>
      <c r="BG531"/>
      <c r="BH531"/>
      <c r="BI531"/>
      <c r="BJ531"/>
      <c r="BK531"/>
    </row>
    <row r="532" spans="40:63" ht="12.75">
      <c r="AN532"/>
      <c r="AO532" s="293"/>
      <c r="AP532"/>
      <c r="AQ532" s="145"/>
      <c r="AR532"/>
      <c r="AS532"/>
      <c r="AT532"/>
      <c r="AU532"/>
      <c r="AV532"/>
      <c r="AW532"/>
      <c r="AX532"/>
      <c r="AY532"/>
      <c r="AZ532"/>
      <c r="BA532"/>
      <c r="BB532"/>
      <c r="BC532" s="578"/>
      <c r="BD532" s="578"/>
      <c r="BE532"/>
      <c r="BF532"/>
      <c r="BG532"/>
      <c r="BH532"/>
      <c r="BI532"/>
      <c r="BJ532"/>
      <c r="BK532"/>
    </row>
    <row r="533" spans="40:63" ht="12.75">
      <c r="AN533"/>
      <c r="AO533" s="293"/>
      <c r="AP533"/>
      <c r="AQ533" s="145"/>
      <c r="AR533"/>
      <c r="AS533"/>
      <c r="AT533"/>
      <c r="AU533"/>
      <c r="AV533"/>
      <c r="AW533"/>
      <c r="AX533"/>
      <c r="AY533"/>
      <c r="AZ533"/>
      <c r="BA533"/>
      <c r="BB533"/>
      <c r="BC533" s="578"/>
      <c r="BD533" s="578"/>
      <c r="BE533"/>
      <c r="BF533"/>
      <c r="BG533"/>
      <c r="BH533"/>
      <c r="BI533"/>
      <c r="BJ533"/>
      <c r="BK533"/>
    </row>
    <row r="534" spans="40:63" ht="12.75">
      <c r="AN534"/>
      <c r="AO534" s="293"/>
      <c r="AP534"/>
      <c r="AQ534" s="145"/>
      <c r="AR534"/>
      <c r="AS534"/>
      <c r="AT534"/>
      <c r="AU534"/>
      <c r="AV534"/>
      <c r="AW534"/>
      <c r="AX534"/>
      <c r="AY534"/>
      <c r="AZ534"/>
      <c r="BA534"/>
      <c r="BB534"/>
      <c r="BC534" s="578"/>
      <c r="BD534" s="578"/>
      <c r="BE534"/>
      <c r="BF534"/>
      <c r="BG534"/>
      <c r="BH534"/>
      <c r="BI534"/>
      <c r="BJ534"/>
      <c r="BK534"/>
    </row>
    <row r="535" spans="40:63" ht="12.75">
      <c r="AN535"/>
      <c r="AO535" s="293"/>
      <c r="AP535"/>
      <c r="AQ535" s="145"/>
      <c r="AR535"/>
      <c r="AS535"/>
      <c r="AT535"/>
      <c r="AU535"/>
      <c r="AV535"/>
      <c r="AW535"/>
      <c r="AX535"/>
      <c r="AY535"/>
      <c r="AZ535"/>
      <c r="BA535"/>
      <c r="BB535"/>
      <c r="BC535" s="578"/>
      <c r="BD535" s="578"/>
      <c r="BE535"/>
      <c r="BF535"/>
      <c r="BG535"/>
      <c r="BH535"/>
      <c r="BI535"/>
      <c r="BJ535"/>
      <c r="BK535"/>
    </row>
    <row r="536" spans="40:63" ht="12.75">
      <c r="AN536"/>
      <c r="AO536" s="293"/>
      <c r="AP536"/>
      <c r="AQ536" s="145"/>
      <c r="AR536"/>
      <c r="AS536"/>
      <c r="AT536"/>
      <c r="AU536"/>
      <c r="AV536"/>
      <c r="AW536"/>
      <c r="AX536"/>
      <c r="AY536"/>
      <c r="AZ536"/>
      <c r="BA536"/>
      <c r="BB536"/>
      <c r="BC536" s="578"/>
      <c r="BD536" s="578"/>
      <c r="BE536"/>
      <c r="BF536"/>
      <c r="BG536"/>
      <c r="BH536"/>
      <c r="BI536"/>
      <c r="BJ536"/>
      <c r="BK536"/>
    </row>
    <row r="537" spans="40:63" ht="12.75">
      <c r="AN537"/>
      <c r="AO537" s="293"/>
      <c r="AP537"/>
      <c r="AQ537" s="145"/>
      <c r="AR537"/>
      <c r="AS537"/>
      <c r="AT537"/>
      <c r="AU537"/>
      <c r="AV537"/>
      <c r="AW537"/>
      <c r="AX537"/>
      <c r="AY537"/>
      <c r="AZ537"/>
      <c r="BA537"/>
      <c r="BB537"/>
      <c r="BC537" s="578"/>
      <c r="BD537" s="578"/>
      <c r="BE537"/>
      <c r="BF537"/>
      <c r="BG537"/>
      <c r="BH537"/>
      <c r="BI537"/>
      <c r="BJ537"/>
      <c r="BK537"/>
    </row>
    <row r="538" spans="40:63" ht="12.75">
      <c r="AN538"/>
      <c r="AO538" s="293"/>
      <c r="AP538"/>
      <c r="AQ538" s="145"/>
      <c r="AR538"/>
      <c r="AS538"/>
      <c r="AT538"/>
      <c r="AU538"/>
      <c r="AV538"/>
      <c r="AW538"/>
      <c r="AX538"/>
      <c r="AY538"/>
      <c r="AZ538"/>
      <c r="BA538"/>
      <c r="BB538"/>
      <c r="BC538" s="578"/>
      <c r="BD538" s="578"/>
      <c r="BE538"/>
      <c r="BF538"/>
      <c r="BG538"/>
      <c r="BH538"/>
      <c r="BI538"/>
      <c r="BJ538"/>
      <c r="BK538"/>
    </row>
    <row r="539" spans="40:63" ht="12.75">
      <c r="AN539"/>
      <c r="AO539" s="293"/>
      <c r="AP539"/>
      <c r="AQ539" s="145"/>
      <c r="AR539"/>
      <c r="AS539"/>
      <c r="AT539"/>
      <c r="AU539"/>
      <c r="AV539"/>
      <c r="AW539"/>
      <c r="AX539"/>
      <c r="AY539"/>
      <c r="AZ539"/>
      <c r="BA539"/>
      <c r="BB539"/>
      <c r="BC539" s="578"/>
      <c r="BD539" s="578"/>
      <c r="BE539"/>
      <c r="BF539"/>
      <c r="BG539"/>
      <c r="BH539"/>
      <c r="BI539"/>
      <c r="BJ539"/>
      <c r="BK539"/>
    </row>
    <row r="540" spans="40:63" ht="12.75">
      <c r="AN540"/>
      <c r="AO540" s="293"/>
      <c r="AP540"/>
      <c r="AQ540" s="145"/>
      <c r="AR540"/>
      <c r="AS540"/>
      <c r="AT540"/>
      <c r="AU540"/>
      <c r="AV540"/>
      <c r="AW540"/>
      <c r="AX540"/>
      <c r="AY540"/>
      <c r="AZ540"/>
      <c r="BA540"/>
      <c r="BB540"/>
      <c r="BC540" s="578"/>
      <c r="BD540" s="578"/>
      <c r="BE540"/>
      <c r="BF540"/>
      <c r="BG540"/>
      <c r="BH540"/>
      <c r="BI540"/>
      <c r="BJ540"/>
      <c r="BK540"/>
    </row>
    <row r="541" spans="40:63" ht="12.75">
      <c r="AN541"/>
      <c r="AO541" s="293"/>
      <c r="AP541"/>
      <c r="AQ541" s="145"/>
      <c r="AR541"/>
      <c r="AS541"/>
      <c r="AT541"/>
      <c r="AU541"/>
      <c r="AV541"/>
      <c r="AW541"/>
      <c r="AX541"/>
      <c r="AY541"/>
      <c r="AZ541"/>
      <c r="BA541"/>
      <c r="BB541"/>
      <c r="BC541" s="578"/>
      <c r="BD541" s="578"/>
      <c r="BE541"/>
      <c r="BF541"/>
      <c r="BG541"/>
      <c r="BH541"/>
      <c r="BI541"/>
      <c r="BJ541"/>
      <c r="BK541"/>
    </row>
    <row r="542" spans="40:63" ht="12.75">
      <c r="AN542"/>
      <c r="AO542" s="293"/>
      <c r="AP542"/>
      <c r="AQ542" s="145"/>
      <c r="AR542"/>
      <c r="AS542"/>
      <c r="AT542"/>
      <c r="AU542"/>
      <c r="AV542"/>
      <c r="AW542"/>
      <c r="AX542"/>
      <c r="AY542"/>
      <c r="AZ542"/>
      <c r="BA542"/>
      <c r="BB542"/>
      <c r="BC542" s="578"/>
      <c r="BD542" s="578"/>
      <c r="BE542"/>
      <c r="BF542"/>
      <c r="BG542"/>
      <c r="BH542"/>
      <c r="BI542"/>
      <c r="BJ542"/>
      <c r="BK542"/>
    </row>
    <row r="543" spans="40:63" ht="12.75">
      <c r="AN543"/>
      <c r="AO543" s="293"/>
      <c r="AP543"/>
      <c r="AQ543" s="145"/>
      <c r="AR543"/>
      <c r="AS543"/>
      <c r="AT543"/>
      <c r="AU543"/>
      <c r="AV543"/>
      <c r="AW543"/>
      <c r="AX543"/>
      <c r="AY543"/>
      <c r="AZ543"/>
      <c r="BA543"/>
      <c r="BB543"/>
      <c r="BC543" s="578"/>
      <c r="BD543" s="578"/>
      <c r="BE543"/>
      <c r="BF543"/>
      <c r="BG543"/>
      <c r="BH543"/>
      <c r="BI543"/>
      <c r="BJ543"/>
      <c r="BK543"/>
    </row>
    <row r="544" spans="40:63" ht="12.75">
      <c r="AN544"/>
      <c r="AO544" s="293"/>
      <c r="AP544"/>
      <c r="AQ544" s="145"/>
      <c r="AR544"/>
      <c r="AS544"/>
      <c r="AT544"/>
      <c r="AU544"/>
      <c r="AV544"/>
      <c r="AW544"/>
      <c r="AX544"/>
      <c r="AY544"/>
      <c r="AZ544"/>
      <c r="BA544"/>
      <c r="BB544"/>
      <c r="BC544" s="578"/>
      <c r="BD544" s="578"/>
      <c r="BE544"/>
      <c r="BF544"/>
      <c r="BG544"/>
      <c r="BH544"/>
      <c r="BI544"/>
      <c r="BJ544"/>
      <c r="BK544"/>
    </row>
    <row r="545" spans="40:63" ht="12.75">
      <c r="AN545"/>
      <c r="AO545" s="293"/>
      <c r="AP545"/>
      <c r="AQ545" s="145"/>
      <c r="AR545"/>
      <c r="AS545"/>
      <c r="AT545"/>
      <c r="AU545"/>
      <c r="AV545"/>
      <c r="AW545"/>
      <c r="AX545"/>
      <c r="AY545"/>
      <c r="AZ545"/>
      <c r="BA545"/>
      <c r="BB545"/>
      <c r="BC545" s="578"/>
      <c r="BD545" s="578"/>
      <c r="BE545"/>
      <c r="BF545"/>
      <c r="BG545"/>
      <c r="BH545"/>
      <c r="BI545"/>
      <c r="BJ545"/>
      <c r="BK545"/>
    </row>
    <row r="546" spans="40:63" ht="12.75">
      <c r="AN546"/>
      <c r="AO546" s="293"/>
      <c r="AP546"/>
      <c r="AQ546" s="145"/>
      <c r="AR546"/>
      <c r="AS546"/>
      <c r="AT546"/>
      <c r="AU546"/>
      <c r="AV546"/>
      <c r="AW546"/>
      <c r="AX546"/>
      <c r="AY546"/>
      <c r="AZ546"/>
      <c r="BA546"/>
      <c r="BB546"/>
      <c r="BC546" s="578"/>
      <c r="BD546" s="578"/>
      <c r="BE546"/>
      <c r="BF546"/>
      <c r="BG546"/>
      <c r="BH546"/>
      <c r="BI546"/>
      <c r="BJ546"/>
      <c r="BK546"/>
    </row>
    <row r="547" spans="40:63" ht="12.75">
      <c r="AN547"/>
      <c r="AO547" s="293"/>
      <c r="AP547"/>
      <c r="AQ547" s="145"/>
      <c r="AR547"/>
      <c r="AS547"/>
      <c r="AT547"/>
      <c r="AU547"/>
      <c r="AV547"/>
      <c r="AW547"/>
      <c r="AX547"/>
      <c r="AY547"/>
      <c r="AZ547"/>
      <c r="BA547"/>
      <c r="BB547"/>
      <c r="BC547" s="578"/>
      <c r="BD547" s="578"/>
      <c r="BE547"/>
      <c r="BF547"/>
      <c r="BG547"/>
      <c r="BH547"/>
      <c r="BI547"/>
      <c r="BJ547"/>
      <c r="BK547"/>
    </row>
    <row r="548" spans="40:63" ht="12.75">
      <c r="AN548"/>
      <c r="AO548" s="293"/>
      <c r="AP548"/>
      <c r="AQ548" s="145"/>
      <c r="AR548"/>
      <c r="AS548"/>
      <c r="AT548"/>
      <c r="AU548"/>
      <c r="AV548"/>
      <c r="AW548"/>
      <c r="AX548"/>
      <c r="AY548"/>
      <c r="AZ548"/>
      <c r="BA548"/>
      <c r="BB548"/>
      <c r="BC548" s="578"/>
      <c r="BD548" s="578"/>
      <c r="BE548"/>
      <c r="BF548"/>
      <c r="BG548"/>
      <c r="BH548"/>
      <c r="BI548"/>
      <c r="BJ548"/>
      <c r="BK548"/>
    </row>
    <row r="549" spans="40:63" ht="12.75">
      <c r="AN549"/>
      <c r="AO549" s="293"/>
      <c r="AP549"/>
      <c r="AQ549" s="145"/>
      <c r="AR549"/>
      <c r="AS549"/>
      <c r="AT549"/>
      <c r="AU549"/>
      <c r="AV549"/>
      <c r="AW549"/>
      <c r="AX549"/>
      <c r="AY549"/>
      <c r="AZ549"/>
      <c r="BA549"/>
      <c r="BB549"/>
      <c r="BC549" s="578"/>
      <c r="BD549" s="578"/>
      <c r="BE549"/>
      <c r="BF549"/>
      <c r="BG549"/>
      <c r="BH549"/>
      <c r="BI549"/>
      <c r="BJ549"/>
      <c r="BK549"/>
    </row>
    <row r="550" spans="40:63" ht="12.75">
      <c r="AN550"/>
      <c r="AO550" s="293"/>
      <c r="AP550"/>
      <c r="AQ550" s="145"/>
      <c r="AR550"/>
      <c r="AS550"/>
      <c r="AT550"/>
      <c r="AU550"/>
      <c r="AV550"/>
      <c r="AW550"/>
      <c r="AX550"/>
      <c r="AY550"/>
      <c r="AZ550"/>
      <c r="BA550"/>
      <c r="BB550"/>
      <c r="BC550" s="578"/>
      <c r="BD550" s="578"/>
      <c r="BE550"/>
      <c r="BF550"/>
      <c r="BG550"/>
      <c r="BH550"/>
      <c r="BI550"/>
      <c r="BJ550"/>
      <c r="BK550"/>
    </row>
    <row r="551" spans="40:63" ht="12.75">
      <c r="AN551"/>
      <c r="AO551" s="293"/>
      <c r="AP551"/>
      <c r="AQ551" s="145"/>
      <c r="AR551"/>
      <c r="AS551"/>
      <c r="AT551"/>
      <c r="AU551"/>
      <c r="AV551"/>
      <c r="AW551"/>
      <c r="AX551"/>
      <c r="AY551"/>
      <c r="AZ551"/>
      <c r="BA551"/>
      <c r="BB551"/>
      <c r="BC551" s="578"/>
      <c r="BD551" s="578"/>
      <c r="BE551"/>
      <c r="BF551"/>
      <c r="BG551"/>
      <c r="BH551"/>
      <c r="BI551"/>
      <c r="BJ551"/>
      <c r="BK551"/>
    </row>
    <row r="552" spans="40:63" ht="12.75">
      <c r="AN552"/>
      <c r="AO552" s="293"/>
      <c r="AP552"/>
      <c r="AQ552" s="145"/>
      <c r="AR552"/>
      <c r="AS552"/>
      <c r="AT552"/>
      <c r="AU552"/>
      <c r="AV552"/>
      <c r="AW552"/>
      <c r="AX552"/>
      <c r="AY552"/>
      <c r="AZ552"/>
      <c r="BA552"/>
      <c r="BB552"/>
      <c r="BC552" s="578"/>
      <c r="BD552" s="578"/>
      <c r="BE552"/>
      <c r="BF552"/>
      <c r="BG552"/>
      <c r="BH552"/>
      <c r="BI552"/>
      <c r="BJ552"/>
      <c r="BK552"/>
    </row>
    <row r="553" spans="40:63" ht="12.75">
      <c r="AN553"/>
      <c r="AO553" s="293"/>
      <c r="AP553"/>
      <c r="AQ553" s="145"/>
      <c r="AR553"/>
      <c r="AS553"/>
      <c r="AT553"/>
      <c r="AU553"/>
      <c r="AV553"/>
      <c r="AW553"/>
      <c r="AX553"/>
      <c r="AY553"/>
      <c r="AZ553"/>
      <c r="BA553"/>
      <c r="BB553"/>
      <c r="BC553" s="578"/>
      <c r="BD553" s="578"/>
      <c r="BE553"/>
      <c r="BF553"/>
      <c r="BG553"/>
      <c r="BH553"/>
      <c r="BI553"/>
      <c r="BJ553"/>
      <c r="BK553"/>
    </row>
    <row r="554" spans="40:63" ht="12.75">
      <c r="AN554"/>
      <c r="AO554" s="293"/>
      <c r="AP554"/>
      <c r="AQ554" s="145"/>
      <c r="AR554"/>
      <c r="AS554"/>
      <c r="AT554"/>
      <c r="AU554"/>
      <c r="AV554"/>
      <c r="AW554"/>
      <c r="AX554"/>
      <c r="AY554"/>
      <c r="AZ554"/>
      <c r="BA554"/>
      <c r="BB554"/>
      <c r="BC554" s="578"/>
      <c r="BD554" s="578"/>
      <c r="BE554"/>
      <c r="BF554"/>
      <c r="BG554"/>
      <c r="BH554"/>
      <c r="BI554"/>
      <c r="BJ554"/>
      <c r="BK554"/>
    </row>
    <row r="555" spans="40:63" ht="12.75">
      <c r="AN555"/>
      <c r="AO555" s="293"/>
      <c r="AP555"/>
      <c r="AQ555" s="145"/>
      <c r="AR555"/>
      <c r="AS555"/>
      <c r="AT555"/>
      <c r="AU555"/>
      <c r="AV555"/>
      <c r="AW555"/>
      <c r="AX555"/>
      <c r="AY555"/>
      <c r="AZ555"/>
      <c r="BA555"/>
      <c r="BB555"/>
      <c r="BC555" s="578"/>
      <c r="BD555" s="578"/>
      <c r="BE555"/>
      <c r="BF555"/>
      <c r="BG555"/>
      <c r="BH555"/>
      <c r="BI555"/>
      <c r="BJ555"/>
      <c r="BK555"/>
    </row>
    <row r="556" spans="40:63" ht="12.75">
      <c r="AN556"/>
      <c r="AO556" s="293"/>
      <c r="AP556"/>
      <c r="AQ556" s="145"/>
      <c r="AR556"/>
      <c r="AS556"/>
      <c r="AT556"/>
      <c r="AU556"/>
      <c r="AV556"/>
      <c r="AW556"/>
      <c r="AX556"/>
      <c r="AY556"/>
      <c r="AZ556"/>
      <c r="BA556"/>
      <c r="BB556"/>
      <c r="BC556" s="578"/>
      <c r="BD556" s="578"/>
      <c r="BE556"/>
      <c r="BF556"/>
      <c r="BG556"/>
      <c r="BH556"/>
      <c r="BI556"/>
      <c r="BJ556"/>
      <c r="BK556"/>
    </row>
    <row r="557" spans="40:63" ht="12.75">
      <c r="AN557"/>
      <c r="AO557" s="293"/>
      <c r="AP557"/>
      <c r="AQ557" s="145"/>
      <c r="AR557"/>
      <c r="AS557"/>
      <c r="AT557"/>
      <c r="AU557"/>
      <c r="AV557"/>
      <c r="AW557"/>
      <c r="AX557"/>
      <c r="AY557"/>
      <c r="AZ557"/>
      <c r="BA557"/>
      <c r="BB557"/>
      <c r="BC557" s="578"/>
      <c r="BD557" s="578"/>
      <c r="BE557"/>
      <c r="BF557"/>
      <c r="BG557"/>
      <c r="BH557"/>
      <c r="BI557"/>
      <c r="BJ557"/>
      <c r="BK557"/>
    </row>
    <row r="558" spans="40:63" ht="12.75">
      <c r="AN558"/>
      <c r="AO558" s="293"/>
      <c r="AP558"/>
      <c r="AQ558" s="145"/>
      <c r="AR558"/>
      <c r="AS558"/>
      <c r="AT558"/>
      <c r="AU558"/>
      <c r="AV558"/>
      <c r="AW558"/>
      <c r="AX558"/>
      <c r="AY558"/>
      <c r="AZ558"/>
      <c r="BA558"/>
      <c r="BB558"/>
      <c r="BC558" s="578"/>
      <c r="BD558" s="578"/>
      <c r="BE558"/>
      <c r="BF558"/>
      <c r="BG558"/>
      <c r="BH558"/>
      <c r="BI558"/>
      <c r="BJ558"/>
      <c r="BK558"/>
    </row>
    <row r="559" spans="40:63" ht="12.75">
      <c r="AN559"/>
      <c r="AO559" s="293"/>
      <c r="AP559"/>
      <c r="AQ559" s="145"/>
      <c r="AR559"/>
      <c r="AS559"/>
      <c r="AT559"/>
      <c r="AU559"/>
      <c r="AV559"/>
      <c r="AW559"/>
      <c r="AX559"/>
      <c r="AY559"/>
      <c r="AZ559"/>
      <c r="BA559"/>
      <c r="BB559"/>
      <c r="BC559" s="578"/>
      <c r="BD559" s="578"/>
      <c r="BE559"/>
      <c r="BF559"/>
      <c r="BG559"/>
      <c r="BH559"/>
      <c r="BI559"/>
      <c r="BJ559"/>
      <c r="BK559"/>
    </row>
    <row r="560" spans="40:63" ht="12.75">
      <c r="AN560"/>
      <c r="AO560" s="293"/>
      <c r="AP560"/>
      <c r="AQ560" s="145"/>
      <c r="AR560"/>
      <c r="AS560"/>
      <c r="AT560"/>
      <c r="AU560"/>
      <c r="AV560"/>
      <c r="AW560"/>
      <c r="AX560"/>
      <c r="AY560"/>
      <c r="AZ560"/>
      <c r="BA560"/>
      <c r="BB560"/>
      <c r="BC560" s="578"/>
      <c r="BD560" s="578"/>
      <c r="BE560"/>
      <c r="BF560"/>
      <c r="BG560"/>
      <c r="BH560"/>
      <c r="BI560"/>
      <c r="BJ560"/>
      <c r="BK560"/>
    </row>
    <row r="561" spans="40:63" ht="12.75">
      <c r="AN561"/>
      <c r="AO561" s="293"/>
      <c r="AP561"/>
      <c r="AQ561" s="145"/>
      <c r="AR561"/>
      <c r="AS561"/>
      <c r="AT561"/>
      <c r="AU561"/>
      <c r="AV561"/>
      <c r="AW561"/>
      <c r="AX561"/>
      <c r="AY561"/>
      <c r="AZ561"/>
      <c r="BA561"/>
      <c r="BB561"/>
      <c r="BC561" s="578"/>
      <c r="BD561" s="578"/>
      <c r="BE561"/>
      <c r="BF561"/>
      <c r="BG561"/>
      <c r="BH561"/>
      <c r="BI561"/>
      <c r="BJ561"/>
      <c r="BK561"/>
    </row>
    <row r="562" spans="40:63" ht="12.75">
      <c r="AN562"/>
      <c r="AO562" s="293"/>
      <c r="AP562"/>
      <c r="AQ562" s="145"/>
      <c r="AR562"/>
      <c r="AS562"/>
      <c r="AT562"/>
      <c r="AU562"/>
      <c r="AV562"/>
      <c r="AW562"/>
      <c r="AX562"/>
      <c r="AY562"/>
      <c r="AZ562"/>
      <c r="BA562"/>
      <c r="BB562"/>
      <c r="BC562" s="578"/>
      <c r="BD562" s="578"/>
      <c r="BE562"/>
      <c r="BF562"/>
      <c r="BG562"/>
      <c r="BH562"/>
      <c r="BI562"/>
      <c r="BJ562"/>
      <c r="BK562"/>
    </row>
    <row r="563" spans="40:63" ht="12.75">
      <c r="AN563"/>
      <c r="AO563" s="293"/>
      <c r="AP563"/>
      <c r="AQ563" s="145"/>
      <c r="AR563"/>
      <c r="AS563"/>
      <c r="AT563"/>
      <c r="AU563"/>
      <c r="AV563"/>
      <c r="AW563"/>
      <c r="AX563"/>
      <c r="AY563"/>
      <c r="AZ563"/>
      <c r="BA563"/>
      <c r="BB563"/>
      <c r="BC563" s="578"/>
      <c r="BD563" s="578"/>
      <c r="BE563"/>
      <c r="BF563"/>
      <c r="BG563"/>
      <c r="BH563"/>
      <c r="BI563"/>
      <c r="BJ563"/>
      <c r="BK563"/>
    </row>
    <row r="564" spans="40:63" ht="12.75">
      <c r="AN564"/>
      <c r="AO564" s="293"/>
      <c r="AP564"/>
      <c r="AQ564" s="145"/>
      <c r="AR564"/>
      <c r="AS564"/>
      <c r="AT564"/>
      <c r="AU564"/>
      <c r="AV564"/>
      <c r="AW564"/>
      <c r="AX564"/>
      <c r="AY564"/>
      <c r="AZ564"/>
      <c r="BA564"/>
      <c r="BB564"/>
      <c r="BC564" s="578"/>
      <c r="BD564" s="578"/>
      <c r="BE564"/>
      <c r="BF564"/>
      <c r="BG564"/>
      <c r="BH564"/>
      <c r="BI564"/>
      <c r="BJ564"/>
      <c r="BK564"/>
    </row>
    <row r="565" spans="40:63" ht="12.75">
      <c r="AN565"/>
      <c r="AO565" s="293"/>
      <c r="AP565"/>
      <c r="AQ565" s="145"/>
      <c r="AR565"/>
      <c r="AS565"/>
      <c r="AT565"/>
      <c r="AU565"/>
      <c r="AV565"/>
      <c r="AW565"/>
      <c r="AX565"/>
      <c r="AY565"/>
      <c r="AZ565"/>
      <c r="BA565"/>
      <c r="BB565"/>
      <c r="BC565" s="578"/>
      <c r="BD565" s="578"/>
      <c r="BE565"/>
      <c r="BF565"/>
      <c r="BG565"/>
      <c r="BH565"/>
      <c r="BI565"/>
      <c r="BJ565"/>
      <c r="BK565"/>
    </row>
    <row r="566" spans="40:63" ht="12.75">
      <c r="AN566"/>
      <c r="AO566" s="293"/>
      <c r="AP566"/>
      <c r="AQ566" s="145"/>
      <c r="AR566"/>
      <c r="AS566"/>
      <c r="AT566"/>
      <c r="AU566"/>
      <c r="AV566"/>
      <c r="AW566"/>
      <c r="AX566"/>
      <c r="AY566"/>
      <c r="AZ566"/>
      <c r="BA566"/>
      <c r="BB566"/>
      <c r="BC566" s="578"/>
      <c r="BD566" s="578"/>
      <c r="BE566"/>
      <c r="BF566"/>
      <c r="BG566"/>
      <c r="BH566"/>
      <c r="BI566"/>
      <c r="BJ566"/>
      <c r="BK566"/>
    </row>
    <row r="567" spans="40:63" ht="12.75">
      <c r="AN567"/>
      <c r="AO567" s="293"/>
      <c r="AP567"/>
      <c r="AQ567" s="145"/>
      <c r="AR567"/>
      <c r="AS567"/>
      <c r="AT567"/>
      <c r="AU567"/>
      <c r="AV567"/>
      <c r="AW567"/>
      <c r="AX567"/>
      <c r="AY567"/>
      <c r="AZ567"/>
      <c r="BA567"/>
      <c r="BB567"/>
      <c r="BC567" s="578"/>
      <c r="BD567" s="578"/>
      <c r="BE567"/>
      <c r="BF567"/>
      <c r="BG567"/>
      <c r="BH567"/>
      <c r="BI567"/>
      <c r="BJ567"/>
      <c r="BK567"/>
    </row>
    <row r="568" spans="40:63" ht="12.75">
      <c r="AN568"/>
      <c r="AO568" s="293"/>
      <c r="AP568"/>
      <c r="AQ568" s="145"/>
      <c r="AR568"/>
      <c r="AS568"/>
      <c r="AT568"/>
      <c r="AU568"/>
      <c r="AV568"/>
      <c r="AW568"/>
      <c r="AX568"/>
      <c r="AY568"/>
      <c r="AZ568"/>
      <c r="BA568"/>
      <c r="BB568"/>
      <c r="BC568" s="578"/>
      <c r="BD568" s="578"/>
      <c r="BE568"/>
      <c r="BF568"/>
      <c r="BG568"/>
      <c r="BH568"/>
      <c r="BI568"/>
      <c r="BJ568"/>
      <c r="BK568"/>
    </row>
    <row r="569" spans="40:63" ht="12.75">
      <c r="AN569"/>
      <c r="AO569" s="293"/>
      <c r="AP569"/>
      <c r="AQ569" s="145"/>
      <c r="AR569"/>
      <c r="AS569"/>
      <c r="AT569"/>
      <c r="AU569"/>
      <c r="AV569"/>
      <c r="AW569"/>
      <c r="AX569"/>
      <c r="AY569"/>
      <c r="AZ569"/>
      <c r="BA569"/>
      <c r="BB569"/>
      <c r="BC569" s="578"/>
      <c r="BD569" s="578"/>
      <c r="BE569"/>
      <c r="BF569"/>
      <c r="BG569"/>
      <c r="BH569"/>
      <c r="BI569"/>
      <c r="BJ569"/>
      <c r="BK569"/>
    </row>
    <row r="570" spans="40:63" ht="12.75">
      <c r="AN570"/>
      <c r="AO570" s="293"/>
      <c r="AP570"/>
      <c r="AQ570" s="145"/>
      <c r="AR570"/>
      <c r="AS570"/>
      <c r="AT570"/>
      <c r="AU570"/>
      <c r="AV570"/>
      <c r="AW570"/>
      <c r="AX570"/>
      <c r="AY570"/>
      <c r="AZ570"/>
      <c r="BA570"/>
      <c r="BB570"/>
      <c r="BC570" s="578"/>
      <c r="BD570" s="578"/>
      <c r="BE570"/>
      <c r="BF570"/>
      <c r="BG570"/>
      <c r="BH570"/>
      <c r="BI570"/>
      <c r="BJ570"/>
      <c r="BK570"/>
    </row>
    <row r="571" spans="40:63" ht="12.75">
      <c r="AN571"/>
      <c r="AO571" s="293"/>
      <c r="AP571"/>
      <c r="AQ571" s="145"/>
      <c r="AR571"/>
      <c r="AS571"/>
      <c r="AT571"/>
      <c r="AU571"/>
      <c r="AV571"/>
      <c r="AW571"/>
      <c r="AX571"/>
      <c r="AY571"/>
      <c r="AZ571"/>
      <c r="BA571"/>
      <c r="BB571"/>
      <c r="BC571" s="578"/>
      <c r="BD571" s="578"/>
      <c r="BE571"/>
      <c r="BF571"/>
      <c r="BG571"/>
      <c r="BH571"/>
      <c r="BI571"/>
      <c r="BJ571"/>
      <c r="BK571"/>
    </row>
    <row r="572" spans="40:63" ht="12.75">
      <c r="AN572"/>
      <c r="AO572" s="293"/>
      <c r="AP572"/>
      <c r="AQ572" s="145"/>
      <c r="AR572"/>
      <c r="AS572"/>
      <c r="AT572"/>
      <c r="AU572"/>
      <c r="AV572"/>
      <c r="AW572"/>
      <c r="AX572"/>
      <c r="AY572"/>
      <c r="AZ572"/>
      <c r="BA572"/>
      <c r="BB572"/>
      <c r="BC572" s="578"/>
      <c r="BD572" s="578"/>
      <c r="BE572"/>
      <c r="BF572"/>
      <c r="BG572"/>
      <c r="BH572"/>
      <c r="BI572"/>
      <c r="BJ572"/>
      <c r="BK572"/>
    </row>
    <row r="573" spans="40:63" ht="12.75">
      <c r="AN573"/>
      <c r="AO573" s="293"/>
      <c r="AP573"/>
      <c r="AQ573" s="145"/>
      <c r="AR573"/>
      <c r="AS573"/>
      <c r="AT573"/>
      <c r="AU573"/>
      <c r="AV573"/>
      <c r="AW573"/>
      <c r="AX573"/>
      <c r="AY573"/>
      <c r="AZ573"/>
      <c r="BA573"/>
      <c r="BB573"/>
      <c r="BC573" s="578"/>
      <c r="BD573" s="578"/>
      <c r="BE573"/>
      <c r="BF573"/>
      <c r="BG573"/>
      <c r="BH573"/>
      <c r="BI573"/>
      <c r="BJ573"/>
      <c r="BK573"/>
    </row>
    <row r="574" spans="40:63" ht="12.75">
      <c r="AN574"/>
      <c r="AO574" s="293"/>
      <c r="AP574"/>
      <c r="AQ574" s="145"/>
      <c r="AR574"/>
      <c r="AS574"/>
      <c r="AT574"/>
      <c r="AU574"/>
      <c r="AV574"/>
      <c r="AW574"/>
      <c r="AX574"/>
      <c r="AY574"/>
      <c r="AZ574"/>
      <c r="BA574"/>
      <c r="BB574"/>
      <c r="BC574" s="578"/>
      <c r="BD574" s="578"/>
      <c r="BE574"/>
      <c r="BF574"/>
      <c r="BG574"/>
      <c r="BH574"/>
      <c r="BI574"/>
      <c r="BJ574"/>
      <c r="BK574"/>
    </row>
    <row r="575" spans="40:63" ht="12.75">
      <c r="AN575"/>
      <c r="AO575" s="293"/>
      <c r="AP575"/>
      <c r="AQ575" s="145"/>
      <c r="AR575"/>
      <c r="AS575"/>
      <c r="AT575"/>
      <c r="AU575"/>
      <c r="AV575"/>
      <c r="AW575"/>
      <c r="AX575"/>
      <c r="AY575"/>
      <c r="AZ575"/>
      <c r="BA575"/>
      <c r="BB575"/>
      <c r="BC575" s="578"/>
      <c r="BD575" s="578"/>
      <c r="BE575"/>
      <c r="BF575"/>
      <c r="BG575"/>
      <c r="BH575"/>
      <c r="BI575"/>
      <c r="BJ575"/>
      <c r="BK575"/>
    </row>
    <row r="576" spans="40:63" ht="12.75">
      <c r="AN576"/>
      <c r="AO576" s="293"/>
      <c r="AP576"/>
      <c r="AQ576" s="145"/>
      <c r="AR576"/>
      <c r="AS576"/>
      <c r="AT576"/>
      <c r="AU576"/>
      <c r="AV576"/>
      <c r="AW576"/>
      <c r="AX576"/>
      <c r="AY576"/>
      <c r="AZ576"/>
      <c r="BA576"/>
      <c r="BB576"/>
      <c r="BC576" s="578"/>
      <c r="BD576" s="578"/>
      <c r="BE576"/>
      <c r="BF576"/>
      <c r="BG576"/>
      <c r="BH576"/>
      <c r="BI576"/>
      <c r="BJ576"/>
      <c r="BK576"/>
    </row>
    <row r="577" spans="40:63" ht="12.75">
      <c r="AN577"/>
      <c r="AO577" s="293"/>
      <c r="AP577"/>
      <c r="AQ577" s="145"/>
      <c r="AR577"/>
      <c r="AS577"/>
      <c r="AT577"/>
      <c r="AU577"/>
      <c r="AV577"/>
      <c r="AW577"/>
      <c r="AX577"/>
      <c r="AY577"/>
      <c r="AZ577"/>
      <c r="BA577"/>
      <c r="BB577"/>
      <c r="BC577" s="578"/>
      <c r="BD577" s="578"/>
      <c r="BE577"/>
      <c r="BF577"/>
      <c r="BG577"/>
      <c r="BH577"/>
      <c r="BI577"/>
      <c r="BJ577"/>
      <c r="BK577"/>
    </row>
    <row r="578" spans="40:63" ht="12.75">
      <c r="AN578"/>
      <c r="AO578" s="293"/>
      <c r="AP578"/>
      <c r="AQ578" s="145"/>
      <c r="AR578"/>
      <c r="AS578"/>
      <c r="AT578"/>
      <c r="AU578"/>
      <c r="AV578"/>
      <c r="AW578"/>
      <c r="AX578"/>
      <c r="AY578"/>
      <c r="AZ578"/>
      <c r="BA578"/>
      <c r="BB578"/>
      <c r="BC578" s="578"/>
      <c r="BD578" s="578"/>
      <c r="BE578"/>
      <c r="BF578"/>
      <c r="BG578"/>
      <c r="BH578"/>
      <c r="BI578"/>
      <c r="BJ578"/>
      <c r="BK578"/>
    </row>
    <row r="579" spans="40:63" ht="12.75">
      <c r="AN579"/>
      <c r="AO579" s="293"/>
      <c r="AP579"/>
      <c r="AQ579" s="145"/>
      <c r="AR579"/>
      <c r="AS579"/>
      <c r="AT579"/>
      <c r="AU579"/>
      <c r="AV579"/>
      <c r="AW579"/>
      <c r="AX579"/>
      <c r="AY579"/>
      <c r="AZ579"/>
      <c r="BA579"/>
      <c r="BB579"/>
      <c r="BC579" s="578"/>
      <c r="BD579" s="578"/>
      <c r="BE579"/>
      <c r="BF579"/>
      <c r="BG579"/>
      <c r="BH579"/>
      <c r="BI579"/>
      <c r="BJ579"/>
      <c r="BK579"/>
    </row>
    <row r="580" spans="40:63" ht="12.75">
      <c r="AN580"/>
      <c r="AO580" s="293"/>
      <c r="AP580"/>
      <c r="AQ580" s="145"/>
      <c r="AR580"/>
      <c r="AS580"/>
      <c r="AT580"/>
      <c r="AU580"/>
      <c r="AV580"/>
      <c r="AW580"/>
      <c r="AX580"/>
      <c r="AY580"/>
      <c r="AZ580"/>
      <c r="BA580"/>
      <c r="BB580"/>
      <c r="BC580" s="578"/>
      <c r="BD580" s="578"/>
      <c r="BE580"/>
      <c r="BF580"/>
      <c r="BG580"/>
      <c r="BH580"/>
      <c r="BI580"/>
      <c r="BJ580"/>
      <c r="BK580"/>
    </row>
    <row r="581" spans="40:63" ht="12.75">
      <c r="AN581"/>
      <c r="AO581" s="293"/>
      <c r="AP581"/>
      <c r="AQ581" s="145"/>
      <c r="AR581"/>
      <c r="AS581"/>
      <c r="AT581"/>
      <c r="AU581"/>
      <c r="AV581"/>
      <c r="AW581"/>
      <c r="AX581"/>
      <c r="AY581"/>
      <c r="AZ581"/>
      <c r="BA581"/>
      <c r="BB581"/>
      <c r="BC581" s="578"/>
      <c r="BD581" s="578"/>
      <c r="BE581"/>
      <c r="BF581"/>
      <c r="BG581"/>
      <c r="BH581"/>
      <c r="BI581"/>
      <c r="BJ581"/>
      <c r="BK581"/>
    </row>
    <row r="582" spans="40:63" ht="12.75">
      <c r="AN582"/>
      <c r="AO582" s="293"/>
      <c r="AP582"/>
      <c r="AQ582" s="145"/>
      <c r="AR582"/>
      <c r="AS582"/>
      <c r="AT582"/>
      <c r="AU582"/>
      <c r="AV582"/>
      <c r="AW582"/>
      <c r="AX582"/>
      <c r="AY582"/>
      <c r="AZ582"/>
      <c r="BA582"/>
      <c r="BB582"/>
      <c r="BC582" s="578"/>
      <c r="BD582" s="578"/>
      <c r="BE582"/>
      <c r="BF582"/>
      <c r="BG582"/>
      <c r="BH582"/>
      <c r="BI582"/>
      <c r="BJ582"/>
      <c r="BK582"/>
    </row>
    <row r="583" spans="40:63" ht="12.75">
      <c r="AN583"/>
      <c r="AO583" s="293"/>
      <c r="AP583"/>
      <c r="AQ583" s="145"/>
      <c r="AR583"/>
      <c r="AS583"/>
      <c r="AT583"/>
      <c r="AU583"/>
      <c r="AV583"/>
      <c r="AW583"/>
      <c r="AX583"/>
      <c r="AY583"/>
      <c r="AZ583"/>
      <c r="BA583"/>
      <c r="BB583"/>
      <c r="BC583" s="578"/>
      <c r="BD583" s="578"/>
      <c r="BE583"/>
      <c r="BF583"/>
      <c r="BG583"/>
      <c r="BH583"/>
      <c r="BI583"/>
      <c r="BJ583"/>
      <c r="BK583"/>
    </row>
    <row r="584" spans="40:63" ht="12.75">
      <c r="AN584"/>
      <c r="AO584" s="293"/>
      <c r="AP584"/>
      <c r="AQ584" s="145"/>
      <c r="AR584"/>
      <c r="AS584"/>
      <c r="AT584"/>
      <c r="AU584"/>
      <c r="AV584"/>
      <c r="AW584"/>
      <c r="AX584"/>
      <c r="AY584"/>
      <c r="AZ584"/>
      <c r="BA584"/>
      <c r="BB584"/>
      <c r="BC584" s="578"/>
      <c r="BD584" s="578"/>
      <c r="BE584"/>
      <c r="BF584"/>
      <c r="BG584"/>
      <c r="BH584"/>
      <c r="BI584"/>
      <c r="BJ584"/>
      <c r="BK584"/>
    </row>
    <row r="585" spans="40:63" ht="12.75">
      <c r="AN585"/>
      <c r="AO585" s="293"/>
      <c r="AP585"/>
      <c r="AQ585" s="145"/>
      <c r="AR585"/>
      <c r="AS585"/>
      <c r="AT585"/>
      <c r="AU585"/>
      <c r="AV585"/>
      <c r="AW585"/>
      <c r="AX585"/>
      <c r="AY585"/>
      <c r="AZ585"/>
      <c r="BA585"/>
      <c r="BB585"/>
      <c r="BC585" s="578"/>
      <c r="BD585" s="578"/>
      <c r="BE585"/>
      <c r="BF585"/>
      <c r="BG585"/>
      <c r="BH585"/>
      <c r="BI585"/>
      <c r="BJ585"/>
      <c r="BK585"/>
    </row>
    <row r="586" spans="40:63" ht="12.75">
      <c r="AN586"/>
      <c r="AO586" s="293"/>
      <c r="AP586"/>
      <c r="AQ586" s="145"/>
      <c r="AR586"/>
      <c r="AS586"/>
      <c r="AT586"/>
      <c r="AU586"/>
      <c r="AV586"/>
      <c r="AW586"/>
      <c r="AX586"/>
      <c r="AY586"/>
      <c r="AZ586"/>
      <c r="BA586"/>
      <c r="BB586"/>
      <c r="BC586" s="578"/>
      <c r="BD586" s="578"/>
      <c r="BE586"/>
      <c r="BF586"/>
      <c r="BG586"/>
      <c r="BH586"/>
      <c r="BI586"/>
      <c r="BJ586"/>
      <c r="BK586"/>
    </row>
    <row r="587" spans="40:63" ht="12.75">
      <c r="AN587"/>
      <c r="AO587" s="293"/>
      <c r="AP587"/>
      <c r="AQ587" s="145"/>
      <c r="AR587"/>
      <c r="AS587"/>
      <c r="AT587"/>
      <c r="AU587"/>
      <c r="AV587"/>
      <c r="AW587"/>
      <c r="AX587"/>
      <c r="AY587"/>
      <c r="AZ587"/>
      <c r="BA587"/>
      <c r="BB587"/>
      <c r="BC587" s="578"/>
      <c r="BD587" s="578"/>
      <c r="BE587"/>
      <c r="BF587"/>
      <c r="BG587"/>
      <c r="BH587"/>
      <c r="BI587"/>
      <c r="BJ587"/>
      <c r="BK587"/>
    </row>
    <row r="588" spans="40:63" ht="12.75">
      <c r="AN588"/>
      <c r="AO588" s="293"/>
      <c r="AP588"/>
      <c r="AQ588" s="145"/>
      <c r="AR588"/>
      <c r="AS588"/>
      <c r="AT588"/>
      <c r="AU588"/>
      <c r="AV588"/>
      <c r="AW588"/>
      <c r="AX588"/>
      <c r="AY588"/>
      <c r="AZ588"/>
      <c r="BA588"/>
      <c r="BB588"/>
      <c r="BC588" s="578"/>
      <c r="BD588" s="578"/>
      <c r="BE588"/>
      <c r="BF588"/>
      <c r="BG588"/>
      <c r="BH588"/>
      <c r="BI588"/>
      <c r="BJ588"/>
      <c r="BK588"/>
    </row>
    <row r="589" spans="40:63" ht="12.75">
      <c r="AN589"/>
      <c r="AO589" s="293"/>
      <c r="AP589"/>
      <c r="AQ589" s="145"/>
      <c r="AR589"/>
      <c r="AS589"/>
      <c r="AT589"/>
      <c r="AU589"/>
      <c r="AV589"/>
      <c r="AW589"/>
      <c r="AX589"/>
      <c r="AY589"/>
      <c r="AZ589"/>
      <c r="BA589"/>
      <c r="BB589"/>
      <c r="BC589" s="578"/>
      <c r="BD589" s="578"/>
      <c r="BE589"/>
      <c r="BF589"/>
      <c r="BG589"/>
      <c r="BH589"/>
      <c r="BI589"/>
      <c r="BJ589"/>
      <c r="BK589"/>
    </row>
    <row r="590" spans="40:63" ht="12.75">
      <c r="AN590"/>
      <c r="AO590" s="293"/>
      <c r="AP590"/>
      <c r="AQ590" s="145"/>
      <c r="AR590"/>
      <c r="AS590"/>
      <c r="AT590"/>
      <c r="AU590"/>
      <c r="AV590"/>
      <c r="AW590"/>
      <c r="AX590"/>
      <c r="AY590"/>
      <c r="AZ590"/>
      <c r="BA590"/>
      <c r="BB590"/>
      <c r="BC590" s="578"/>
      <c r="BD590" s="578"/>
      <c r="BE590"/>
      <c r="BF590"/>
      <c r="BG590"/>
      <c r="BH590"/>
      <c r="BI590"/>
      <c r="BJ590"/>
      <c r="BK590"/>
    </row>
    <row r="591" spans="40:63" ht="12.75">
      <c r="AN591"/>
      <c r="AO591" s="293"/>
      <c r="AP591"/>
      <c r="AQ591" s="145"/>
      <c r="AR591"/>
      <c r="AS591"/>
      <c r="AT591"/>
      <c r="AU591"/>
      <c r="AV591"/>
      <c r="AW591"/>
      <c r="AX591"/>
      <c r="AY591"/>
      <c r="AZ591"/>
      <c r="BA591"/>
      <c r="BB591"/>
      <c r="BC591" s="578"/>
      <c r="BD591" s="578"/>
      <c r="BE591"/>
      <c r="BF591"/>
      <c r="BG591"/>
      <c r="BH591"/>
      <c r="BI591"/>
      <c r="BJ591"/>
      <c r="BK591"/>
    </row>
    <row r="592" spans="40:63" ht="12.75">
      <c r="AN592"/>
      <c r="AO592" s="293"/>
      <c r="AP592"/>
      <c r="AQ592" s="145"/>
      <c r="AR592"/>
      <c r="AS592"/>
      <c r="AT592"/>
      <c r="AU592"/>
      <c r="AV592"/>
      <c r="AW592"/>
      <c r="AX592"/>
      <c r="AY592"/>
      <c r="AZ592"/>
      <c r="BA592"/>
      <c r="BB592"/>
      <c r="BC592" s="578"/>
      <c r="BD592" s="578"/>
      <c r="BE592"/>
      <c r="BF592"/>
      <c r="BG592"/>
      <c r="BH592"/>
      <c r="BI592"/>
      <c r="BJ592"/>
      <c r="BK592"/>
    </row>
    <row r="593" spans="40:63" ht="12.75">
      <c r="AN593"/>
      <c r="AO593" s="293"/>
      <c r="AP593"/>
      <c r="AQ593" s="145"/>
      <c r="AR593"/>
      <c r="AS593"/>
      <c r="AT593"/>
      <c r="AU593"/>
      <c r="AV593"/>
      <c r="AW593"/>
      <c r="AX593"/>
      <c r="AY593"/>
      <c r="AZ593"/>
      <c r="BA593"/>
      <c r="BB593"/>
      <c r="BC593" s="578"/>
      <c r="BD593" s="578"/>
      <c r="BE593"/>
      <c r="BF593"/>
      <c r="BG593"/>
      <c r="BH593"/>
      <c r="BI593"/>
      <c r="BJ593"/>
      <c r="BK593"/>
    </row>
    <row r="594" spans="40:63" ht="12.75">
      <c r="AN594"/>
      <c r="AO594" s="293"/>
      <c r="AP594"/>
      <c r="AQ594" s="145"/>
      <c r="AR594"/>
      <c r="AS594"/>
      <c r="AT594"/>
      <c r="AU594"/>
      <c r="AV594"/>
      <c r="AW594"/>
      <c r="AX594"/>
      <c r="AY594"/>
      <c r="AZ594"/>
      <c r="BA594"/>
      <c r="BB594"/>
      <c r="BC594" s="578"/>
      <c r="BD594" s="578"/>
      <c r="BE594"/>
      <c r="BF594"/>
      <c r="BG594"/>
      <c r="BH594"/>
      <c r="BI594"/>
      <c r="BJ594"/>
      <c r="BK594"/>
    </row>
    <row r="595" spans="40:63" ht="12.75">
      <c r="AN595"/>
      <c r="AO595" s="293"/>
      <c r="AP595"/>
      <c r="AQ595" s="145"/>
      <c r="AR595"/>
      <c r="AS595"/>
      <c r="AT595"/>
      <c r="AU595"/>
      <c r="AV595"/>
      <c r="AW595"/>
      <c r="AX595"/>
      <c r="AY595"/>
      <c r="AZ595"/>
      <c r="BA595"/>
      <c r="BB595"/>
      <c r="BC595" s="578"/>
      <c r="BD595" s="578"/>
      <c r="BE595"/>
      <c r="BF595"/>
      <c r="BG595"/>
      <c r="BH595"/>
      <c r="BI595"/>
      <c r="BJ595"/>
      <c r="BK595"/>
    </row>
    <row r="596" spans="40:63" ht="12.75">
      <c r="AN596"/>
      <c r="AO596" s="293"/>
      <c r="AP596"/>
      <c r="AQ596" s="145"/>
      <c r="AR596"/>
      <c r="AS596"/>
      <c r="AT596"/>
      <c r="AU596"/>
      <c r="AV596"/>
      <c r="AW596"/>
      <c r="AX596"/>
      <c r="AY596"/>
      <c r="AZ596"/>
      <c r="BA596"/>
      <c r="BB596"/>
      <c r="BC596" s="578"/>
      <c r="BD596" s="578"/>
      <c r="BE596"/>
      <c r="BF596"/>
      <c r="BG596"/>
      <c r="BH596"/>
      <c r="BI596"/>
      <c r="BJ596"/>
      <c r="BK596"/>
    </row>
    <row r="597" spans="40:63" ht="12.75">
      <c r="AN597"/>
      <c r="AO597" s="293"/>
      <c r="AP597"/>
      <c r="AQ597" s="145"/>
      <c r="AR597"/>
      <c r="AS597"/>
      <c r="AT597"/>
      <c r="AU597"/>
      <c r="AV597"/>
      <c r="AW597"/>
      <c r="AX597"/>
      <c r="AY597"/>
      <c r="AZ597"/>
      <c r="BA597"/>
      <c r="BB597"/>
      <c r="BC597" s="578"/>
      <c r="BD597" s="578"/>
      <c r="BE597"/>
      <c r="BF597"/>
      <c r="BG597"/>
      <c r="BH597"/>
      <c r="BI597"/>
      <c r="BJ597"/>
      <c r="BK597"/>
    </row>
    <row r="598" spans="40:63" ht="12.75">
      <c r="AN598"/>
      <c r="AO598" s="293"/>
      <c r="AP598"/>
      <c r="AQ598" s="145"/>
      <c r="AR598"/>
      <c r="AS598"/>
      <c r="AT598"/>
      <c r="AU598"/>
      <c r="AV598"/>
      <c r="AW598"/>
      <c r="AX598"/>
      <c r="AY598"/>
      <c r="AZ598"/>
      <c r="BA598"/>
      <c r="BB598"/>
      <c r="BC598" s="578"/>
      <c r="BD598" s="578"/>
      <c r="BE598"/>
      <c r="BF598"/>
      <c r="BG598"/>
      <c r="BH598"/>
      <c r="BI598"/>
      <c r="BJ598"/>
      <c r="BK598"/>
    </row>
    <row r="599" spans="40:63" ht="12.75">
      <c r="AN599"/>
      <c r="AO599" s="293"/>
      <c r="AP599"/>
      <c r="AQ599" s="145"/>
      <c r="AR599"/>
      <c r="AS599"/>
      <c r="AT599"/>
      <c r="AU599"/>
      <c r="AV599"/>
      <c r="AW599"/>
      <c r="AX599"/>
      <c r="AY599"/>
      <c r="AZ599"/>
      <c r="BA599"/>
      <c r="BB599"/>
      <c r="BC599" s="578"/>
      <c r="BD599" s="578"/>
      <c r="BE599"/>
      <c r="BF599"/>
      <c r="BG599"/>
      <c r="BH599"/>
      <c r="BI599"/>
      <c r="BJ599"/>
      <c r="BK599"/>
    </row>
    <row r="600" spans="40:63" ht="12.75">
      <c r="AN600"/>
      <c r="AO600" s="293"/>
      <c r="AP600"/>
      <c r="AQ600" s="145"/>
      <c r="AR600"/>
      <c r="AS600"/>
      <c r="AT600"/>
      <c r="AU600"/>
      <c r="AV600"/>
      <c r="AW600"/>
      <c r="AX600"/>
      <c r="AY600"/>
      <c r="AZ600"/>
      <c r="BA600"/>
      <c r="BB600"/>
      <c r="BC600" s="578"/>
      <c r="BD600" s="578"/>
      <c r="BE600"/>
      <c r="BF600"/>
      <c r="BG600"/>
      <c r="BH600"/>
      <c r="BI600"/>
      <c r="BJ600"/>
      <c r="BK600"/>
    </row>
    <row r="601" spans="40:63" ht="12.75">
      <c r="AN601"/>
      <c r="AO601" s="293"/>
      <c r="AP601"/>
      <c r="AQ601" s="145"/>
      <c r="AR601"/>
      <c r="AS601"/>
      <c r="AT601"/>
      <c r="AU601"/>
      <c r="AV601"/>
      <c r="AW601"/>
      <c r="AX601"/>
      <c r="AY601"/>
      <c r="AZ601"/>
      <c r="BA601"/>
      <c r="BB601"/>
      <c r="BC601" s="578"/>
      <c r="BD601" s="578"/>
      <c r="BE601"/>
      <c r="BF601"/>
      <c r="BG601"/>
      <c r="BH601"/>
      <c r="BI601"/>
      <c r="BJ601"/>
      <c r="BK601"/>
    </row>
    <row r="602" spans="40:63" ht="12.75">
      <c r="AN602"/>
      <c r="AO602" s="293"/>
      <c r="AP602"/>
      <c r="AQ602" s="145"/>
      <c r="AR602"/>
      <c r="AS602"/>
      <c r="AT602"/>
      <c r="AU602"/>
      <c r="AV602"/>
      <c r="AW602"/>
      <c r="AX602"/>
      <c r="AY602"/>
      <c r="AZ602"/>
      <c r="BA602"/>
      <c r="BB602"/>
      <c r="BC602" s="578"/>
      <c r="BD602" s="578"/>
      <c r="BE602"/>
      <c r="BF602"/>
      <c r="BG602"/>
      <c r="BH602"/>
      <c r="BI602"/>
      <c r="BJ602"/>
      <c r="BK602"/>
    </row>
    <row r="603" spans="40:63" ht="12.75">
      <c r="AN603"/>
      <c r="AO603" s="293"/>
      <c r="AP603"/>
      <c r="AQ603" s="145"/>
      <c r="AR603"/>
      <c r="AS603"/>
      <c r="AT603"/>
      <c r="AU603"/>
      <c r="AV603"/>
      <c r="AW603"/>
      <c r="AX603"/>
      <c r="AY603"/>
      <c r="AZ603"/>
      <c r="BA603"/>
      <c r="BB603"/>
      <c r="BC603" s="578"/>
      <c r="BD603" s="578"/>
      <c r="BE603"/>
      <c r="BF603"/>
      <c r="BG603"/>
      <c r="BH603"/>
      <c r="BI603"/>
      <c r="BJ603"/>
      <c r="BK603"/>
    </row>
    <row r="604" spans="40:63" ht="12.75">
      <c r="AN604"/>
      <c r="AO604" s="293"/>
      <c r="AP604"/>
      <c r="AQ604" s="145"/>
      <c r="AR604"/>
      <c r="AS604"/>
      <c r="AT604"/>
      <c r="AU604"/>
      <c r="AV604"/>
      <c r="AW604"/>
      <c r="AX604"/>
      <c r="AY604"/>
      <c r="AZ604"/>
      <c r="BA604"/>
      <c r="BB604"/>
      <c r="BC604" s="578"/>
      <c r="BD604" s="578"/>
      <c r="BE604"/>
      <c r="BF604"/>
      <c r="BG604"/>
      <c r="BH604"/>
      <c r="BI604"/>
      <c r="BJ604"/>
      <c r="BK604"/>
    </row>
    <row r="605" spans="40:63" ht="12.75">
      <c r="AN605"/>
      <c r="AO605" s="293"/>
      <c r="AP605"/>
      <c r="AQ605" s="145"/>
      <c r="AR605"/>
      <c r="AS605"/>
      <c r="AT605"/>
      <c r="AU605"/>
      <c r="AV605"/>
      <c r="AW605"/>
      <c r="AX605"/>
      <c r="AY605"/>
      <c r="AZ605"/>
      <c r="BA605"/>
      <c r="BB605"/>
      <c r="BC605" s="578"/>
      <c r="BD605" s="578"/>
      <c r="BE605"/>
      <c r="BF605"/>
      <c r="BG605"/>
      <c r="BH605"/>
      <c r="BI605"/>
      <c r="BJ605"/>
      <c r="BK605"/>
    </row>
    <row r="606" spans="40:63" ht="12.75">
      <c r="AN606"/>
      <c r="AO606" s="293"/>
      <c r="AP606"/>
      <c r="AQ606" s="145"/>
      <c r="AR606"/>
      <c r="AS606"/>
      <c r="AT606"/>
      <c r="AU606"/>
      <c r="AV606"/>
      <c r="AW606"/>
      <c r="AX606"/>
      <c r="AY606"/>
      <c r="AZ606"/>
      <c r="BA606"/>
      <c r="BB606"/>
      <c r="BC606" s="578"/>
      <c r="BD606" s="578"/>
      <c r="BE606"/>
      <c r="BF606"/>
      <c r="BG606"/>
      <c r="BH606"/>
      <c r="BI606"/>
      <c r="BJ606"/>
      <c r="BK606"/>
    </row>
    <row r="607" spans="40:63" ht="12.75">
      <c r="AN607"/>
      <c r="AO607" s="293"/>
      <c r="AP607"/>
      <c r="AQ607" s="145"/>
      <c r="AR607"/>
      <c r="AS607"/>
      <c r="AT607"/>
      <c r="AU607"/>
      <c r="AV607"/>
      <c r="AW607"/>
      <c r="AX607"/>
      <c r="AY607"/>
      <c r="AZ607"/>
      <c r="BA607"/>
      <c r="BB607"/>
      <c r="BC607" s="578"/>
      <c r="BD607" s="578"/>
      <c r="BE607"/>
      <c r="BF607"/>
      <c r="BG607"/>
      <c r="BH607"/>
      <c r="BI607"/>
      <c r="BJ607"/>
      <c r="BK607"/>
    </row>
    <row r="608" spans="40:63" ht="12.75">
      <c r="AN608"/>
      <c r="AO608" s="293"/>
      <c r="AP608"/>
      <c r="AQ608" s="145"/>
      <c r="AR608"/>
      <c r="AS608"/>
      <c r="AT608"/>
      <c r="AU608"/>
      <c r="AV608"/>
      <c r="AW608"/>
      <c r="AX608"/>
      <c r="AY608"/>
      <c r="AZ608"/>
      <c r="BA608"/>
      <c r="BB608"/>
      <c r="BC608" s="578"/>
      <c r="BD608" s="578"/>
      <c r="BE608"/>
      <c r="BF608"/>
      <c r="BG608"/>
      <c r="BH608"/>
      <c r="BI608"/>
      <c r="BJ608"/>
      <c r="BK608"/>
    </row>
    <row r="609" spans="40:63" ht="12.75">
      <c r="AN609"/>
      <c r="AO609" s="293"/>
      <c r="AP609"/>
      <c r="AQ609" s="145"/>
      <c r="AR609"/>
      <c r="AS609"/>
      <c r="AT609"/>
      <c r="AU609"/>
      <c r="AV609"/>
      <c r="AW609"/>
      <c r="AX609"/>
      <c r="AY609"/>
      <c r="AZ609"/>
      <c r="BA609"/>
      <c r="BB609"/>
      <c r="BC609" s="578"/>
      <c r="BD609" s="578"/>
      <c r="BE609"/>
      <c r="BF609"/>
      <c r="BG609"/>
      <c r="BH609"/>
      <c r="BI609"/>
      <c r="BJ609"/>
      <c r="BK609"/>
    </row>
    <row r="610" spans="40:63" ht="12.75">
      <c r="AN610"/>
      <c r="AO610" s="293"/>
      <c r="AP610"/>
      <c r="AQ610" s="145"/>
      <c r="AR610"/>
      <c r="AS610"/>
      <c r="AT610"/>
      <c r="AU610"/>
      <c r="AV610"/>
      <c r="AW610"/>
      <c r="AX610"/>
      <c r="AY610"/>
      <c r="AZ610"/>
      <c r="BA610"/>
      <c r="BB610"/>
      <c r="BC610" s="578"/>
      <c r="BD610" s="578"/>
      <c r="BE610"/>
      <c r="BF610"/>
      <c r="BG610"/>
      <c r="BH610"/>
      <c r="BI610"/>
      <c r="BJ610"/>
      <c r="BK610"/>
    </row>
    <row r="611" spans="40:63" ht="12.75">
      <c r="AN611"/>
      <c r="AO611" s="293"/>
      <c r="AP611"/>
      <c r="AQ611" s="145"/>
      <c r="AR611"/>
      <c r="AS611"/>
      <c r="AT611"/>
      <c r="AU611"/>
      <c r="AV611"/>
      <c r="AW611"/>
      <c r="AX611"/>
      <c r="AY611"/>
      <c r="AZ611"/>
      <c r="BA611"/>
      <c r="BB611"/>
      <c r="BC611" s="578"/>
      <c r="BD611" s="578"/>
      <c r="BE611"/>
      <c r="BF611"/>
      <c r="BG611"/>
      <c r="BH611"/>
      <c r="BI611"/>
      <c r="BJ611"/>
      <c r="BK611"/>
    </row>
    <row r="612" spans="40:63" ht="12.75">
      <c r="AN612"/>
      <c r="AO612" s="293"/>
      <c r="AP612"/>
      <c r="AQ612" s="145"/>
      <c r="AR612"/>
      <c r="AS612"/>
      <c r="AT612"/>
      <c r="AU612"/>
      <c r="AV612"/>
      <c r="AW612"/>
      <c r="AX612"/>
      <c r="AY612"/>
      <c r="AZ612"/>
      <c r="BA612"/>
      <c r="BB612"/>
      <c r="BC612" s="578"/>
      <c r="BD612" s="578"/>
      <c r="BE612"/>
      <c r="BF612"/>
      <c r="BG612"/>
      <c r="BH612"/>
      <c r="BI612"/>
      <c r="BJ612"/>
      <c r="BK612"/>
    </row>
    <row r="613" spans="40:63" ht="12.75">
      <c r="AN613"/>
      <c r="AO613" s="293"/>
      <c r="AP613"/>
      <c r="AQ613" s="145"/>
      <c r="AR613"/>
      <c r="AS613"/>
      <c r="AT613"/>
      <c r="AU613"/>
      <c r="AV613"/>
      <c r="AW613"/>
      <c r="AX613"/>
      <c r="AY613"/>
      <c r="AZ613"/>
      <c r="BA613"/>
      <c r="BB613"/>
      <c r="BC613" s="578"/>
      <c r="BD613" s="578"/>
      <c r="BE613"/>
      <c r="BF613"/>
      <c r="BG613"/>
      <c r="BH613"/>
      <c r="BI613"/>
      <c r="BJ613"/>
      <c r="BK613"/>
    </row>
    <row r="614" spans="40:63" ht="12.75">
      <c r="AN614"/>
      <c r="AO614" s="293"/>
      <c r="AP614"/>
      <c r="AQ614" s="145"/>
      <c r="AR614"/>
      <c r="AS614"/>
      <c r="AT614"/>
      <c r="AU614"/>
      <c r="AV614"/>
      <c r="AW614"/>
      <c r="AX614"/>
      <c r="AY614"/>
      <c r="AZ614"/>
      <c r="BA614"/>
      <c r="BB614"/>
      <c r="BC614" s="578"/>
      <c r="BD614" s="578"/>
      <c r="BE614"/>
      <c r="BF614"/>
      <c r="BG614"/>
      <c r="BH614"/>
      <c r="BI614"/>
      <c r="BJ614"/>
      <c r="BK614"/>
    </row>
    <row r="615" spans="40:63" ht="12.75">
      <c r="AN615"/>
      <c r="AO615" s="293"/>
      <c r="AP615"/>
      <c r="AQ615" s="145"/>
      <c r="AR615"/>
      <c r="AS615"/>
      <c r="AT615"/>
      <c r="AU615"/>
      <c r="AV615"/>
      <c r="AW615"/>
      <c r="AX615"/>
      <c r="AY615"/>
      <c r="AZ615"/>
      <c r="BA615"/>
      <c r="BB615"/>
      <c r="BC615" s="578"/>
      <c r="BD615" s="578"/>
      <c r="BE615"/>
      <c r="BF615"/>
      <c r="BG615"/>
      <c r="BH615"/>
      <c r="BI615"/>
      <c r="BJ615"/>
      <c r="BK615"/>
    </row>
    <row r="616" spans="40:63" ht="12.75">
      <c r="AN616"/>
      <c r="AO616" s="293"/>
      <c r="AP616"/>
      <c r="AQ616" s="145"/>
      <c r="AR616"/>
      <c r="AS616"/>
      <c r="AT616"/>
      <c r="AU616"/>
      <c r="AV616"/>
      <c r="AW616"/>
      <c r="AX616"/>
      <c r="AY616"/>
      <c r="AZ616"/>
      <c r="BA616"/>
      <c r="BB616"/>
      <c r="BC616" s="578"/>
      <c r="BD616" s="578"/>
      <c r="BE616"/>
      <c r="BF616"/>
      <c r="BG616"/>
      <c r="BH616"/>
      <c r="BI616"/>
      <c r="BJ616"/>
      <c r="BK616"/>
    </row>
    <row r="617" spans="40:63" ht="12.75">
      <c r="AN617"/>
      <c r="AO617" s="293"/>
      <c r="AP617"/>
      <c r="AQ617" s="145"/>
      <c r="AR617"/>
      <c r="AS617"/>
      <c r="AT617"/>
      <c r="AU617"/>
      <c r="AV617"/>
      <c r="AW617"/>
      <c r="AX617"/>
      <c r="AY617"/>
      <c r="AZ617"/>
      <c r="BA617"/>
      <c r="BB617"/>
      <c r="BC617" s="578"/>
      <c r="BD617" s="578"/>
      <c r="BE617"/>
      <c r="BF617"/>
      <c r="BG617"/>
      <c r="BH617"/>
      <c r="BI617"/>
      <c r="BJ617"/>
      <c r="BK617"/>
    </row>
    <row r="618" spans="40:63" ht="12.75">
      <c r="AN618"/>
      <c r="AO618" s="293"/>
      <c r="AP618"/>
      <c r="AQ618" s="145"/>
      <c r="AR618"/>
      <c r="AS618"/>
      <c r="AT618"/>
      <c r="AU618"/>
      <c r="AV618"/>
      <c r="AW618"/>
      <c r="AX618"/>
      <c r="AY618"/>
      <c r="AZ618"/>
      <c r="BA618"/>
      <c r="BB618"/>
      <c r="BC618" s="578"/>
      <c r="BD618" s="578"/>
      <c r="BE618"/>
      <c r="BF618"/>
      <c r="BG618"/>
      <c r="BH618"/>
      <c r="BI618"/>
      <c r="BJ618"/>
      <c r="BK618"/>
    </row>
    <row r="619" spans="40:63" ht="12.75">
      <c r="AN619"/>
      <c r="AO619" s="293"/>
      <c r="AP619"/>
      <c r="AQ619" s="145"/>
      <c r="AR619"/>
      <c r="AS619"/>
      <c r="AT619"/>
      <c r="AU619"/>
      <c r="AV619"/>
      <c r="AW619"/>
      <c r="AX619"/>
      <c r="AY619"/>
      <c r="AZ619"/>
      <c r="BA619"/>
      <c r="BB619"/>
      <c r="BC619" s="578"/>
      <c r="BD619" s="578"/>
      <c r="BE619"/>
      <c r="BF619"/>
      <c r="BG619"/>
      <c r="BH619"/>
      <c r="BI619"/>
      <c r="BJ619"/>
      <c r="BK619"/>
    </row>
    <row r="620" spans="40:63" ht="12.75">
      <c r="AN620"/>
      <c r="AO620" s="293"/>
      <c r="AP620"/>
      <c r="AQ620" s="145"/>
      <c r="AR620"/>
      <c r="AS620"/>
      <c r="AT620"/>
      <c r="AU620"/>
      <c r="AV620"/>
      <c r="AW620"/>
      <c r="AX620"/>
      <c r="AY620"/>
      <c r="AZ620"/>
      <c r="BA620"/>
      <c r="BB620"/>
      <c r="BC620" s="578"/>
      <c r="BD620" s="578"/>
      <c r="BE620"/>
      <c r="BF620"/>
      <c r="BG620"/>
      <c r="BH620"/>
      <c r="BI620"/>
      <c r="BJ620"/>
      <c r="BK620"/>
    </row>
    <row r="621" spans="40:63" ht="12.75">
      <c r="AN621"/>
      <c r="AO621" s="293"/>
      <c r="AP621"/>
      <c r="AQ621" s="145"/>
      <c r="AR621"/>
      <c r="AS621"/>
      <c r="AT621"/>
      <c r="AU621"/>
      <c r="AV621"/>
      <c r="AW621"/>
      <c r="AX621"/>
      <c r="AY621"/>
      <c r="AZ621"/>
      <c r="BA621"/>
      <c r="BB621"/>
      <c r="BC621" s="578"/>
      <c r="BD621" s="578"/>
      <c r="BE621"/>
      <c r="BF621"/>
      <c r="BG621"/>
      <c r="BH621"/>
      <c r="BI621"/>
      <c r="BJ621"/>
      <c r="BK621"/>
    </row>
    <row r="622" spans="40:63" ht="12.75">
      <c r="AN622"/>
      <c r="AO622" s="293"/>
      <c r="AP622"/>
      <c r="AQ622" s="145"/>
      <c r="AR622"/>
      <c r="AS622"/>
      <c r="AT622"/>
      <c r="AU622"/>
      <c r="AV622"/>
      <c r="AW622"/>
      <c r="AX622"/>
      <c r="AY622"/>
      <c r="AZ622"/>
      <c r="BA622"/>
      <c r="BB622"/>
      <c r="BC622" s="578"/>
      <c r="BD622" s="578"/>
      <c r="BE622"/>
      <c r="BF622"/>
      <c r="BG622"/>
      <c r="BH622"/>
      <c r="BI622"/>
      <c r="BJ622"/>
      <c r="BK622"/>
    </row>
    <row r="623" spans="40:63" ht="12.75">
      <c r="AN623"/>
      <c r="AO623" s="293"/>
      <c r="AP623"/>
      <c r="AQ623" s="145"/>
      <c r="AR623"/>
      <c r="AS623"/>
      <c r="AT623"/>
      <c r="AU623"/>
      <c r="AV623"/>
      <c r="AW623"/>
      <c r="AX623"/>
      <c r="AY623"/>
      <c r="AZ623"/>
      <c r="BA623"/>
      <c r="BB623"/>
      <c r="BC623" s="578"/>
      <c r="BD623" s="578"/>
      <c r="BE623"/>
      <c r="BF623"/>
      <c r="BG623"/>
      <c r="BH623"/>
      <c r="BI623"/>
      <c r="BJ623"/>
      <c r="BK623"/>
    </row>
    <row r="624" spans="40:63" ht="12.75">
      <c r="AN624"/>
      <c r="AO624" s="293"/>
      <c r="AP624"/>
      <c r="AQ624" s="145"/>
      <c r="AR624"/>
      <c r="AS624"/>
      <c r="AT624"/>
      <c r="AU624"/>
      <c r="AV624"/>
      <c r="AW624"/>
      <c r="AX624"/>
      <c r="AY624"/>
      <c r="AZ624"/>
      <c r="BA624"/>
      <c r="BB624"/>
      <c r="BC624" s="578"/>
      <c r="BD624" s="578"/>
      <c r="BE624"/>
      <c r="BF624"/>
      <c r="BG624"/>
      <c r="BH624"/>
      <c r="BI624"/>
      <c r="BJ624"/>
      <c r="BK624"/>
    </row>
    <row r="625" spans="40:63" ht="12.75">
      <c r="AN625"/>
      <c r="AO625" s="293"/>
      <c r="AP625"/>
      <c r="AQ625" s="145"/>
      <c r="AR625"/>
      <c r="AS625"/>
      <c r="AT625"/>
      <c r="AU625"/>
      <c r="AV625"/>
      <c r="AW625"/>
      <c r="AX625"/>
      <c r="AY625"/>
      <c r="AZ625"/>
      <c r="BA625"/>
      <c r="BB625"/>
      <c r="BC625" s="578"/>
      <c r="BD625" s="578"/>
      <c r="BE625"/>
      <c r="BF625"/>
      <c r="BG625"/>
      <c r="BH625"/>
      <c r="BI625"/>
      <c r="BJ625"/>
      <c r="BK625"/>
    </row>
    <row r="626" spans="40:63" ht="12.75">
      <c r="AN626"/>
      <c r="AO626" s="293"/>
      <c r="AP626"/>
      <c r="AQ626" s="145"/>
      <c r="AR626"/>
      <c r="AS626"/>
      <c r="AT626"/>
      <c r="AU626"/>
      <c r="AV626"/>
      <c r="AW626"/>
      <c r="AX626"/>
      <c r="AY626"/>
      <c r="AZ626"/>
      <c r="BA626"/>
      <c r="BB626"/>
      <c r="BC626" s="578"/>
      <c r="BD626" s="578"/>
      <c r="BE626"/>
      <c r="BF626"/>
      <c r="BG626"/>
      <c r="BH626"/>
      <c r="BI626"/>
      <c r="BJ626"/>
      <c r="BK626"/>
    </row>
    <row r="627" spans="40:63" ht="12.75">
      <c r="AN627"/>
      <c r="AO627" s="293"/>
      <c r="AP627"/>
      <c r="AQ627" s="145"/>
      <c r="AR627"/>
      <c r="AS627"/>
      <c r="AT627"/>
      <c r="AU627"/>
      <c r="AV627"/>
      <c r="AW627"/>
      <c r="AX627"/>
      <c r="AY627"/>
      <c r="AZ627"/>
      <c r="BA627"/>
      <c r="BB627"/>
      <c r="BC627" s="578"/>
      <c r="BD627" s="578"/>
      <c r="BE627"/>
      <c r="BF627"/>
      <c r="BG627"/>
      <c r="BH627"/>
      <c r="BI627"/>
      <c r="BJ627"/>
      <c r="BK627"/>
    </row>
    <row r="628" spans="40:63" ht="12.75">
      <c r="AN628"/>
      <c r="AO628" s="293"/>
      <c r="AP628"/>
      <c r="AQ628" s="145"/>
      <c r="AR628"/>
      <c r="AS628"/>
      <c r="AT628"/>
      <c r="AU628"/>
      <c r="AV628"/>
      <c r="AW628"/>
      <c r="AX628"/>
      <c r="AY628"/>
      <c r="AZ628"/>
      <c r="BA628"/>
      <c r="BB628"/>
      <c r="BC628" s="578"/>
      <c r="BD628" s="578"/>
      <c r="BE628"/>
      <c r="BF628"/>
      <c r="BG628"/>
      <c r="BH628"/>
      <c r="BI628"/>
      <c r="BJ628"/>
      <c r="BK628"/>
    </row>
    <row r="629" spans="40:63" ht="12.75">
      <c r="AN629"/>
      <c r="AO629" s="293"/>
      <c r="AP629"/>
      <c r="AQ629" s="145"/>
      <c r="AR629"/>
      <c r="AS629"/>
      <c r="AT629"/>
      <c r="AU629"/>
      <c r="AV629"/>
      <c r="AW629"/>
      <c r="AX629"/>
      <c r="AY629"/>
      <c r="AZ629"/>
      <c r="BA629"/>
      <c r="BB629"/>
      <c r="BC629" s="578"/>
      <c r="BD629" s="578"/>
      <c r="BE629"/>
      <c r="BF629"/>
      <c r="BG629"/>
      <c r="BH629"/>
      <c r="BI629"/>
      <c r="BJ629"/>
      <c r="BK629"/>
    </row>
    <row r="630" spans="40:63" ht="12.75">
      <c r="AN630"/>
      <c r="AO630" s="293"/>
      <c r="AP630"/>
      <c r="AQ630" s="145"/>
      <c r="AR630"/>
      <c r="AS630"/>
      <c r="AT630"/>
      <c r="AU630"/>
      <c r="AV630"/>
      <c r="AW630"/>
      <c r="AX630"/>
      <c r="AY630"/>
      <c r="AZ630"/>
      <c r="BA630"/>
      <c r="BB630"/>
      <c r="BC630" s="578"/>
      <c r="BD630" s="578"/>
      <c r="BE630"/>
      <c r="BF630"/>
      <c r="BG630"/>
      <c r="BH630"/>
      <c r="BI630"/>
      <c r="BJ630"/>
      <c r="BK630"/>
    </row>
    <row r="631" spans="40:63" ht="12.75">
      <c r="AN631"/>
      <c r="AO631" s="293"/>
      <c r="AP631"/>
      <c r="AQ631" s="145"/>
      <c r="AR631"/>
      <c r="AS631"/>
      <c r="AT631"/>
      <c r="AU631"/>
      <c r="AV631"/>
      <c r="AW631"/>
      <c r="AX631"/>
      <c r="AY631"/>
      <c r="AZ631"/>
      <c r="BA631"/>
      <c r="BB631"/>
      <c r="BC631" s="578"/>
      <c r="BD631" s="578"/>
      <c r="BE631"/>
      <c r="BF631"/>
      <c r="BG631"/>
      <c r="BH631"/>
      <c r="BI631"/>
      <c r="BJ631"/>
      <c r="BK631"/>
    </row>
    <row r="632" spans="40:63" ht="12.75">
      <c r="AN632"/>
      <c r="AO632" s="293"/>
      <c r="AP632"/>
      <c r="AQ632" s="145"/>
      <c r="AR632"/>
      <c r="AS632"/>
      <c r="AT632"/>
      <c r="AU632"/>
      <c r="AV632"/>
      <c r="AW632"/>
      <c r="AX632"/>
      <c r="AY632"/>
      <c r="AZ632"/>
      <c r="BA632"/>
      <c r="BB632"/>
      <c r="BC632" s="578"/>
      <c r="BD632" s="578"/>
      <c r="BE632"/>
      <c r="BF632"/>
      <c r="BG632"/>
      <c r="BH632"/>
      <c r="BI632"/>
      <c r="BJ632"/>
      <c r="BK632"/>
    </row>
    <row r="633" spans="40:63" ht="12.75">
      <c r="AN633"/>
      <c r="AO633" s="293"/>
      <c r="AP633"/>
      <c r="AQ633" s="145"/>
      <c r="AR633"/>
      <c r="AS633"/>
      <c r="AT633"/>
      <c r="AU633"/>
      <c r="AV633"/>
      <c r="AW633"/>
      <c r="AX633"/>
      <c r="AY633"/>
      <c r="AZ633"/>
      <c r="BA633"/>
      <c r="BB633"/>
      <c r="BC633" s="578"/>
      <c r="BD633" s="578"/>
      <c r="BE633"/>
      <c r="BF633"/>
      <c r="BG633"/>
      <c r="BH633"/>
      <c r="BI633"/>
      <c r="BJ633"/>
      <c r="BK633"/>
    </row>
    <row r="634" spans="40:63" ht="12.75">
      <c r="AN634"/>
      <c r="AO634" s="293"/>
      <c r="AP634"/>
      <c r="AQ634" s="145"/>
      <c r="AR634"/>
      <c r="AS634"/>
      <c r="AT634"/>
      <c r="AU634"/>
      <c r="AV634"/>
      <c r="AW634"/>
      <c r="AX634"/>
      <c r="AY634"/>
      <c r="AZ634"/>
      <c r="BA634"/>
      <c r="BB634"/>
      <c r="BC634" s="578"/>
      <c r="BD634" s="578"/>
      <c r="BE634"/>
      <c r="BF634"/>
      <c r="BG634"/>
      <c r="BH634"/>
      <c r="BI634"/>
      <c r="BJ634"/>
      <c r="BK634"/>
    </row>
    <row r="635" spans="40:63" ht="12.75">
      <c r="AN635"/>
      <c r="AO635" s="293"/>
      <c r="AP635"/>
      <c r="AQ635" s="145"/>
      <c r="AR635"/>
      <c r="AS635"/>
      <c r="AT635"/>
      <c r="AU635"/>
      <c r="AV635"/>
      <c r="AW635"/>
      <c r="AX635"/>
      <c r="AY635"/>
      <c r="AZ635"/>
      <c r="BA635"/>
      <c r="BB635"/>
      <c r="BC635" s="578"/>
      <c r="BD635" s="578"/>
      <c r="BE635"/>
      <c r="BF635"/>
      <c r="BG635"/>
      <c r="BH635"/>
      <c r="BI635"/>
      <c r="BJ635"/>
      <c r="BK635"/>
    </row>
    <row r="636" spans="40:63" ht="12.75">
      <c r="AN636"/>
      <c r="AO636" s="293"/>
      <c r="AP636"/>
      <c r="AQ636" s="145"/>
      <c r="AR636"/>
      <c r="AS636"/>
      <c r="AT636"/>
      <c r="AU636"/>
      <c r="AV636"/>
      <c r="AW636"/>
      <c r="AX636"/>
      <c r="AY636"/>
      <c r="AZ636"/>
      <c r="BA636"/>
      <c r="BB636"/>
      <c r="BC636" s="578"/>
      <c r="BD636" s="578"/>
      <c r="BE636"/>
      <c r="BF636"/>
      <c r="BG636"/>
      <c r="BH636"/>
      <c r="BI636"/>
      <c r="BJ636"/>
      <c r="BK636"/>
    </row>
    <row r="637" spans="40:63" ht="12.75">
      <c r="AN637"/>
      <c r="AO637" s="293"/>
      <c r="AP637"/>
      <c r="AQ637" s="145"/>
      <c r="AR637"/>
      <c r="AS637"/>
      <c r="AT637"/>
      <c r="AU637"/>
      <c r="AV637"/>
      <c r="AW637"/>
      <c r="AX637"/>
      <c r="AY637"/>
      <c r="AZ637"/>
      <c r="BA637"/>
      <c r="BB637"/>
      <c r="BC637" s="578"/>
      <c r="BD637" s="578"/>
      <c r="BE637"/>
      <c r="BF637"/>
      <c r="BG637"/>
      <c r="BH637"/>
      <c r="BI637"/>
      <c r="BJ637"/>
      <c r="BK637"/>
    </row>
    <row r="638" spans="40:63" ht="12.75">
      <c r="AN638"/>
      <c r="AO638" s="293"/>
      <c r="AP638"/>
      <c r="AQ638" s="145"/>
      <c r="AR638"/>
      <c r="AS638"/>
      <c r="AT638"/>
      <c r="AU638"/>
      <c r="AV638"/>
      <c r="AW638"/>
      <c r="AX638"/>
      <c r="AY638"/>
      <c r="AZ638"/>
      <c r="BA638"/>
      <c r="BB638"/>
      <c r="BC638" s="578"/>
      <c r="BD638" s="578"/>
      <c r="BE638"/>
      <c r="BF638"/>
      <c r="BG638"/>
      <c r="BH638"/>
      <c r="BI638"/>
      <c r="BJ638"/>
      <c r="BK638"/>
    </row>
    <row r="639" spans="40:63" ht="12.75">
      <c r="AN639"/>
      <c r="AO639" s="293"/>
      <c r="AP639"/>
      <c r="AQ639" s="145"/>
      <c r="AR639"/>
      <c r="AS639"/>
      <c r="AT639"/>
      <c r="AU639"/>
      <c r="AV639"/>
      <c r="AW639"/>
      <c r="AX639"/>
      <c r="AY639"/>
      <c r="AZ639"/>
      <c r="BA639"/>
      <c r="BB639"/>
      <c r="BC639" s="578"/>
      <c r="BD639" s="578"/>
      <c r="BE639"/>
      <c r="BF639"/>
      <c r="BG639"/>
      <c r="BH639"/>
      <c r="BI639"/>
      <c r="BJ639"/>
      <c r="BK639"/>
    </row>
    <row r="640" spans="40:63" ht="12.75">
      <c r="AN640"/>
      <c r="AO640" s="293"/>
      <c r="AP640"/>
      <c r="AQ640" s="145"/>
      <c r="AR640"/>
      <c r="AS640"/>
      <c r="AT640"/>
      <c r="AU640"/>
      <c r="AV640"/>
      <c r="AW640"/>
      <c r="AX640"/>
      <c r="AY640"/>
      <c r="AZ640"/>
      <c r="BA640"/>
      <c r="BB640"/>
      <c r="BC640" s="578"/>
      <c r="BD640" s="578"/>
      <c r="BE640"/>
      <c r="BF640"/>
      <c r="BG640"/>
      <c r="BH640"/>
      <c r="BI640"/>
      <c r="BJ640"/>
      <c r="BK640"/>
    </row>
    <row r="641" spans="40:63" ht="12.75">
      <c r="AN641"/>
      <c r="AO641" s="293"/>
      <c r="AP641"/>
      <c r="AQ641" s="145"/>
      <c r="AR641"/>
      <c r="AS641"/>
      <c r="AT641"/>
      <c r="AU641"/>
      <c r="AV641"/>
      <c r="AW641"/>
      <c r="AX641"/>
      <c r="AY641"/>
      <c r="AZ641"/>
      <c r="BA641"/>
      <c r="BB641"/>
      <c r="BC641" s="578"/>
      <c r="BD641" s="578"/>
      <c r="BE641"/>
      <c r="BF641"/>
      <c r="BG641"/>
      <c r="BH641"/>
      <c r="BI641"/>
      <c r="BJ641"/>
      <c r="BK641"/>
    </row>
    <row r="642" spans="40:63" ht="12.75">
      <c r="AN642"/>
      <c r="AO642" s="293"/>
      <c r="AP642"/>
      <c r="AQ642" s="145"/>
      <c r="AR642"/>
      <c r="AS642"/>
      <c r="AT642"/>
      <c r="AU642"/>
      <c r="AV642"/>
      <c r="AW642"/>
      <c r="AX642"/>
      <c r="AY642"/>
      <c r="AZ642"/>
      <c r="BA642"/>
      <c r="BB642"/>
      <c r="BC642" s="578"/>
      <c r="BD642" s="578"/>
      <c r="BE642"/>
      <c r="BF642"/>
      <c r="BG642"/>
      <c r="BH642"/>
      <c r="BI642"/>
      <c r="BJ642"/>
      <c r="BK642"/>
    </row>
    <row r="643" spans="40:63" ht="12.75">
      <c r="AN643"/>
      <c r="AO643" s="293"/>
      <c r="AP643"/>
      <c r="AQ643" s="145"/>
      <c r="AR643"/>
      <c r="AS643"/>
      <c r="AT643"/>
      <c r="AU643"/>
      <c r="AV643"/>
      <c r="AW643"/>
      <c r="AX643"/>
      <c r="AY643"/>
      <c r="AZ643"/>
      <c r="BA643"/>
      <c r="BB643"/>
      <c r="BC643" s="578"/>
      <c r="BD643" s="578"/>
      <c r="BE643"/>
      <c r="BF643"/>
      <c r="BG643"/>
      <c r="BH643"/>
      <c r="BI643"/>
      <c r="BJ643"/>
      <c r="BK643"/>
    </row>
    <row r="644" spans="40:63" ht="12.75">
      <c r="AN644"/>
      <c r="AO644" s="293"/>
      <c r="AP644"/>
      <c r="AQ644" s="145"/>
      <c r="AR644"/>
      <c r="AS644"/>
      <c r="AT644"/>
      <c r="AU644"/>
      <c r="AV644"/>
      <c r="AW644"/>
      <c r="AX644"/>
      <c r="AY644"/>
      <c r="AZ644"/>
      <c r="BA644"/>
      <c r="BB644"/>
      <c r="BC644" s="578"/>
      <c r="BD644" s="578"/>
      <c r="BE644"/>
      <c r="BF644"/>
      <c r="BG644"/>
      <c r="BH644"/>
      <c r="BI644"/>
      <c r="BJ644"/>
      <c r="BK644"/>
    </row>
    <row r="645" spans="40:63" ht="12.75">
      <c r="AN645"/>
      <c r="AO645" s="293"/>
      <c r="AP645"/>
      <c r="AQ645" s="145"/>
      <c r="AR645"/>
      <c r="AS645"/>
      <c r="AT645"/>
      <c r="AU645"/>
      <c r="AV645"/>
      <c r="AW645"/>
      <c r="AX645"/>
      <c r="AY645"/>
      <c r="AZ645"/>
      <c r="BA645"/>
      <c r="BB645"/>
      <c r="BC645" s="578"/>
      <c r="BD645" s="578"/>
      <c r="BE645"/>
      <c r="BF645"/>
      <c r="BG645"/>
      <c r="BH645"/>
      <c r="BI645"/>
      <c r="BJ645"/>
      <c r="BK645"/>
    </row>
    <row r="646" spans="40:63" ht="12.75">
      <c r="AN646"/>
      <c r="AO646" s="293"/>
      <c r="AP646"/>
      <c r="AQ646" s="145"/>
      <c r="AR646"/>
      <c r="AS646"/>
      <c r="AT646"/>
      <c r="AU646"/>
      <c r="AV646"/>
      <c r="AW646"/>
      <c r="AX646"/>
      <c r="AY646"/>
      <c r="AZ646"/>
      <c r="BA646"/>
      <c r="BB646"/>
      <c r="BC646" s="578"/>
      <c r="BD646" s="578"/>
      <c r="BE646"/>
      <c r="BF646"/>
      <c r="BG646"/>
      <c r="BH646"/>
      <c r="BI646"/>
      <c r="BJ646"/>
      <c r="BK646"/>
    </row>
    <row r="647" spans="40:63" ht="12.75">
      <c r="AN647"/>
      <c r="AO647" s="293"/>
      <c r="AP647"/>
      <c r="AQ647" s="145"/>
      <c r="AR647"/>
      <c r="AS647"/>
      <c r="AT647"/>
      <c r="AU647"/>
      <c r="AV647"/>
      <c r="AW647"/>
      <c r="AX647"/>
      <c r="AY647"/>
      <c r="AZ647"/>
      <c r="BA647"/>
      <c r="BB647"/>
      <c r="BC647" s="578"/>
      <c r="BD647" s="578"/>
      <c r="BE647"/>
      <c r="BF647"/>
      <c r="BG647"/>
      <c r="BH647"/>
      <c r="BI647"/>
      <c r="BJ647"/>
      <c r="BK647"/>
    </row>
    <row r="648" spans="40:63" ht="12.75">
      <c r="AN648"/>
      <c r="AO648" s="293"/>
      <c r="AP648"/>
      <c r="AQ648" s="145"/>
      <c r="AR648"/>
      <c r="AS648"/>
      <c r="AT648"/>
      <c r="AU648"/>
      <c r="AV648"/>
      <c r="AW648"/>
      <c r="AX648"/>
      <c r="AY648"/>
      <c r="AZ648"/>
      <c r="BA648"/>
      <c r="BB648"/>
      <c r="BC648" s="578"/>
      <c r="BD648" s="578"/>
      <c r="BE648"/>
      <c r="BF648"/>
      <c r="BG648"/>
      <c r="BH648"/>
      <c r="BI648"/>
      <c r="BJ648"/>
      <c r="BK648"/>
    </row>
    <row r="649" spans="40:63" ht="12.75">
      <c r="AN649"/>
      <c r="AO649" s="293"/>
      <c r="AP649"/>
      <c r="AQ649" s="145"/>
      <c r="AR649"/>
      <c r="AS649"/>
      <c r="AT649"/>
      <c r="AU649"/>
      <c r="AV649"/>
      <c r="AW649"/>
      <c r="AX649"/>
      <c r="AY649"/>
      <c r="AZ649"/>
      <c r="BA649"/>
      <c r="BB649"/>
      <c r="BC649" s="578"/>
      <c r="BD649" s="578"/>
      <c r="BE649"/>
      <c r="BF649"/>
      <c r="BG649"/>
      <c r="BH649"/>
      <c r="BI649"/>
      <c r="BJ649"/>
      <c r="BK649"/>
    </row>
    <row r="650" spans="40:63" ht="12.75">
      <c r="AN650"/>
      <c r="AO650" s="293"/>
      <c r="AP650"/>
      <c r="AQ650" s="145"/>
      <c r="AR650"/>
      <c r="AS650"/>
      <c r="AT650"/>
      <c r="AU650"/>
      <c r="AV650"/>
      <c r="AW650"/>
      <c r="AX650"/>
      <c r="AY650"/>
      <c r="AZ650"/>
      <c r="BA650"/>
      <c r="BB650"/>
      <c r="BC650" s="578"/>
      <c r="BD650" s="578"/>
      <c r="BE650"/>
      <c r="BF650"/>
      <c r="BG650"/>
      <c r="BH650"/>
      <c r="BI650"/>
      <c r="BJ650"/>
      <c r="BK650"/>
    </row>
    <row r="651" spans="40:63" ht="12.75">
      <c r="AN651"/>
      <c r="AO651" s="293"/>
      <c r="AP651"/>
      <c r="AQ651" s="145"/>
      <c r="AR651"/>
      <c r="AS651"/>
      <c r="AT651"/>
      <c r="AU651"/>
      <c r="AV651"/>
      <c r="AW651"/>
      <c r="AX651"/>
      <c r="AY651"/>
      <c r="AZ651"/>
      <c r="BA651"/>
      <c r="BB651"/>
      <c r="BC651" s="578"/>
      <c r="BD651" s="578"/>
      <c r="BE651"/>
      <c r="BF651"/>
      <c r="BG651"/>
      <c r="BH651"/>
      <c r="BI651"/>
      <c r="BJ651"/>
      <c r="BK651"/>
    </row>
    <row r="652" spans="40:63" ht="12.75">
      <c r="AN652"/>
      <c r="AO652" s="293"/>
      <c r="AP652"/>
      <c r="AQ652" s="145"/>
      <c r="AR652"/>
      <c r="AS652"/>
      <c r="AT652"/>
      <c r="AU652"/>
      <c r="AV652"/>
      <c r="AW652"/>
      <c r="AX652"/>
      <c r="AY652"/>
      <c r="AZ652"/>
      <c r="BA652"/>
      <c r="BB652"/>
      <c r="BC652" s="578"/>
      <c r="BD652" s="578"/>
      <c r="BE652"/>
      <c r="BF652"/>
      <c r="BG652"/>
      <c r="BH652"/>
      <c r="BI652"/>
      <c r="BJ652"/>
      <c r="BK652"/>
    </row>
    <row r="653" spans="40:63" ht="12.75">
      <c r="AN653"/>
      <c r="AO653" s="293"/>
      <c r="AP653"/>
      <c r="AQ653" s="145"/>
      <c r="AR653"/>
      <c r="AS653"/>
      <c r="AT653"/>
      <c r="AU653"/>
      <c r="AV653"/>
      <c r="AW653"/>
      <c r="AX653"/>
      <c r="AY653"/>
      <c r="AZ653"/>
      <c r="BA653"/>
      <c r="BB653"/>
      <c r="BC653" s="578"/>
      <c r="BD653" s="578"/>
      <c r="BE653"/>
      <c r="BF653"/>
      <c r="BG653"/>
      <c r="BH653"/>
      <c r="BI653"/>
      <c r="BJ653"/>
      <c r="BK653"/>
    </row>
    <row r="654" spans="40:63" ht="12.75">
      <c r="AN654"/>
      <c r="AO654" s="293"/>
      <c r="AP654"/>
      <c r="AQ654" s="145"/>
      <c r="AR654"/>
      <c r="AS654"/>
      <c r="AT654"/>
      <c r="AU654"/>
      <c r="AV654"/>
      <c r="AW654"/>
      <c r="AX654"/>
      <c r="AY654"/>
      <c r="AZ654"/>
      <c r="BA654"/>
      <c r="BB654"/>
      <c r="BC654" s="578"/>
      <c r="BD654" s="578"/>
      <c r="BE654"/>
      <c r="BF654"/>
      <c r="BG654"/>
      <c r="BH654"/>
      <c r="BI654"/>
      <c r="BJ654"/>
      <c r="BK654"/>
    </row>
    <row r="655" spans="40:63" ht="12.75">
      <c r="AN655"/>
      <c r="AO655" s="293"/>
      <c r="AP655"/>
      <c r="AQ655" s="145"/>
      <c r="AR655"/>
      <c r="AS655"/>
      <c r="AT655"/>
      <c r="AU655"/>
      <c r="AV655"/>
      <c r="AW655"/>
      <c r="AX655"/>
      <c r="AY655"/>
      <c r="AZ655"/>
      <c r="BA655"/>
      <c r="BB655"/>
      <c r="BC655" s="578"/>
      <c r="BD655" s="578"/>
      <c r="BE655"/>
      <c r="BF655"/>
      <c r="BG655"/>
      <c r="BH655"/>
      <c r="BI655"/>
      <c r="BJ655"/>
      <c r="BK655"/>
    </row>
    <row r="656" spans="40:63" ht="12.75">
      <c r="AN656"/>
      <c r="AO656" s="293"/>
      <c r="AP656"/>
      <c r="AQ656" s="145"/>
      <c r="AR656"/>
      <c r="AS656"/>
      <c r="AT656"/>
      <c r="AU656"/>
      <c r="AV656"/>
      <c r="AW656"/>
      <c r="AX656"/>
      <c r="AY656"/>
      <c r="AZ656"/>
      <c r="BA656"/>
      <c r="BB656"/>
      <c r="BC656" s="578"/>
      <c r="BD656" s="578"/>
      <c r="BE656"/>
      <c r="BF656"/>
      <c r="BG656"/>
      <c r="BH656"/>
      <c r="BI656"/>
      <c r="BJ656"/>
      <c r="BK656"/>
    </row>
    <row r="657" spans="40:63" ht="12.75">
      <c r="AN657"/>
      <c r="AO657" s="293"/>
      <c r="AP657"/>
      <c r="AQ657" s="145"/>
      <c r="AR657"/>
      <c r="AS657"/>
      <c r="AT657"/>
      <c r="AU657"/>
      <c r="AV657"/>
      <c r="AW657"/>
      <c r="AX657"/>
      <c r="AY657"/>
      <c r="AZ657"/>
      <c r="BA657"/>
      <c r="BB657"/>
      <c r="BC657" s="578"/>
      <c r="BD657" s="578"/>
      <c r="BE657"/>
      <c r="BF657"/>
      <c r="BG657"/>
      <c r="BH657"/>
      <c r="BI657"/>
      <c r="BJ657"/>
      <c r="BK657"/>
    </row>
    <row r="658" spans="40:63" ht="12.75">
      <c r="AN658"/>
      <c r="AO658" s="293"/>
      <c r="AP658"/>
      <c r="AQ658" s="145"/>
      <c r="AR658"/>
      <c r="AS658"/>
      <c r="AT658"/>
      <c r="AU658"/>
      <c r="AV658"/>
      <c r="AW658"/>
      <c r="AX658"/>
      <c r="AY658"/>
      <c r="AZ658"/>
      <c r="BA658"/>
      <c r="BB658"/>
      <c r="BC658" s="578"/>
      <c r="BD658" s="578"/>
      <c r="BE658"/>
      <c r="BF658"/>
      <c r="BG658"/>
      <c r="BH658"/>
      <c r="BI658"/>
      <c r="BJ658"/>
      <c r="BK658"/>
    </row>
    <row r="659" spans="40:63" ht="12.75">
      <c r="AN659"/>
      <c r="AO659" s="293"/>
      <c r="AP659"/>
      <c r="AQ659" s="145"/>
      <c r="AR659"/>
      <c r="AS659"/>
      <c r="AT659"/>
      <c r="AU659"/>
      <c r="AV659"/>
      <c r="AW659"/>
      <c r="AX659"/>
      <c r="AY659"/>
      <c r="AZ659"/>
      <c r="BA659"/>
      <c r="BB659"/>
      <c r="BC659" s="578"/>
      <c r="BD659" s="578"/>
      <c r="BE659"/>
      <c r="BF659"/>
      <c r="BG659"/>
      <c r="BH659"/>
      <c r="BI659"/>
      <c r="BJ659"/>
      <c r="BK659"/>
    </row>
    <row r="660" spans="40:63" ht="12.75">
      <c r="AN660"/>
      <c r="AO660" s="293"/>
      <c r="AP660"/>
      <c r="AQ660" s="145"/>
      <c r="AR660"/>
      <c r="AS660"/>
      <c r="AT660"/>
      <c r="AU660"/>
      <c r="AV660"/>
      <c r="AW660"/>
      <c r="AX660"/>
      <c r="AY660"/>
      <c r="AZ660"/>
      <c r="BA660"/>
      <c r="BB660"/>
      <c r="BC660" s="578"/>
      <c r="BD660" s="578"/>
      <c r="BE660"/>
      <c r="BF660"/>
      <c r="BG660"/>
      <c r="BH660"/>
      <c r="BI660"/>
      <c r="BJ660"/>
      <c r="BK660"/>
    </row>
    <row r="661" spans="40:63" ht="12.75">
      <c r="AN661"/>
      <c r="AO661" s="293"/>
      <c r="AP661"/>
      <c r="AQ661" s="145"/>
      <c r="AR661"/>
      <c r="AS661"/>
      <c r="AT661"/>
      <c r="AU661"/>
      <c r="AV661"/>
      <c r="AW661"/>
      <c r="AX661"/>
      <c r="AY661"/>
      <c r="AZ661"/>
      <c r="BA661"/>
      <c r="BB661"/>
      <c r="BC661" s="578"/>
      <c r="BD661" s="578"/>
      <c r="BE661"/>
      <c r="BF661"/>
      <c r="BG661"/>
      <c r="BH661"/>
      <c r="BI661"/>
      <c r="BJ661"/>
      <c r="BK661"/>
    </row>
    <row r="662" spans="40:63" ht="12.75">
      <c r="AN662"/>
      <c r="AO662" s="293"/>
      <c r="AP662"/>
      <c r="AQ662" s="145"/>
      <c r="AR662"/>
      <c r="AS662"/>
      <c r="AT662"/>
      <c r="AU662"/>
      <c r="AV662"/>
      <c r="AW662"/>
      <c r="AX662"/>
      <c r="AY662"/>
      <c r="AZ662"/>
      <c r="BA662"/>
      <c r="BB662"/>
      <c r="BC662" s="578"/>
      <c r="BD662" s="578"/>
      <c r="BE662"/>
      <c r="BF662"/>
      <c r="BG662"/>
      <c r="BH662"/>
      <c r="BI662"/>
      <c r="BJ662"/>
      <c r="BK662"/>
    </row>
    <row r="663" spans="40:63" ht="12.75">
      <c r="AN663"/>
      <c r="AO663" s="293"/>
      <c r="AP663"/>
      <c r="AQ663" s="145"/>
      <c r="AR663"/>
      <c r="AS663"/>
      <c r="AT663"/>
      <c r="AU663"/>
      <c r="AV663"/>
      <c r="AW663"/>
      <c r="AX663"/>
      <c r="AY663"/>
      <c r="AZ663"/>
      <c r="BA663"/>
      <c r="BB663"/>
      <c r="BC663" s="578"/>
      <c r="BD663" s="578"/>
      <c r="BE663"/>
      <c r="BF663"/>
      <c r="BG663"/>
      <c r="BH663"/>
      <c r="BI663"/>
      <c r="BJ663"/>
      <c r="BK663"/>
    </row>
    <row r="664" spans="40:63" ht="12.75">
      <c r="AN664"/>
      <c r="AO664" s="293"/>
      <c r="AP664"/>
      <c r="AQ664" s="145"/>
      <c r="AR664"/>
      <c r="AS664"/>
      <c r="AT664"/>
      <c r="AU664"/>
      <c r="AV664"/>
      <c r="AW664"/>
      <c r="AX664"/>
      <c r="AY664"/>
      <c r="AZ664"/>
      <c r="BA664"/>
      <c r="BB664"/>
      <c r="BC664" s="578"/>
      <c r="BD664" s="578"/>
      <c r="BE664"/>
      <c r="BF664"/>
      <c r="BG664"/>
      <c r="BH664"/>
      <c r="BI664"/>
      <c r="BJ664"/>
      <c r="BK664"/>
    </row>
    <row r="665" spans="40:63" ht="12.75">
      <c r="AN665"/>
      <c r="AO665" s="293"/>
      <c r="AP665"/>
      <c r="AQ665" s="145"/>
      <c r="AR665"/>
      <c r="AS665"/>
      <c r="AT665"/>
      <c r="AU665"/>
      <c r="AV665"/>
      <c r="AW665"/>
      <c r="AX665"/>
      <c r="AY665"/>
      <c r="AZ665"/>
      <c r="BA665"/>
      <c r="BB665"/>
      <c r="BC665" s="578"/>
      <c r="BD665" s="578"/>
      <c r="BE665"/>
      <c r="BF665"/>
      <c r="BG665"/>
      <c r="BH665"/>
      <c r="BI665"/>
      <c r="BJ665"/>
      <c r="BK665"/>
    </row>
    <row r="666" spans="40:63" ht="12.75">
      <c r="AN666"/>
      <c r="AO666" s="293"/>
      <c r="AP666"/>
      <c r="AQ666" s="145"/>
      <c r="AR666"/>
      <c r="AS666"/>
      <c r="AT666"/>
      <c r="AU666"/>
      <c r="AV666"/>
      <c r="AW666"/>
      <c r="AX666"/>
      <c r="AY666"/>
      <c r="AZ666"/>
      <c r="BA666"/>
      <c r="BB666"/>
      <c r="BC666" s="578"/>
      <c r="BD666" s="578"/>
      <c r="BE666"/>
      <c r="BF666"/>
      <c r="BG666"/>
      <c r="BH666"/>
      <c r="BI666"/>
      <c r="BJ666"/>
      <c r="BK666"/>
    </row>
    <row r="667" spans="40:63" ht="12.75">
      <c r="AN667"/>
      <c r="AO667" s="293"/>
      <c r="AP667"/>
      <c r="AQ667" s="145"/>
      <c r="AR667"/>
      <c r="AS667"/>
      <c r="AT667"/>
      <c r="AU667"/>
      <c r="AV667"/>
      <c r="AW667"/>
      <c r="AX667"/>
      <c r="AY667"/>
      <c r="AZ667"/>
      <c r="BA667"/>
      <c r="BB667"/>
      <c r="BC667" s="578"/>
      <c r="BD667" s="578"/>
      <c r="BE667"/>
      <c r="BF667"/>
      <c r="BG667"/>
      <c r="BH667"/>
      <c r="BI667"/>
      <c r="BJ667"/>
      <c r="BK667"/>
    </row>
    <row r="668" spans="40:63" ht="12.75">
      <c r="AN668"/>
      <c r="AO668" s="293"/>
      <c r="AP668"/>
      <c r="AQ668" s="145"/>
      <c r="AR668"/>
      <c r="AS668"/>
      <c r="AT668"/>
      <c r="AU668"/>
      <c r="AV668"/>
      <c r="AW668"/>
      <c r="AX668"/>
      <c r="AY668"/>
      <c r="AZ668"/>
      <c r="BA668"/>
      <c r="BB668"/>
      <c r="BC668" s="578"/>
      <c r="BD668" s="578"/>
      <c r="BE668"/>
      <c r="BF668"/>
      <c r="BG668"/>
      <c r="BH668"/>
      <c r="BI668"/>
      <c r="BJ668"/>
      <c r="BK668"/>
    </row>
    <row r="669" spans="40:63" ht="12.75">
      <c r="AN669"/>
      <c r="AO669" s="293"/>
      <c r="AP669"/>
      <c r="AQ669" s="145"/>
      <c r="AR669"/>
      <c r="AS669"/>
      <c r="AT669"/>
      <c r="AU669"/>
      <c r="AV669"/>
      <c r="AW669"/>
      <c r="AX669"/>
      <c r="AY669"/>
      <c r="AZ669"/>
      <c r="BA669"/>
      <c r="BB669"/>
      <c r="BC669" s="578"/>
      <c r="BD669" s="578"/>
      <c r="BE669"/>
      <c r="BF669"/>
      <c r="BG669"/>
      <c r="BH669"/>
      <c r="BI669"/>
      <c r="BJ669"/>
      <c r="BK669"/>
    </row>
    <row r="670" spans="40:63" ht="12.75">
      <c r="AN670"/>
      <c r="AO670" s="293"/>
      <c r="AP670"/>
      <c r="AQ670" s="145"/>
      <c r="AR670"/>
      <c r="AS670"/>
      <c r="AT670"/>
      <c r="AU670"/>
      <c r="AV670"/>
      <c r="AW670"/>
      <c r="AX670"/>
      <c r="AY670"/>
      <c r="AZ670"/>
      <c r="BA670"/>
      <c r="BB670"/>
      <c r="BC670" s="578"/>
      <c r="BD670" s="578"/>
      <c r="BE670"/>
      <c r="BF670"/>
      <c r="BG670"/>
      <c r="BH670"/>
      <c r="BI670"/>
      <c r="BJ670"/>
      <c r="BK670"/>
    </row>
    <row r="671" spans="40:63" ht="12.75">
      <c r="AN671"/>
      <c r="AO671" s="293"/>
      <c r="AP671"/>
      <c r="AQ671" s="145"/>
      <c r="AR671"/>
      <c r="AS671"/>
      <c r="AT671"/>
      <c r="AU671"/>
      <c r="AV671"/>
      <c r="AW671"/>
      <c r="AX671"/>
      <c r="AY671"/>
      <c r="AZ671"/>
      <c r="BA671"/>
      <c r="BB671"/>
      <c r="BC671" s="578"/>
      <c r="BD671" s="578"/>
      <c r="BE671"/>
      <c r="BF671"/>
      <c r="BG671"/>
      <c r="BH671"/>
      <c r="BI671"/>
      <c r="BJ671"/>
      <c r="BK671"/>
    </row>
    <row r="672" spans="40:63" ht="12.75">
      <c r="AN672"/>
      <c r="AO672" s="293"/>
      <c r="AP672"/>
      <c r="AQ672" s="145"/>
      <c r="AR672"/>
      <c r="AS672"/>
      <c r="AT672"/>
      <c r="AU672"/>
      <c r="AV672"/>
      <c r="AW672"/>
      <c r="AX672"/>
      <c r="AY672"/>
      <c r="AZ672"/>
      <c r="BA672"/>
      <c r="BB672"/>
      <c r="BC672" s="578"/>
      <c r="BD672" s="578"/>
      <c r="BE672"/>
      <c r="BF672"/>
      <c r="BG672"/>
      <c r="BH672"/>
      <c r="BI672"/>
      <c r="BJ672"/>
      <c r="BK672"/>
    </row>
    <row r="673" spans="40:63" ht="12.75">
      <c r="AN673"/>
      <c r="AO673" s="293"/>
      <c r="AP673"/>
      <c r="AQ673" s="145"/>
      <c r="AR673"/>
      <c r="AS673"/>
      <c r="AT673"/>
      <c r="AU673"/>
      <c r="AV673"/>
      <c r="AW673"/>
      <c r="AX673"/>
      <c r="AY673"/>
      <c r="AZ673"/>
      <c r="BA673"/>
      <c r="BB673"/>
      <c r="BC673" s="578"/>
      <c r="BD673" s="578"/>
      <c r="BE673"/>
      <c r="BF673"/>
      <c r="BG673"/>
      <c r="BH673"/>
      <c r="BI673"/>
      <c r="BJ673"/>
      <c r="BK673"/>
    </row>
    <row r="674" spans="40:63" ht="12.75">
      <c r="AN674"/>
      <c r="AO674" s="293"/>
      <c r="AP674"/>
      <c r="AQ674" s="145"/>
      <c r="AR674"/>
      <c r="AS674"/>
      <c r="AT674"/>
      <c r="AU674"/>
      <c r="AV674"/>
      <c r="AW674"/>
      <c r="AX674"/>
      <c r="AY674"/>
      <c r="AZ674"/>
      <c r="BA674"/>
      <c r="BB674"/>
      <c r="BC674" s="578"/>
      <c r="BD674" s="578"/>
      <c r="BE674"/>
      <c r="BF674"/>
      <c r="BG674"/>
      <c r="BH674"/>
      <c r="BI674"/>
      <c r="BJ674"/>
      <c r="BK674"/>
    </row>
    <row r="675" spans="40:63" ht="12.75">
      <c r="AN675"/>
      <c r="AO675" s="293"/>
      <c r="AP675"/>
      <c r="AQ675" s="145"/>
      <c r="AR675"/>
      <c r="AS675"/>
      <c r="AT675"/>
      <c r="AU675"/>
      <c r="AV675"/>
      <c r="AW675"/>
      <c r="AX675"/>
      <c r="AY675"/>
      <c r="AZ675"/>
      <c r="BA675"/>
      <c r="BB675"/>
      <c r="BC675" s="578"/>
      <c r="BD675" s="578"/>
      <c r="BE675"/>
      <c r="BF675"/>
      <c r="BG675"/>
      <c r="BH675"/>
      <c r="BI675"/>
      <c r="BJ675"/>
      <c r="BK675"/>
    </row>
    <row r="676" spans="40:63" ht="12.75">
      <c r="AN676"/>
      <c r="AO676" s="293"/>
      <c r="AP676"/>
      <c r="AQ676" s="145"/>
      <c r="AR676"/>
      <c r="AS676"/>
      <c r="AT676"/>
      <c r="AU676"/>
      <c r="AV676"/>
      <c r="AW676"/>
      <c r="AX676"/>
      <c r="AY676"/>
      <c r="AZ676"/>
      <c r="BA676"/>
      <c r="BB676"/>
      <c r="BC676" s="578"/>
      <c r="BD676" s="578"/>
      <c r="BE676"/>
      <c r="BF676"/>
      <c r="BG676"/>
      <c r="BH676"/>
      <c r="BI676"/>
      <c r="BJ676"/>
      <c r="BK676"/>
    </row>
    <row r="677" spans="40:63" ht="12.75">
      <c r="AN677"/>
      <c r="AO677" s="293"/>
      <c r="AP677"/>
      <c r="AQ677" s="145"/>
      <c r="AR677"/>
      <c r="AS677"/>
      <c r="AT677"/>
      <c r="AU677"/>
      <c r="AV677"/>
      <c r="AW677"/>
      <c r="AX677"/>
      <c r="AY677"/>
      <c r="AZ677"/>
      <c r="BA677"/>
      <c r="BB677"/>
      <c r="BC677" s="578"/>
      <c r="BD677" s="578"/>
      <c r="BE677"/>
      <c r="BF677"/>
      <c r="BG677"/>
      <c r="BH677"/>
      <c r="BI677"/>
      <c r="BJ677"/>
      <c r="BK677"/>
    </row>
    <row r="678" spans="40:63" ht="12.75">
      <c r="AN678"/>
      <c r="AO678" s="293"/>
      <c r="AP678"/>
      <c r="AQ678" s="145"/>
      <c r="AR678"/>
      <c r="AS678"/>
      <c r="AT678"/>
      <c r="AU678"/>
      <c r="AV678"/>
      <c r="AW678"/>
      <c r="AX678"/>
      <c r="AY678"/>
      <c r="AZ678"/>
      <c r="BA678"/>
      <c r="BB678"/>
      <c r="BC678" s="578"/>
      <c r="BD678" s="578"/>
      <c r="BE678"/>
      <c r="BF678"/>
      <c r="BG678"/>
      <c r="BH678"/>
      <c r="BI678"/>
      <c r="BJ678"/>
      <c r="BK678"/>
    </row>
    <row r="679" spans="40:63" ht="12.75">
      <c r="AN679"/>
      <c r="AO679" s="293"/>
      <c r="AP679"/>
      <c r="AQ679" s="145"/>
      <c r="AR679"/>
      <c r="AS679"/>
      <c r="AT679"/>
      <c r="AU679"/>
      <c r="AV679"/>
      <c r="AW679"/>
      <c r="AX679"/>
      <c r="AY679"/>
      <c r="AZ679"/>
      <c r="BA679"/>
      <c r="BB679"/>
      <c r="BC679" s="578"/>
      <c r="BD679" s="578"/>
      <c r="BE679"/>
      <c r="BF679"/>
      <c r="BG679"/>
      <c r="BH679"/>
      <c r="BI679"/>
      <c r="BJ679"/>
      <c r="BK679"/>
    </row>
    <row r="680" spans="40:63" ht="12.75">
      <c r="AN680"/>
      <c r="AO680" s="293"/>
      <c r="AP680"/>
      <c r="AQ680" s="145"/>
      <c r="AR680"/>
      <c r="AS680"/>
      <c r="AT680"/>
      <c r="AU680"/>
      <c r="AV680"/>
      <c r="AW680"/>
      <c r="AX680"/>
      <c r="AY680"/>
      <c r="AZ680"/>
      <c r="BA680"/>
      <c r="BB680"/>
      <c r="BC680" s="578"/>
      <c r="BD680" s="578"/>
      <c r="BE680"/>
      <c r="BF680"/>
      <c r="BG680"/>
      <c r="BH680"/>
      <c r="BI680"/>
      <c r="BJ680"/>
      <c r="BK680"/>
    </row>
    <row r="681" spans="40:63" ht="12.75">
      <c r="AN681"/>
      <c r="AO681" s="293"/>
      <c r="AP681"/>
      <c r="AQ681" s="145"/>
      <c r="AR681"/>
      <c r="AS681"/>
      <c r="AT681"/>
      <c r="AU681"/>
      <c r="AV681"/>
      <c r="AW681"/>
      <c r="AX681"/>
      <c r="AY681"/>
      <c r="AZ681"/>
      <c r="BA681"/>
      <c r="BB681"/>
      <c r="BC681" s="578"/>
      <c r="BD681" s="578"/>
      <c r="BE681"/>
      <c r="BF681"/>
      <c r="BG681"/>
      <c r="BH681"/>
      <c r="BI681"/>
      <c r="BJ681"/>
      <c r="BK681"/>
    </row>
    <row r="682" spans="40:63" ht="12.75">
      <c r="AN682"/>
      <c r="AO682" s="293"/>
      <c r="AP682"/>
      <c r="AQ682" s="145"/>
      <c r="AR682"/>
      <c r="AS682"/>
      <c r="AT682"/>
      <c r="AU682"/>
      <c r="AV682"/>
      <c r="AW682"/>
      <c r="AX682"/>
      <c r="AY682"/>
      <c r="AZ682"/>
      <c r="BA682"/>
      <c r="BB682"/>
      <c r="BC682" s="578"/>
      <c r="BD682" s="578"/>
      <c r="BE682"/>
      <c r="BF682"/>
      <c r="BG682"/>
      <c r="BH682"/>
      <c r="BI682"/>
      <c r="BJ682"/>
      <c r="BK682"/>
    </row>
    <row r="683" spans="40:63" ht="12.75">
      <c r="AN683"/>
      <c r="AO683" s="293"/>
      <c r="AP683"/>
      <c r="AQ683" s="145"/>
      <c r="AR683"/>
      <c r="AS683"/>
      <c r="AT683"/>
      <c r="AU683"/>
      <c r="AV683"/>
      <c r="AW683"/>
      <c r="AX683"/>
      <c r="AY683"/>
      <c r="AZ683"/>
      <c r="BA683"/>
      <c r="BB683"/>
      <c r="BC683" s="578"/>
      <c r="BD683" s="578"/>
      <c r="BE683"/>
      <c r="BF683"/>
      <c r="BG683"/>
      <c r="BH683"/>
      <c r="BI683"/>
      <c r="BJ683"/>
      <c r="BK683"/>
    </row>
    <row r="684" spans="40:63" ht="12.75">
      <c r="AN684"/>
      <c r="AO684" s="293"/>
      <c r="AP684"/>
      <c r="AQ684" s="145"/>
      <c r="AR684"/>
      <c r="AS684"/>
      <c r="AT684"/>
      <c r="AU684"/>
      <c r="AV684"/>
      <c r="AW684"/>
      <c r="AX684"/>
      <c r="AY684"/>
      <c r="AZ684"/>
      <c r="BA684"/>
      <c r="BB684"/>
      <c r="BC684" s="578"/>
      <c r="BD684" s="578"/>
      <c r="BE684"/>
      <c r="BF684"/>
      <c r="BG684"/>
      <c r="BH684"/>
      <c r="BI684"/>
      <c r="BJ684"/>
      <c r="BK684"/>
    </row>
    <row r="685" spans="40:63" ht="12.75">
      <c r="AN685"/>
      <c r="AO685" s="293"/>
      <c r="AP685"/>
      <c r="AQ685" s="145"/>
      <c r="AR685"/>
      <c r="AS685"/>
      <c r="AT685"/>
      <c r="AU685"/>
      <c r="AV685"/>
      <c r="AW685"/>
      <c r="AX685"/>
      <c r="AY685"/>
      <c r="AZ685"/>
      <c r="BA685"/>
      <c r="BB685"/>
      <c r="BC685" s="578"/>
      <c r="BD685" s="578"/>
      <c r="BE685"/>
      <c r="BF685"/>
      <c r="BG685"/>
      <c r="BH685"/>
      <c r="BI685"/>
      <c r="BJ685"/>
      <c r="BK685"/>
    </row>
    <row r="686" spans="40:63" ht="12.75">
      <c r="AN686"/>
      <c r="AO686" s="293"/>
      <c r="AP686"/>
      <c r="AQ686" s="145"/>
      <c r="AR686"/>
      <c r="AS686"/>
      <c r="AT686"/>
      <c r="AU686"/>
      <c r="AV686"/>
      <c r="AW686"/>
      <c r="AX686"/>
      <c r="AY686"/>
      <c r="AZ686"/>
      <c r="BA686"/>
      <c r="BB686"/>
      <c r="BC686" s="578"/>
      <c r="BD686" s="578"/>
      <c r="BE686"/>
      <c r="BF686"/>
      <c r="BG686"/>
      <c r="BH686"/>
      <c r="BI686"/>
      <c r="BJ686"/>
      <c r="BK686"/>
    </row>
    <row r="687" spans="40:63" ht="12.75">
      <c r="AN687"/>
      <c r="AO687" s="293"/>
      <c r="AP687"/>
      <c r="AQ687" s="145"/>
      <c r="AR687"/>
      <c r="AS687"/>
      <c r="AT687"/>
      <c r="AU687"/>
      <c r="AV687"/>
      <c r="AW687"/>
      <c r="AX687"/>
      <c r="AY687"/>
      <c r="AZ687"/>
      <c r="BA687"/>
      <c r="BB687"/>
      <c r="BC687" s="578"/>
      <c r="BD687" s="578"/>
      <c r="BE687"/>
      <c r="BF687"/>
      <c r="BG687"/>
      <c r="BH687"/>
      <c r="BI687"/>
      <c r="BJ687"/>
      <c r="BK687"/>
    </row>
    <row r="688" spans="40:63" ht="12.75">
      <c r="AN688"/>
      <c r="AO688" s="293"/>
      <c r="AP688"/>
      <c r="AQ688" s="145"/>
      <c r="AR688"/>
      <c r="AS688"/>
      <c r="AT688"/>
      <c r="AU688"/>
      <c r="AV688"/>
      <c r="AW688"/>
      <c r="AX688"/>
      <c r="AY688"/>
      <c r="AZ688"/>
      <c r="BA688"/>
      <c r="BB688"/>
      <c r="BC688" s="578"/>
      <c r="BD688" s="578"/>
      <c r="BE688"/>
      <c r="BF688"/>
      <c r="BG688"/>
      <c r="BH688"/>
      <c r="BI688"/>
      <c r="BJ688"/>
      <c r="BK688"/>
    </row>
    <row r="689" spans="40:63" ht="12.75">
      <c r="AN689"/>
      <c r="AO689" s="293"/>
      <c r="AP689"/>
      <c r="AQ689" s="145"/>
      <c r="AR689"/>
      <c r="AS689"/>
      <c r="AT689"/>
      <c r="AU689"/>
      <c r="AV689"/>
      <c r="AW689"/>
      <c r="AX689"/>
      <c r="AY689"/>
      <c r="AZ689"/>
      <c r="BA689"/>
      <c r="BB689"/>
      <c r="BC689" s="578"/>
      <c r="BD689" s="578"/>
      <c r="BE689"/>
      <c r="BF689"/>
      <c r="BG689"/>
      <c r="BH689"/>
      <c r="BI689"/>
      <c r="BJ689"/>
      <c r="BK689"/>
    </row>
    <row r="690" spans="40:63" ht="12.75">
      <c r="AN690"/>
      <c r="AO690" s="293"/>
      <c r="AP690"/>
      <c r="AQ690" s="145"/>
      <c r="AR690"/>
      <c r="AS690"/>
      <c r="AT690"/>
      <c r="AU690"/>
      <c r="AV690"/>
      <c r="AW690"/>
      <c r="AX690"/>
      <c r="AY690"/>
      <c r="AZ690"/>
      <c r="BA690"/>
      <c r="BB690"/>
      <c r="BC690" s="578"/>
      <c r="BD690" s="578"/>
      <c r="BE690"/>
      <c r="BF690"/>
      <c r="BG690"/>
      <c r="BH690"/>
      <c r="BI690"/>
      <c r="BJ690"/>
      <c r="BK690"/>
    </row>
    <row r="691" spans="40:63" ht="12.75">
      <c r="AN691"/>
      <c r="AO691" s="293"/>
      <c r="AP691"/>
      <c r="AQ691" s="145"/>
      <c r="AR691"/>
      <c r="AS691"/>
      <c r="AT691"/>
      <c r="AU691"/>
      <c r="AV691"/>
      <c r="AW691"/>
      <c r="AX691"/>
      <c r="AY691"/>
      <c r="AZ691"/>
      <c r="BA691"/>
      <c r="BB691"/>
      <c r="BC691" s="578"/>
      <c r="BD691" s="578"/>
      <c r="BE691"/>
      <c r="BF691"/>
      <c r="BG691"/>
      <c r="BH691"/>
      <c r="BI691"/>
      <c r="BJ691"/>
      <c r="BK691"/>
    </row>
    <row r="692" spans="40:63" ht="12.75">
      <c r="AN692"/>
      <c r="AO692" s="293"/>
      <c r="AP692"/>
      <c r="AQ692" s="145"/>
      <c r="AR692"/>
      <c r="AS692"/>
      <c r="AT692"/>
      <c r="AU692"/>
      <c r="AV692"/>
      <c r="AW692"/>
      <c r="AX692"/>
      <c r="AY692"/>
      <c r="AZ692"/>
      <c r="BA692"/>
      <c r="BB692"/>
      <c r="BC692" s="578"/>
      <c r="BD692" s="578"/>
      <c r="BE692"/>
      <c r="BF692"/>
      <c r="BG692"/>
      <c r="BH692"/>
      <c r="BI692"/>
      <c r="BJ692"/>
      <c r="BK692"/>
    </row>
    <row r="693" spans="40:63" ht="12.75">
      <c r="AN693"/>
      <c r="AO693" s="293"/>
      <c r="AP693"/>
      <c r="AQ693" s="145"/>
      <c r="AR693"/>
      <c r="AS693"/>
      <c r="AT693"/>
      <c r="AU693"/>
      <c r="AV693"/>
      <c r="AW693"/>
      <c r="AX693"/>
      <c r="AY693"/>
      <c r="AZ693"/>
      <c r="BA693"/>
      <c r="BB693"/>
      <c r="BC693" s="578"/>
      <c r="BD693" s="578"/>
      <c r="BE693"/>
      <c r="BF693"/>
      <c r="BG693"/>
      <c r="BH693"/>
      <c r="BI693"/>
      <c r="BJ693"/>
      <c r="BK693"/>
    </row>
    <row r="694" spans="40:63" ht="12.75">
      <c r="AN694"/>
      <c r="AO694" s="293"/>
      <c r="AP694"/>
      <c r="AQ694" s="145"/>
      <c r="AR694"/>
      <c r="AS694"/>
      <c r="AT694"/>
      <c r="AU694"/>
      <c r="AV694"/>
      <c r="AW694"/>
      <c r="AX694"/>
      <c r="AY694"/>
      <c r="AZ694"/>
      <c r="BA694"/>
      <c r="BB694"/>
      <c r="BC694" s="578"/>
      <c r="BD694" s="578"/>
      <c r="BE694"/>
      <c r="BF694"/>
      <c r="BG694"/>
      <c r="BH694"/>
      <c r="BI694"/>
      <c r="BJ694"/>
      <c r="BK694"/>
    </row>
    <row r="695" spans="40:63" ht="12.75">
      <c r="AN695"/>
      <c r="AO695" s="293"/>
      <c r="AP695"/>
      <c r="AQ695" s="145"/>
      <c r="AR695"/>
      <c r="AS695"/>
      <c r="AT695"/>
      <c r="AU695"/>
      <c r="AV695"/>
      <c r="AW695"/>
      <c r="AX695"/>
      <c r="AY695"/>
      <c r="AZ695"/>
      <c r="BA695"/>
      <c r="BB695"/>
      <c r="BC695" s="578"/>
      <c r="BD695" s="578"/>
      <c r="BE695"/>
      <c r="BF695"/>
      <c r="BG695"/>
      <c r="BH695"/>
      <c r="BI695"/>
      <c r="BJ695"/>
      <c r="BK695"/>
    </row>
    <row r="696" spans="40:63" ht="12.75">
      <c r="AN696"/>
      <c r="AO696" s="293"/>
      <c r="AP696"/>
      <c r="AQ696" s="145"/>
      <c r="AR696"/>
      <c r="AS696"/>
      <c r="AT696"/>
      <c r="AU696"/>
      <c r="AV696"/>
      <c r="AW696"/>
      <c r="AX696"/>
      <c r="AY696"/>
      <c r="AZ696"/>
      <c r="BA696"/>
      <c r="BB696"/>
      <c r="BC696" s="578"/>
      <c r="BD696" s="578"/>
      <c r="BE696"/>
      <c r="BF696"/>
      <c r="BG696"/>
      <c r="BH696"/>
      <c r="BI696"/>
      <c r="BJ696"/>
      <c r="BK696"/>
    </row>
    <row r="697" spans="40:63" ht="12.75">
      <c r="AN697"/>
      <c r="AO697" s="293"/>
      <c r="AP697"/>
      <c r="AQ697" s="145"/>
      <c r="AR697"/>
      <c r="AS697"/>
      <c r="AT697"/>
      <c r="AU697"/>
      <c r="AV697"/>
      <c r="AW697"/>
      <c r="AX697"/>
      <c r="AY697"/>
      <c r="AZ697"/>
      <c r="BA697"/>
      <c r="BB697"/>
      <c r="BC697" s="578"/>
      <c r="BD697" s="578"/>
      <c r="BE697"/>
      <c r="BF697"/>
      <c r="BG697"/>
      <c r="BH697"/>
      <c r="BI697"/>
      <c r="BJ697"/>
      <c r="BK697"/>
    </row>
    <row r="698" spans="40:63" ht="12.75">
      <c r="AN698"/>
      <c r="AO698" s="293"/>
      <c r="AP698"/>
      <c r="AQ698" s="145"/>
      <c r="AR698"/>
      <c r="AS698"/>
      <c r="AT698"/>
      <c r="AU698"/>
      <c r="AV698"/>
      <c r="AW698"/>
      <c r="AX698"/>
      <c r="AY698"/>
      <c r="AZ698"/>
      <c r="BA698"/>
      <c r="BB698"/>
      <c r="BC698" s="578"/>
      <c r="BD698" s="578"/>
      <c r="BE698"/>
      <c r="BF698"/>
      <c r="BG698"/>
      <c r="BH698"/>
      <c r="BI698"/>
      <c r="BJ698"/>
      <c r="BK698"/>
    </row>
    <row r="699" spans="40:63" ht="12.75">
      <c r="AN699"/>
      <c r="AO699" s="293"/>
      <c r="AP699"/>
      <c r="AQ699" s="145"/>
      <c r="AR699"/>
      <c r="AS699"/>
      <c r="AT699"/>
      <c r="AU699"/>
      <c r="AV699"/>
      <c r="AW699"/>
      <c r="AX699"/>
      <c r="AY699"/>
      <c r="AZ699"/>
      <c r="BA699"/>
      <c r="BB699"/>
      <c r="BC699" s="578"/>
      <c r="BD699" s="578"/>
      <c r="BE699"/>
      <c r="BF699"/>
      <c r="BG699"/>
      <c r="BH699"/>
      <c r="BI699"/>
      <c r="BJ699"/>
      <c r="BK699"/>
    </row>
    <row r="700" spans="40:63" ht="12.75">
      <c r="AN700"/>
      <c r="AO700" s="293"/>
      <c r="AP700"/>
      <c r="AQ700" s="145"/>
      <c r="AR700"/>
      <c r="AS700"/>
      <c r="AT700"/>
      <c r="AU700"/>
      <c r="AV700"/>
      <c r="AW700"/>
      <c r="AX700"/>
      <c r="AY700"/>
      <c r="AZ700"/>
      <c r="BA700"/>
      <c r="BB700"/>
      <c r="BC700" s="578"/>
      <c r="BD700" s="578"/>
      <c r="BE700"/>
      <c r="BF700"/>
      <c r="BG700"/>
      <c r="BH700"/>
      <c r="BI700"/>
      <c r="BJ700"/>
      <c r="BK700"/>
    </row>
    <row r="701" spans="40:63" ht="12.75">
      <c r="AN701"/>
      <c r="AO701" s="293"/>
      <c r="AP701"/>
      <c r="AQ701" s="145"/>
      <c r="AR701"/>
      <c r="AS701"/>
      <c r="AT701"/>
      <c r="AU701"/>
      <c r="AV701"/>
      <c r="AW701"/>
      <c r="AX701"/>
      <c r="AY701"/>
      <c r="AZ701"/>
      <c r="BA701"/>
      <c r="BB701"/>
      <c r="BC701" s="578"/>
      <c r="BD701" s="578"/>
      <c r="BE701"/>
      <c r="BF701"/>
      <c r="BG701"/>
      <c r="BH701"/>
      <c r="BI701"/>
      <c r="BJ701"/>
      <c r="BK701"/>
    </row>
    <row r="702" spans="40:63" ht="12.75">
      <c r="AN702"/>
      <c r="AO702" s="293"/>
      <c r="AP702"/>
      <c r="AQ702" s="145"/>
      <c r="AR702"/>
      <c r="AS702"/>
      <c r="AT702"/>
      <c r="AU702"/>
      <c r="AV702"/>
      <c r="AW702"/>
      <c r="AX702"/>
      <c r="AY702"/>
      <c r="AZ702"/>
      <c r="BA702"/>
      <c r="BB702"/>
      <c r="BC702" s="578"/>
      <c r="BD702" s="578"/>
      <c r="BE702"/>
      <c r="BF702"/>
      <c r="BG702"/>
      <c r="BH702"/>
      <c r="BI702"/>
      <c r="BJ702"/>
      <c r="BK702"/>
    </row>
    <row r="703" spans="40:63" ht="12.75">
      <c r="AN703"/>
      <c r="AO703" s="293"/>
      <c r="AP703"/>
      <c r="AQ703" s="145"/>
      <c r="AR703"/>
      <c r="AS703"/>
      <c r="AT703"/>
      <c r="AU703"/>
      <c r="AV703"/>
      <c r="AW703"/>
      <c r="AX703"/>
      <c r="AY703"/>
      <c r="AZ703"/>
      <c r="BA703"/>
      <c r="BB703"/>
      <c r="BC703" s="578"/>
      <c r="BD703" s="578"/>
      <c r="BE703"/>
      <c r="BF703"/>
      <c r="BG703"/>
      <c r="BH703"/>
      <c r="BI703"/>
      <c r="BJ703"/>
      <c r="BK703"/>
    </row>
    <row r="704" spans="40:63" ht="12.75">
      <c r="AN704"/>
      <c r="AO704" s="293"/>
      <c r="AP704"/>
      <c r="AQ704" s="145"/>
      <c r="AR704"/>
      <c r="AS704"/>
      <c r="AT704"/>
      <c r="AU704"/>
      <c r="AV704"/>
      <c r="AW704"/>
      <c r="AX704"/>
      <c r="AY704"/>
      <c r="AZ704"/>
      <c r="BA704"/>
      <c r="BB704"/>
      <c r="BC704" s="578"/>
      <c r="BD704" s="578"/>
      <c r="BE704"/>
      <c r="BF704"/>
      <c r="BG704"/>
      <c r="BH704"/>
      <c r="BI704"/>
      <c r="BJ704"/>
      <c r="BK704"/>
    </row>
    <row r="705" spans="40:63" ht="12.75">
      <c r="AN705"/>
      <c r="AO705" s="293"/>
      <c r="AP705"/>
      <c r="AQ705" s="145"/>
      <c r="AR705"/>
      <c r="AS705"/>
      <c r="AT705"/>
      <c r="AU705"/>
      <c r="AV705"/>
      <c r="AW705"/>
      <c r="AX705"/>
      <c r="AY705"/>
      <c r="AZ705"/>
      <c r="BA705"/>
      <c r="BB705"/>
      <c r="BC705" s="578"/>
      <c r="BD705" s="578"/>
      <c r="BE705"/>
      <c r="BF705"/>
      <c r="BG705"/>
      <c r="BH705"/>
      <c r="BI705"/>
      <c r="BJ705"/>
      <c r="BK705"/>
    </row>
    <row r="706" spans="40:63" ht="12.75">
      <c r="AN706"/>
      <c r="AO706" s="293"/>
      <c r="AP706"/>
      <c r="AQ706" s="145"/>
      <c r="AR706"/>
      <c r="AS706"/>
      <c r="AT706"/>
      <c r="AU706"/>
      <c r="AV706"/>
      <c r="AW706"/>
      <c r="AX706"/>
      <c r="AY706"/>
      <c r="AZ706"/>
      <c r="BA706"/>
      <c r="BB706"/>
      <c r="BC706" s="578"/>
      <c r="BD706" s="578"/>
      <c r="BE706"/>
      <c r="BF706"/>
      <c r="BG706"/>
      <c r="BH706"/>
      <c r="BI706"/>
      <c r="BJ706"/>
      <c r="BK706"/>
    </row>
    <row r="707" spans="40:63" ht="12.75">
      <c r="AN707"/>
      <c r="AO707" s="293"/>
      <c r="AP707"/>
      <c r="AQ707" s="145"/>
      <c r="AR707"/>
      <c r="AS707"/>
      <c r="AT707"/>
      <c r="AU707"/>
      <c r="AV707"/>
      <c r="AW707"/>
      <c r="AX707"/>
      <c r="AY707"/>
      <c r="AZ707"/>
      <c r="BA707"/>
      <c r="BB707"/>
      <c r="BC707" s="578"/>
      <c r="BD707" s="578"/>
      <c r="BE707"/>
      <c r="BF707"/>
      <c r="BG707"/>
      <c r="BH707"/>
      <c r="BI707"/>
      <c r="BJ707"/>
      <c r="BK707"/>
    </row>
    <row r="708" spans="40:63" ht="12.75">
      <c r="AN708"/>
      <c r="AO708" s="293"/>
      <c r="AP708"/>
      <c r="AQ708" s="145"/>
      <c r="AR708"/>
      <c r="AS708"/>
      <c r="AT708"/>
      <c r="AU708"/>
      <c r="AV708"/>
      <c r="AW708"/>
      <c r="AX708"/>
      <c r="AY708"/>
      <c r="AZ708"/>
      <c r="BA708"/>
      <c r="BB708"/>
      <c r="BC708" s="578"/>
      <c r="BD708" s="578"/>
      <c r="BE708"/>
      <c r="BF708"/>
      <c r="BG708"/>
      <c r="BH708"/>
      <c r="BI708"/>
      <c r="BJ708"/>
      <c r="BK708"/>
    </row>
    <row r="709" spans="40:63" ht="12.75">
      <c r="AN709"/>
      <c r="AO709" s="293"/>
      <c r="AP709"/>
      <c r="AQ709" s="145"/>
      <c r="AR709"/>
      <c r="AS709"/>
      <c r="AT709"/>
      <c r="AU709"/>
      <c r="AV709"/>
      <c r="AW709"/>
      <c r="AX709"/>
      <c r="AY709"/>
      <c r="AZ709"/>
      <c r="BA709"/>
      <c r="BB709"/>
      <c r="BC709" s="578"/>
      <c r="BD709" s="578"/>
      <c r="BE709"/>
      <c r="BF709"/>
      <c r="BG709"/>
      <c r="BH709"/>
      <c r="BI709"/>
      <c r="BJ709"/>
      <c r="BK709"/>
    </row>
    <row r="710" spans="40:63" ht="12.75">
      <c r="AN710"/>
      <c r="AO710" s="293"/>
      <c r="AP710"/>
      <c r="AQ710" s="145"/>
      <c r="AR710"/>
      <c r="AS710"/>
      <c r="AT710"/>
      <c r="AU710"/>
      <c r="AV710"/>
      <c r="AW710"/>
      <c r="AX710"/>
      <c r="AY710"/>
      <c r="AZ710"/>
      <c r="BA710"/>
      <c r="BB710"/>
      <c r="BC710" s="578"/>
      <c r="BD710" s="578"/>
      <c r="BE710"/>
      <c r="BF710"/>
      <c r="BG710"/>
      <c r="BH710"/>
      <c r="BI710"/>
      <c r="BJ710"/>
      <c r="BK710"/>
    </row>
    <row r="711" spans="40:63" ht="12.75">
      <c r="AN711"/>
      <c r="AO711" s="293"/>
      <c r="AP711"/>
      <c r="AQ711" s="145"/>
      <c r="AR711"/>
      <c r="AS711"/>
      <c r="AT711"/>
      <c r="AU711"/>
      <c r="AV711"/>
      <c r="AW711"/>
      <c r="AX711"/>
      <c r="AY711"/>
      <c r="AZ711"/>
      <c r="BA711"/>
      <c r="BB711"/>
      <c r="BC711" s="578"/>
      <c r="BD711" s="578"/>
      <c r="BE711"/>
      <c r="BF711"/>
      <c r="BG711"/>
      <c r="BH711"/>
      <c r="BI711"/>
      <c r="BJ711"/>
      <c r="BK711"/>
    </row>
    <row r="712" spans="40:63" ht="12.75">
      <c r="AN712"/>
      <c r="AO712" s="293"/>
      <c r="AP712"/>
      <c r="AQ712" s="145"/>
      <c r="AR712"/>
      <c r="AS712"/>
      <c r="AT712"/>
      <c r="AU712"/>
      <c r="AV712"/>
      <c r="AW712"/>
      <c r="AX712"/>
      <c r="AY712"/>
      <c r="AZ712"/>
      <c r="BA712"/>
      <c r="BB712"/>
      <c r="BC712" s="578"/>
      <c r="BD712" s="578"/>
      <c r="BE712"/>
      <c r="BF712"/>
      <c r="BG712"/>
      <c r="BH712"/>
      <c r="BI712"/>
      <c r="BJ712"/>
      <c r="BK712"/>
    </row>
    <row r="713" spans="40:63" ht="12.75">
      <c r="AN713"/>
      <c r="AO713" s="293"/>
      <c r="AP713"/>
      <c r="AQ713" s="145"/>
      <c r="AR713"/>
      <c r="AS713"/>
      <c r="AT713"/>
      <c r="AU713"/>
      <c r="AV713"/>
      <c r="AW713"/>
      <c r="AX713"/>
      <c r="AY713"/>
      <c r="AZ713"/>
      <c r="BA713"/>
      <c r="BB713"/>
      <c r="BC713" s="578"/>
      <c r="BD713" s="578"/>
      <c r="BE713"/>
      <c r="BF713"/>
      <c r="BG713"/>
      <c r="BH713"/>
      <c r="BI713"/>
      <c r="BJ713"/>
      <c r="BK713"/>
    </row>
    <row r="714" spans="40:63" ht="12.75">
      <c r="AN714"/>
      <c r="AO714" s="293"/>
      <c r="AP714"/>
      <c r="AQ714" s="145"/>
      <c r="AR714"/>
      <c r="AS714"/>
      <c r="AT714"/>
      <c r="AU714"/>
      <c r="AV714"/>
      <c r="AW714"/>
      <c r="AX714"/>
      <c r="AY714"/>
      <c r="AZ714"/>
      <c r="BA714"/>
      <c r="BB714"/>
      <c r="BC714" s="578"/>
      <c r="BD714" s="578"/>
      <c r="BE714"/>
      <c r="BF714"/>
      <c r="BG714"/>
      <c r="BH714"/>
      <c r="BI714"/>
      <c r="BJ714"/>
      <c r="BK714"/>
    </row>
    <row r="715" spans="40:63" ht="12.75">
      <c r="AN715"/>
      <c r="AO715" s="293"/>
      <c r="AP715"/>
      <c r="AQ715" s="145"/>
      <c r="AR715"/>
      <c r="AS715"/>
      <c r="AT715"/>
      <c r="AU715"/>
      <c r="AV715"/>
      <c r="AW715"/>
      <c r="AX715"/>
      <c r="AY715"/>
      <c r="AZ715"/>
      <c r="BA715"/>
      <c r="BB715"/>
      <c r="BC715" s="578"/>
      <c r="BD715" s="578"/>
      <c r="BE715"/>
      <c r="BF715"/>
      <c r="BG715"/>
      <c r="BH715"/>
      <c r="BI715"/>
      <c r="BJ715"/>
      <c r="BK715"/>
    </row>
    <row r="716" spans="40:63" ht="12.75">
      <c r="AN716"/>
      <c r="AO716" s="293"/>
      <c r="AP716"/>
      <c r="AQ716" s="145"/>
      <c r="AR716"/>
      <c r="AS716"/>
      <c r="AT716"/>
      <c r="AU716"/>
      <c r="AV716"/>
      <c r="AW716"/>
      <c r="AX716"/>
      <c r="AY716"/>
      <c r="AZ716"/>
      <c r="BA716"/>
      <c r="BB716"/>
      <c r="BC716" s="578"/>
      <c r="BD716" s="578"/>
      <c r="BE716"/>
      <c r="BF716"/>
      <c r="BG716"/>
      <c r="BH716"/>
      <c r="BI716"/>
      <c r="BJ716"/>
      <c r="BK716"/>
    </row>
    <row r="717" spans="40:63" ht="12.75">
      <c r="AN717"/>
      <c r="AO717" s="293"/>
      <c r="AP717"/>
      <c r="AQ717" s="145"/>
      <c r="AR717"/>
      <c r="AS717"/>
      <c r="AT717"/>
      <c r="AU717"/>
      <c r="AV717"/>
      <c r="AW717"/>
      <c r="AX717"/>
      <c r="AY717"/>
      <c r="AZ717"/>
      <c r="BA717"/>
      <c r="BB717"/>
      <c r="BC717" s="578"/>
      <c r="BD717" s="578"/>
      <c r="BE717"/>
      <c r="BF717"/>
      <c r="BG717"/>
      <c r="BH717"/>
      <c r="BI717"/>
      <c r="BJ717"/>
      <c r="BK717"/>
    </row>
    <row r="718" spans="40:63" ht="12.75">
      <c r="AN718"/>
      <c r="AO718" s="293"/>
      <c r="AP718"/>
      <c r="AQ718" s="145"/>
      <c r="AR718"/>
      <c r="AS718"/>
      <c r="AT718"/>
      <c r="AU718"/>
      <c r="AV718"/>
      <c r="AW718"/>
      <c r="AX718"/>
      <c r="AY718"/>
      <c r="AZ718"/>
      <c r="BA718"/>
      <c r="BB718"/>
      <c r="BC718" s="578"/>
      <c r="BD718" s="578"/>
      <c r="BE718"/>
      <c r="BF718"/>
      <c r="BG718"/>
      <c r="BH718"/>
      <c r="BI718"/>
      <c r="BJ718"/>
      <c r="BK718"/>
    </row>
    <row r="719" spans="40:63" ht="12.75">
      <c r="AN719"/>
      <c r="AO719" s="293"/>
      <c r="AP719"/>
      <c r="AQ719" s="145"/>
      <c r="AR719"/>
      <c r="AS719"/>
      <c r="AT719"/>
      <c r="AU719"/>
      <c r="AV719"/>
      <c r="AW719"/>
      <c r="AX719"/>
      <c r="AY719"/>
      <c r="AZ719"/>
      <c r="BA719"/>
      <c r="BB719"/>
      <c r="BC719" s="578"/>
      <c r="BD719" s="578"/>
      <c r="BE719"/>
      <c r="BF719"/>
      <c r="BG719"/>
      <c r="BH719"/>
      <c r="BI719"/>
      <c r="BJ719"/>
      <c r="BK719"/>
    </row>
    <row r="720" spans="40:63" ht="12.75">
      <c r="AN720"/>
      <c r="AO720" s="293"/>
      <c r="AP720"/>
      <c r="AQ720" s="145"/>
      <c r="AR720"/>
      <c r="AS720"/>
      <c r="AT720"/>
      <c r="AU720"/>
      <c r="AV720"/>
      <c r="AW720"/>
      <c r="AX720"/>
      <c r="AY720"/>
      <c r="AZ720"/>
      <c r="BA720"/>
      <c r="BB720"/>
      <c r="BC720" s="578"/>
      <c r="BD720" s="578"/>
      <c r="BE720"/>
      <c r="BF720"/>
      <c r="BG720"/>
      <c r="BH720"/>
      <c r="BI720"/>
      <c r="BJ720"/>
      <c r="BK720"/>
    </row>
    <row r="721" spans="40:63" ht="12.75">
      <c r="AN721"/>
      <c r="AO721" s="293"/>
      <c r="AP721"/>
      <c r="AQ721" s="145"/>
      <c r="AR721"/>
      <c r="AS721"/>
      <c r="AT721"/>
      <c r="AU721"/>
      <c r="AV721"/>
      <c r="AW721"/>
      <c r="AX721"/>
      <c r="AY721"/>
      <c r="AZ721"/>
      <c r="BA721"/>
      <c r="BB721"/>
      <c r="BC721" s="578"/>
      <c r="BD721" s="578"/>
      <c r="BE721"/>
      <c r="BF721"/>
      <c r="BG721"/>
      <c r="BH721"/>
      <c r="BI721"/>
      <c r="BJ721"/>
      <c r="BK721"/>
    </row>
    <row r="722" spans="40:63" ht="12.75">
      <c r="AN722"/>
      <c r="AO722" s="293"/>
      <c r="AP722"/>
      <c r="AQ722" s="145"/>
      <c r="AR722"/>
      <c r="AS722"/>
      <c r="AT722"/>
      <c r="AU722"/>
      <c r="AV722"/>
      <c r="AW722"/>
      <c r="AX722"/>
      <c r="AY722"/>
      <c r="AZ722"/>
      <c r="BA722"/>
      <c r="BB722"/>
      <c r="BC722" s="578"/>
      <c r="BD722" s="578"/>
      <c r="BE722"/>
      <c r="BF722"/>
      <c r="BG722"/>
      <c r="BH722"/>
      <c r="BI722"/>
      <c r="BJ722"/>
      <c r="BK722"/>
    </row>
    <row r="723" spans="40:63" ht="12.75">
      <c r="AN723"/>
      <c r="AO723" s="293"/>
      <c r="AP723"/>
      <c r="AQ723" s="145"/>
      <c r="AR723"/>
      <c r="AS723"/>
      <c r="AT723"/>
      <c r="AU723"/>
      <c r="AV723"/>
      <c r="AW723"/>
      <c r="AX723"/>
      <c r="AY723"/>
      <c r="AZ723"/>
      <c r="BA723"/>
      <c r="BB723"/>
      <c r="BC723" s="578"/>
      <c r="BD723" s="578"/>
      <c r="BE723"/>
      <c r="BF723"/>
      <c r="BG723"/>
      <c r="BH723"/>
      <c r="BI723"/>
      <c r="BJ723"/>
      <c r="BK723"/>
    </row>
    <row r="724" spans="40:63" ht="12.75">
      <c r="AN724"/>
      <c r="AO724" s="293"/>
      <c r="AP724"/>
      <c r="AQ724" s="145"/>
      <c r="AR724"/>
      <c r="AS724"/>
      <c r="AT724"/>
      <c r="AU724"/>
      <c r="AV724"/>
      <c r="AW724"/>
      <c r="AX724"/>
      <c r="AY724"/>
      <c r="AZ724"/>
      <c r="BA724"/>
      <c r="BB724"/>
      <c r="BC724" s="578"/>
      <c r="BD724" s="578"/>
      <c r="BE724"/>
      <c r="BF724"/>
      <c r="BG724"/>
      <c r="BH724"/>
      <c r="BI724"/>
      <c r="BJ724"/>
      <c r="BK724"/>
    </row>
    <row r="725" spans="40:63" ht="12.75">
      <c r="AN725"/>
      <c r="AO725" s="293"/>
      <c r="AP725"/>
      <c r="AQ725" s="145"/>
      <c r="AR725"/>
      <c r="AS725"/>
      <c r="AT725"/>
      <c r="AU725"/>
      <c r="AV725"/>
      <c r="AW725"/>
      <c r="AX725"/>
      <c r="AY725"/>
      <c r="AZ725"/>
      <c r="BA725"/>
      <c r="BB725"/>
      <c r="BC725" s="578"/>
      <c r="BD725" s="578"/>
      <c r="BE725"/>
      <c r="BF725"/>
      <c r="BG725"/>
      <c r="BH725"/>
      <c r="BI725"/>
      <c r="BJ725"/>
      <c r="BK725"/>
    </row>
    <row r="726" spans="40:63" ht="12.75">
      <c r="AN726"/>
      <c r="AO726" s="293"/>
      <c r="AP726"/>
      <c r="AQ726" s="145"/>
      <c r="AR726"/>
      <c r="AS726"/>
      <c r="AT726"/>
      <c r="AU726"/>
      <c r="AV726"/>
      <c r="AW726"/>
      <c r="AX726"/>
      <c r="AY726"/>
      <c r="AZ726"/>
      <c r="BA726"/>
      <c r="BB726"/>
      <c r="BC726" s="578"/>
      <c r="BD726" s="578"/>
      <c r="BE726"/>
      <c r="BF726"/>
      <c r="BG726"/>
      <c r="BH726"/>
      <c r="BI726"/>
      <c r="BJ726"/>
      <c r="BK726"/>
    </row>
    <row r="727" spans="40:63" ht="12.75">
      <c r="AN727"/>
      <c r="AO727" s="293"/>
      <c r="AP727"/>
      <c r="AQ727" s="145"/>
      <c r="AR727"/>
      <c r="AS727"/>
      <c r="AT727"/>
      <c r="AU727"/>
      <c r="AV727"/>
      <c r="AW727"/>
      <c r="AX727"/>
      <c r="AY727"/>
      <c r="AZ727"/>
      <c r="BA727"/>
      <c r="BB727"/>
      <c r="BC727" s="578"/>
      <c r="BD727" s="578"/>
      <c r="BE727"/>
      <c r="BF727"/>
      <c r="BG727"/>
      <c r="BH727"/>
      <c r="BI727"/>
      <c r="BJ727"/>
      <c r="BK727"/>
    </row>
    <row r="728" spans="40:63" ht="12.75">
      <c r="AN728"/>
      <c r="AO728" s="293"/>
      <c r="AP728"/>
      <c r="AQ728" s="145"/>
      <c r="AR728"/>
      <c r="AS728"/>
      <c r="AT728"/>
      <c r="AU728"/>
      <c r="AV728"/>
      <c r="AW728"/>
      <c r="AX728"/>
      <c r="AY728"/>
      <c r="AZ728"/>
      <c r="BA728"/>
      <c r="BB728"/>
      <c r="BC728" s="578"/>
      <c r="BD728" s="578"/>
      <c r="BE728"/>
      <c r="BF728"/>
      <c r="BG728"/>
      <c r="BH728"/>
      <c r="BI728"/>
      <c r="BJ728"/>
      <c r="BK728"/>
    </row>
    <row r="729" spans="40:63" ht="12.75">
      <c r="AN729"/>
      <c r="AO729" s="293"/>
      <c r="AP729"/>
      <c r="AQ729" s="145"/>
      <c r="AR729"/>
      <c r="AS729"/>
      <c r="AT729"/>
      <c r="AU729"/>
      <c r="AV729"/>
      <c r="AW729"/>
      <c r="AX729"/>
      <c r="AY729"/>
      <c r="AZ729"/>
      <c r="BA729"/>
      <c r="BB729"/>
      <c r="BC729" s="578"/>
      <c r="BD729" s="578"/>
      <c r="BE729"/>
      <c r="BF729"/>
      <c r="BG729"/>
      <c r="BH729"/>
      <c r="BI729"/>
      <c r="BJ729"/>
      <c r="BK729"/>
    </row>
    <row r="730" spans="40:63" ht="12.75">
      <c r="AN730"/>
      <c r="AO730" s="293"/>
      <c r="AP730"/>
      <c r="AQ730" s="145"/>
      <c r="AR730"/>
      <c r="AS730"/>
      <c r="AT730"/>
      <c r="AU730"/>
      <c r="AV730"/>
      <c r="AW730"/>
      <c r="AX730"/>
      <c r="AY730"/>
      <c r="AZ730"/>
      <c r="BA730"/>
      <c r="BB730"/>
      <c r="BC730" s="578"/>
      <c r="BD730" s="578"/>
      <c r="BE730"/>
      <c r="BF730"/>
      <c r="BG730"/>
      <c r="BH730"/>
      <c r="BI730"/>
      <c r="BJ730"/>
      <c r="BK730"/>
    </row>
    <row r="731" spans="40:63" ht="12.75">
      <c r="AN731"/>
      <c r="AO731" s="293"/>
      <c r="AP731"/>
      <c r="AQ731" s="145"/>
      <c r="AR731"/>
      <c r="AS731"/>
      <c r="AT731"/>
      <c r="AU731"/>
      <c r="AV731"/>
      <c r="AW731"/>
      <c r="AX731"/>
      <c r="AY731"/>
      <c r="AZ731"/>
      <c r="BA731"/>
      <c r="BB731"/>
      <c r="BC731" s="578"/>
      <c r="BD731" s="578"/>
      <c r="BE731"/>
      <c r="BF731"/>
      <c r="BG731"/>
      <c r="BH731"/>
      <c r="BI731"/>
      <c r="BJ731"/>
      <c r="BK731"/>
    </row>
    <row r="732" spans="40:63" ht="12.75">
      <c r="AN732"/>
      <c r="AO732" s="293"/>
      <c r="AP732"/>
      <c r="AQ732" s="145"/>
      <c r="AR732"/>
      <c r="AS732"/>
      <c r="AT732"/>
      <c r="AU732"/>
      <c r="AV732"/>
      <c r="AW732"/>
      <c r="AX732"/>
      <c r="AY732"/>
      <c r="AZ732"/>
      <c r="BA732"/>
      <c r="BB732"/>
      <c r="BC732" s="578"/>
      <c r="BD732" s="578"/>
      <c r="BE732"/>
      <c r="BF732"/>
      <c r="BG732"/>
      <c r="BH732"/>
      <c r="BI732"/>
      <c r="BJ732"/>
      <c r="BK732"/>
    </row>
    <row r="733" spans="40:63" ht="12.75">
      <c r="AN733"/>
      <c r="AO733" s="293"/>
      <c r="AP733"/>
      <c r="AQ733" s="145"/>
      <c r="AR733"/>
      <c r="AS733"/>
      <c r="AT733"/>
      <c r="AU733"/>
      <c r="AV733"/>
      <c r="AW733"/>
      <c r="AX733"/>
      <c r="AY733"/>
      <c r="AZ733"/>
      <c r="BA733"/>
      <c r="BB733"/>
      <c r="BC733" s="578"/>
      <c r="BD733" s="578"/>
      <c r="BE733"/>
      <c r="BF733"/>
      <c r="BG733"/>
      <c r="BH733"/>
      <c r="BI733"/>
      <c r="BJ733"/>
      <c r="BK733"/>
    </row>
    <row r="734" spans="40:63" ht="12.75">
      <c r="AN734"/>
      <c r="AO734" s="293"/>
      <c r="AP734"/>
      <c r="AQ734" s="145"/>
      <c r="AR734"/>
      <c r="AS734"/>
      <c r="AT734"/>
      <c r="AU734"/>
      <c r="AV734"/>
      <c r="AW734"/>
      <c r="AX734"/>
      <c r="AY734"/>
      <c r="AZ734"/>
      <c r="BA734"/>
      <c r="BB734"/>
      <c r="BC734" s="578"/>
      <c r="BD734" s="578"/>
      <c r="BE734"/>
      <c r="BF734"/>
      <c r="BG734"/>
      <c r="BH734"/>
      <c r="BI734"/>
      <c r="BJ734"/>
      <c r="BK734"/>
    </row>
    <row r="735" spans="40:63" ht="12.75">
      <c r="AN735"/>
      <c r="AO735" s="293"/>
      <c r="AP735"/>
      <c r="AQ735" s="145"/>
      <c r="AR735"/>
      <c r="AS735"/>
      <c r="AT735"/>
      <c r="AU735"/>
      <c r="AV735"/>
      <c r="AW735"/>
      <c r="AX735"/>
      <c r="AY735"/>
      <c r="AZ735"/>
      <c r="BA735"/>
      <c r="BB735"/>
      <c r="BC735" s="578"/>
      <c r="BD735" s="578"/>
      <c r="BE735"/>
      <c r="BF735"/>
      <c r="BG735"/>
      <c r="BH735"/>
      <c r="BI735"/>
      <c r="BJ735"/>
      <c r="BK735"/>
    </row>
    <row r="736" spans="40:63" ht="12.75">
      <c r="AN736"/>
      <c r="AO736" s="293"/>
      <c r="AP736"/>
      <c r="AQ736" s="145"/>
      <c r="AR736"/>
      <c r="AS736"/>
      <c r="AT736"/>
      <c r="AU736"/>
      <c r="AV736"/>
      <c r="AW736"/>
      <c r="AX736"/>
      <c r="AY736"/>
      <c r="AZ736"/>
      <c r="BA736"/>
      <c r="BB736"/>
      <c r="BC736" s="578"/>
      <c r="BD736" s="578"/>
      <c r="BE736"/>
      <c r="BF736"/>
      <c r="BG736"/>
      <c r="BH736"/>
      <c r="BI736"/>
      <c r="BJ736"/>
      <c r="BK736"/>
    </row>
    <row r="737" spans="40:63" ht="12.75">
      <c r="AN737"/>
      <c r="AO737" s="293"/>
      <c r="AP737"/>
      <c r="AQ737" s="145"/>
      <c r="AR737"/>
      <c r="AS737"/>
      <c r="AT737"/>
      <c r="AU737"/>
      <c r="AV737"/>
      <c r="AW737"/>
      <c r="AX737"/>
      <c r="AY737"/>
      <c r="AZ737"/>
      <c r="BA737"/>
      <c r="BB737"/>
      <c r="BC737" s="578"/>
      <c r="BD737" s="578"/>
      <c r="BE737"/>
      <c r="BF737"/>
      <c r="BG737"/>
      <c r="BH737"/>
      <c r="BI737"/>
      <c r="BJ737"/>
      <c r="BK737"/>
    </row>
    <row r="738" spans="40:63" ht="12.75">
      <c r="AN738"/>
      <c r="AO738" s="293"/>
      <c r="AP738"/>
      <c r="AQ738" s="145"/>
      <c r="AR738"/>
      <c r="AS738"/>
      <c r="AT738"/>
      <c r="AU738"/>
      <c r="AV738"/>
      <c r="AW738"/>
      <c r="AX738"/>
      <c r="AY738"/>
      <c r="AZ738"/>
      <c r="BA738"/>
      <c r="BB738"/>
      <c r="BC738" s="578"/>
      <c r="BD738" s="578"/>
      <c r="BE738"/>
      <c r="BF738"/>
      <c r="BG738"/>
      <c r="BH738"/>
      <c r="BI738"/>
      <c r="BJ738"/>
      <c r="BK738"/>
    </row>
    <row r="739" spans="40:63" ht="12.75">
      <c r="AN739"/>
      <c r="AO739" s="293"/>
      <c r="AP739"/>
      <c r="AQ739" s="145"/>
      <c r="AR739"/>
      <c r="AS739"/>
      <c r="AT739"/>
      <c r="AU739"/>
      <c r="AV739"/>
      <c r="AW739"/>
      <c r="AX739"/>
      <c r="AY739"/>
      <c r="AZ739"/>
      <c r="BA739"/>
      <c r="BB739"/>
      <c r="BC739" s="578"/>
      <c r="BD739" s="578"/>
      <c r="BE739"/>
      <c r="BF739"/>
      <c r="BG739"/>
      <c r="BH739"/>
      <c r="BI739"/>
      <c r="BJ739"/>
      <c r="BK739"/>
    </row>
    <row r="740" spans="40:63" ht="12.75">
      <c r="AN740"/>
      <c r="AO740" s="293"/>
      <c r="AP740"/>
      <c r="AQ740" s="145"/>
      <c r="AR740"/>
      <c r="AS740"/>
      <c r="AT740"/>
      <c r="AU740"/>
      <c r="AV740"/>
      <c r="AW740"/>
      <c r="AX740"/>
      <c r="AY740"/>
      <c r="AZ740"/>
      <c r="BA740"/>
      <c r="BB740"/>
      <c r="BC740" s="578"/>
      <c r="BD740" s="578"/>
      <c r="BE740"/>
      <c r="BF740"/>
      <c r="BG740"/>
      <c r="BH740"/>
      <c r="BI740"/>
      <c r="BJ740"/>
      <c r="BK740"/>
    </row>
    <row r="741" spans="40:63" ht="12.75">
      <c r="AN741"/>
      <c r="AO741" s="293"/>
      <c r="AP741"/>
      <c r="AQ741" s="145"/>
      <c r="AR741"/>
      <c r="AS741"/>
      <c r="AT741"/>
      <c r="AU741"/>
      <c r="AV741"/>
      <c r="AW741"/>
      <c r="AX741"/>
      <c r="AY741"/>
      <c r="AZ741"/>
      <c r="BA741"/>
      <c r="BB741"/>
      <c r="BC741" s="578"/>
      <c r="BD741" s="578"/>
      <c r="BE741"/>
      <c r="BF741"/>
      <c r="BG741"/>
      <c r="BH741"/>
      <c r="BI741"/>
      <c r="BJ741"/>
      <c r="BK741"/>
    </row>
    <row r="742" spans="40:63" ht="12.75">
      <c r="AN742"/>
      <c r="AO742" s="293"/>
      <c r="AP742"/>
      <c r="AQ742" s="145"/>
      <c r="AR742"/>
      <c r="AS742"/>
      <c r="AT742"/>
      <c r="AU742"/>
      <c r="AV742"/>
      <c r="AW742"/>
      <c r="AX742"/>
      <c r="AY742"/>
      <c r="AZ742"/>
      <c r="BA742"/>
      <c r="BB742"/>
      <c r="BC742" s="578"/>
      <c r="BD742" s="578"/>
      <c r="BE742"/>
      <c r="BF742"/>
      <c r="BG742"/>
      <c r="BH742"/>
      <c r="BI742"/>
      <c r="BJ742"/>
      <c r="BK742"/>
    </row>
    <row r="743" spans="40:63" ht="12.75">
      <c r="AN743"/>
      <c r="AO743" s="293"/>
      <c r="AP743"/>
      <c r="AQ743" s="145"/>
      <c r="AR743"/>
      <c r="AS743"/>
      <c r="AT743"/>
      <c r="AU743"/>
      <c r="AV743"/>
      <c r="AW743"/>
      <c r="AX743"/>
      <c r="AY743"/>
      <c r="AZ743"/>
      <c r="BA743"/>
      <c r="BB743"/>
      <c r="BC743" s="578"/>
      <c r="BD743" s="578"/>
      <c r="BE743"/>
      <c r="BF743"/>
      <c r="BG743"/>
      <c r="BH743"/>
      <c r="BI743"/>
      <c r="BJ743"/>
      <c r="BK743"/>
    </row>
    <row r="744" spans="40:63" ht="12.75">
      <c r="AN744"/>
      <c r="AO744" s="293"/>
      <c r="AP744"/>
      <c r="AQ744" s="145"/>
      <c r="AR744"/>
      <c r="AS744"/>
      <c r="AT744"/>
      <c r="AU744"/>
      <c r="AV744"/>
      <c r="AW744"/>
      <c r="AX744"/>
      <c r="AY744"/>
      <c r="AZ744"/>
      <c r="BA744"/>
      <c r="BB744"/>
      <c r="BC744" s="578"/>
      <c r="BD744" s="578"/>
      <c r="BE744"/>
      <c r="BF744"/>
      <c r="BG744"/>
      <c r="BH744"/>
      <c r="BI744"/>
      <c r="BJ744"/>
      <c r="BK744"/>
    </row>
    <row r="745" spans="40:63" ht="12.75">
      <c r="AN745"/>
      <c r="AO745" s="293"/>
      <c r="AP745"/>
      <c r="AQ745" s="145"/>
      <c r="AR745"/>
      <c r="AS745"/>
      <c r="AT745"/>
      <c r="AU745"/>
      <c r="AV745"/>
      <c r="AW745"/>
      <c r="AX745"/>
      <c r="AY745"/>
      <c r="AZ745"/>
      <c r="BA745"/>
      <c r="BB745"/>
      <c r="BC745" s="578"/>
      <c r="BD745" s="578"/>
      <c r="BE745"/>
      <c r="BF745"/>
      <c r="BG745"/>
      <c r="BH745"/>
      <c r="BI745"/>
      <c r="BJ745"/>
      <c r="BK745"/>
    </row>
    <row r="746" spans="40:63" ht="12.75">
      <c r="AN746"/>
      <c r="AO746" s="293"/>
      <c r="AP746"/>
      <c r="AQ746" s="145"/>
      <c r="AR746"/>
      <c r="AS746"/>
      <c r="AT746"/>
      <c r="AU746"/>
      <c r="AV746"/>
      <c r="AW746"/>
      <c r="AX746"/>
      <c r="AY746"/>
      <c r="AZ746"/>
      <c r="BA746"/>
      <c r="BB746"/>
      <c r="BC746" s="578"/>
      <c r="BD746" s="578"/>
      <c r="BE746"/>
      <c r="BF746"/>
      <c r="BG746"/>
      <c r="BH746"/>
      <c r="BI746"/>
      <c r="BJ746"/>
      <c r="BK746"/>
    </row>
    <row r="747" spans="40:63" ht="12.75">
      <c r="AN747"/>
      <c r="AO747" s="293"/>
      <c r="AP747"/>
      <c r="AQ747" s="145"/>
      <c r="AR747"/>
      <c r="AS747"/>
      <c r="AT747"/>
      <c r="AU747"/>
      <c r="AV747"/>
      <c r="AW747"/>
      <c r="AX747"/>
      <c r="AY747"/>
      <c r="AZ747"/>
      <c r="BA747"/>
      <c r="BB747"/>
      <c r="BC747" s="578"/>
      <c r="BD747" s="578"/>
      <c r="BE747"/>
      <c r="BF747"/>
      <c r="BG747"/>
      <c r="BH747"/>
      <c r="BI747"/>
      <c r="BJ747"/>
      <c r="BK747"/>
    </row>
    <row r="748" spans="40:63" ht="12.75">
      <c r="AN748"/>
      <c r="AO748" s="293"/>
      <c r="AP748"/>
      <c r="AQ748" s="145"/>
      <c r="AR748"/>
      <c r="AS748"/>
      <c r="AT748"/>
      <c r="AU748"/>
      <c r="AV748"/>
      <c r="AW748"/>
      <c r="AX748"/>
      <c r="AY748"/>
      <c r="AZ748"/>
      <c r="BA748"/>
      <c r="BB748"/>
      <c r="BC748" s="578"/>
      <c r="BD748" s="578"/>
      <c r="BE748"/>
      <c r="BF748"/>
      <c r="BG748"/>
      <c r="BH748"/>
      <c r="BI748"/>
      <c r="BJ748"/>
      <c r="BK748"/>
    </row>
    <row r="749" spans="40:63" ht="12.75">
      <c r="AN749"/>
      <c r="AO749" s="293"/>
      <c r="AP749"/>
      <c r="AQ749" s="145"/>
      <c r="AR749"/>
      <c r="AS749"/>
      <c r="AT749"/>
      <c r="AU749"/>
      <c r="AV749"/>
      <c r="AW749"/>
      <c r="AX749"/>
      <c r="AY749"/>
      <c r="AZ749"/>
      <c r="BA749"/>
      <c r="BB749"/>
      <c r="BC749" s="578"/>
      <c r="BD749" s="578"/>
      <c r="BE749"/>
      <c r="BF749"/>
      <c r="BG749"/>
      <c r="BH749"/>
      <c r="BI749"/>
      <c r="BJ749"/>
      <c r="BK749"/>
    </row>
    <row r="750" spans="40:63" ht="12.75">
      <c r="AN750"/>
      <c r="AO750" s="293"/>
      <c r="AP750"/>
      <c r="AQ750" s="145"/>
      <c r="AR750"/>
      <c r="AS750"/>
      <c r="AT750"/>
      <c r="AU750"/>
      <c r="AV750"/>
      <c r="AW750"/>
      <c r="AX750"/>
      <c r="AY750"/>
      <c r="AZ750"/>
      <c r="BA750"/>
      <c r="BB750"/>
      <c r="BC750" s="578"/>
      <c r="BD750" s="578"/>
      <c r="BE750"/>
      <c r="BF750"/>
      <c r="BG750"/>
      <c r="BH750"/>
      <c r="BI750"/>
      <c r="BJ750"/>
      <c r="BK750"/>
    </row>
    <row r="751" spans="40:63" ht="12.75">
      <c r="AN751"/>
      <c r="AO751" s="293"/>
      <c r="AP751"/>
      <c r="AQ751" s="145"/>
      <c r="AR751"/>
      <c r="AS751"/>
      <c r="AT751"/>
      <c r="AU751"/>
      <c r="AV751"/>
      <c r="AW751"/>
      <c r="AX751"/>
      <c r="AY751"/>
      <c r="AZ751"/>
      <c r="BA751"/>
      <c r="BB751"/>
      <c r="BC751" s="578"/>
      <c r="BD751" s="578"/>
      <c r="BE751"/>
      <c r="BF751"/>
      <c r="BG751"/>
      <c r="BH751"/>
      <c r="BI751"/>
      <c r="BJ751"/>
      <c r="BK751"/>
    </row>
    <row r="752" spans="40:63" ht="12.75">
      <c r="AN752"/>
      <c r="AO752" s="293"/>
      <c r="AP752"/>
      <c r="AQ752" s="145"/>
      <c r="AR752"/>
      <c r="AS752"/>
      <c r="AT752"/>
      <c r="AU752"/>
      <c r="AV752"/>
      <c r="AW752"/>
      <c r="AX752"/>
      <c r="AY752"/>
      <c r="AZ752"/>
      <c r="BA752"/>
      <c r="BB752"/>
      <c r="BC752" s="578"/>
      <c r="BD752" s="578"/>
      <c r="BE752"/>
      <c r="BF752"/>
      <c r="BG752"/>
      <c r="BH752"/>
      <c r="BI752"/>
      <c r="BJ752"/>
      <c r="BK752"/>
    </row>
    <row r="753" spans="40:63" ht="12.75">
      <c r="AN753"/>
      <c r="AO753" s="293"/>
      <c r="AP753"/>
      <c r="AQ753" s="145"/>
      <c r="AR753"/>
      <c r="AS753"/>
      <c r="AT753"/>
      <c r="AU753"/>
      <c r="AV753"/>
      <c r="AW753"/>
      <c r="AX753"/>
      <c r="AY753"/>
      <c r="AZ753"/>
      <c r="BA753"/>
      <c r="BB753"/>
      <c r="BC753" s="578"/>
      <c r="BD753" s="578"/>
      <c r="BE753"/>
      <c r="BF753"/>
      <c r="BG753"/>
      <c r="BH753"/>
      <c r="BI753"/>
      <c r="BJ753"/>
      <c r="BK753"/>
    </row>
    <row r="754" spans="40:63" ht="12.75">
      <c r="AN754"/>
      <c r="AO754" s="293"/>
      <c r="AP754"/>
      <c r="AQ754" s="145"/>
      <c r="AR754"/>
      <c r="AS754"/>
      <c r="AT754"/>
      <c r="AU754"/>
      <c r="AV754"/>
      <c r="AW754"/>
      <c r="AX754"/>
      <c r="AY754"/>
      <c r="AZ754"/>
      <c r="BA754"/>
      <c r="BB754"/>
      <c r="BC754" s="578"/>
      <c r="BD754" s="578"/>
      <c r="BE754"/>
      <c r="BF754"/>
      <c r="BG754"/>
      <c r="BH754"/>
      <c r="BI754"/>
      <c r="BJ754"/>
      <c r="BK754"/>
    </row>
    <row r="755" spans="40:63" ht="12.75">
      <c r="AN755"/>
      <c r="AO755" s="293"/>
      <c r="AP755"/>
      <c r="AQ755" s="145"/>
      <c r="AR755"/>
      <c r="AS755"/>
      <c r="AT755"/>
      <c r="AU755"/>
      <c r="AV755"/>
      <c r="AW755"/>
      <c r="AX755"/>
      <c r="AY755"/>
      <c r="AZ755"/>
      <c r="BA755"/>
      <c r="BB755"/>
      <c r="BC755" s="578"/>
      <c r="BD755" s="578"/>
      <c r="BE755"/>
      <c r="BF755"/>
      <c r="BG755"/>
      <c r="BH755"/>
      <c r="BI755"/>
      <c r="BJ755"/>
      <c r="BK755"/>
    </row>
    <row r="756" spans="40:63" ht="12.75">
      <c r="AN756"/>
      <c r="AO756" s="293"/>
      <c r="AP756"/>
      <c r="AQ756" s="145"/>
      <c r="AR756"/>
      <c r="AS756"/>
      <c r="AT756"/>
      <c r="AU756"/>
      <c r="AV756"/>
      <c r="AW756"/>
      <c r="AX756"/>
      <c r="AY756"/>
      <c r="AZ756"/>
      <c r="BA756"/>
      <c r="BB756"/>
      <c r="BC756" s="578"/>
      <c r="BD756" s="578"/>
      <c r="BE756"/>
      <c r="BF756"/>
      <c r="BG756"/>
      <c r="BH756"/>
      <c r="BI756"/>
      <c r="BJ756"/>
      <c r="BK756"/>
    </row>
    <row r="757" spans="40:63" ht="12.75">
      <c r="AN757"/>
      <c r="AO757" s="293"/>
      <c r="AP757"/>
      <c r="AQ757" s="145"/>
      <c r="AR757"/>
      <c r="AS757"/>
      <c r="AT757"/>
      <c r="AU757"/>
      <c r="AV757"/>
      <c r="AW757"/>
      <c r="AX757"/>
      <c r="AY757"/>
      <c r="AZ757"/>
      <c r="BA757"/>
      <c r="BB757"/>
      <c r="BC757" s="578"/>
      <c r="BD757" s="578"/>
      <c r="BE757"/>
      <c r="BF757"/>
      <c r="BG757"/>
      <c r="BH757"/>
      <c r="BI757"/>
      <c r="BJ757"/>
      <c r="BK757"/>
    </row>
    <row r="758" spans="40:63" ht="12.75">
      <c r="AN758"/>
      <c r="AO758" s="293"/>
      <c r="AP758"/>
      <c r="AQ758" s="145"/>
      <c r="AR758"/>
      <c r="AS758"/>
      <c r="AT758"/>
      <c r="AU758"/>
      <c r="AV758"/>
      <c r="AW758"/>
      <c r="AX758"/>
      <c r="AY758"/>
      <c r="AZ758"/>
      <c r="BA758"/>
      <c r="BB758"/>
      <c r="BC758" s="578"/>
      <c r="BD758" s="578"/>
      <c r="BE758"/>
      <c r="BF758"/>
      <c r="BG758"/>
      <c r="BH758"/>
      <c r="BI758"/>
      <c r="BJ758"/>
      <c r="BK758"/>
    </row>
    <row r="759" spans="40:63" ht="12.75">
      <c r="AN759"/>
      <c r="AO759" s="293"/>
      <c r="AP759"/>
      <c r="AQ759" s="145"/>
      <c r="AR759"/>
      <c r="AS759"/>
      <c r="AT759"/>
      <c r="AU759"/>
      <c r="AV759"/>
      <c r="AW759"/>
      <c r="AX759"/>
      <c r="AY759"/>
      <c r="AZ759"/>
      <c r="BA759"/>
      <c r="BB759"/>
      <c r="BC759" s="578"/>
      <c r="BD759" s="578"/>
      <c r="BE759"/>
      <c r="BF759"/>
      <c r="BG759"/>
      <c r="BH759"/>
      <c r="BI759"/>
      <c r="BJ759"/>
      <c r="BK759"/>
    </row>
    <row r="760" spans="40:63" ht="12.75">
      <c r="AN760"/>
      <c r="AO760" s="293"/>
      <c r="AP760"/>
      <c r="AQ760" s="145"/>
      <c r="AR760"/>
      <c r="AS760"/>
      <c r="AT760"/>
      <c r="AU760"/>
      <c r="AV760"/>
      <c r="AW760"/>
      <c r="AX760"/>
      <c r="AY760"/>
      <c r="AZ760"/>
      <c r="BA760"/>
      <c r="BB760"/>
      <c r="BC760" s="578"/>
      <c r="BD760" s="578"/>
      <c r="BE760"/>
      <c r="BF760"/>
      <c r="BG760"/>
      <c r="BH760"/>
      <c r="BI760"/>
      <c r="BJ760"/>
      <c r="BK760"/>
    </row>
    <row r="761" spans="40:63" ht="12.75">
      <c r="AN761"/>
      <c r="AO761" s="293"/>
      <c r="AP761"/>
      <c r="AQ761" s="145"/>
      <c r="AR761"/>
      <c r="AS761"/>
      <c r="AT761"/>
      <c r="AU761"/>
      <c r="AV761"/>
      <c r="AW761"/>
      <c r="AX761"/>
      <c r="AY761"/>
      <c r="AZ761"/>
      <c r="BA761"/>
      <c r="BB761"/>
      <c r="BC761" s="578"/>
      <c r="BD761" s="578"/>
      <c r="BE761"/>
      <c r="BF761"/>
      <c r="BG761"/>
      <c r="BH761"/>
      <c r="BI761"/>
      <c r="BJ761"/>
      <c r="BK761"/>
    </row>
    <row r="762" spans="40:63" ht="12.75">
      <c r="AN762"/>
      <c r="AO762" s="293"/>
      <c r="AP762"/>
      <c r="AQ762" s="145"/>
      <c r="AR762"/>
      <c r="AS762"/>
      <c r="AT762"/>
      <c r="AU762"/>
      <c r="AV762"/>
      <c r="AW762"/>
      <c r="AX762"/>
      <c r="AY762"/>
      <c r="AZ762"/>
      <c r="BA762"/>
      <c r="BB762"/>
      <c r="BC762" s="578"/>
      <c r="BD762" s="578"/>
      <c r="BE762"/>
      <c r="BF762"/>
      <c r="BG762"/>
      <c r="BH762"/>
      <c r="BI762"/>
      <c r="BJ762"/>
      <c r="BK762"/>
    </row>
    <row r="763" spans="40:63" ht="12.75">
      <c r="AN763"/>
      <c r="AO763" s="293"/>
      <c r="AP763"/>
      <c r="AQ763" s="145"/>
      <c r="AR763"/>
      <c r="AS763"/>
      <c r="AT763"/>
      <c r="AU763"/>
      <c r="AV763"/>
      <c r="AW763"/>
      <c r="AX763"/>
      <c r="AY763"/>
      <c r="AZ763"/>
      <c r="BA763"/>
      <c r="BB763"/>
      <c r="BC763" s="578"/>
      <c r="BD763" s="578"/>
      <c r="BE763"/>
      <c r="BF763"/>
      <c r="BG763"/>
      <c r="BH763"/>
      <c r="BI763"/>
      <c r="BJ763"/>
      <c r="BK763"/>
    </row>
    <row r="764" spans="40:63" ht="12.75">
      <c r="AN764"/>
      <c r="AO764" s="293"/>
      <c r="AP764"/>
      <c r="AQ764" s="145"/>
      <c r="AR764"/>
      <c r="AS764"/>
      <c r="AT764"/>
      <c r="AU764"/>
      <c r="AV764"/>
      <c r="AW764"/>
      <c r="AX764"/>
      <c r="AY764"/>
      <c r="AZ764"/>
      <c r="BA764"/>
      <c r="BB764"/>
      <c r="BC764" s="578"/>
      <c r="BD764" s="578"/>
      <c r="BE764"/>
      <c r="BF764"/>
      <c r="BG764"/>
      <c r="BH764"/>
      <c r="BI764"/>
      <c r="BJ764"/>
      <c r="BK764"/>
    </row>
    <row r="765" spans="40:63" ht="12.75">
      <c r="AN765"/>
      <c r="AO765" s="293"/>
      <c r="AP765"/>
      <c r="AQ765" s="145"/>
      <c r="AR765"/>
      <c r="AS765"/>
      <c r="AT765"/>
      <c r="AU765"/>
      <c r="AV765"/>
      <c r="AW765"/>
      <c r="AX765"/>
      <c r="AY765"/>
      <c r="AZ765"/>
      <c r="BA765"/>
      <c r="BB765"/>
      <c r="BC765" s="578"/>
      <c r="BD765" s="578"/>
      <c r="BE765"/>
      <c r="BF765"/>
      <c r="BG765"/>
      <c r="BH765"/>
      <c r="BI765"/>
      <c r="BJ765"/>
      <c r="BK765"/>
    </row>
    <row r="766" spans="40:63" ht="12.75">
      <c r="AN766"/>
      <c r="AO766" s="293"/>
      <c r="AP766"/>
      <c r="AQ766" s="145"/>
      <c r="AR766"/>
      <c r="AS766"/>
      <c r="AT766"/>
      <c r="AU766"/>
      <c r="AV766"/>
      <c r="AW766"/>
      <c r="AX766"/>
      <c r="AY766"/>
      <c r="AZ766"/>
      <c r="BA766"/>
      <c r="BB766"/>
      <c r="BC766" s="578"/>
      <c r="BD766" s="578"/>
      <c r="BE766"/>
      <c r="BF766"/>
      <c r="BG766"/>
      <c r="BH766"/>
      <c r="BI766"/>
      <c r="BJ766"/>
      <c r="BK766"/>
    </row>
    <row r="767" spans="40:63" ht="12.75">
      <c r="AN767"/>
      <c r="AO767" s="293"/>
      <c r="AP767"/>
      <c r="AQ767" s="145"/>
      <c r="AR767"/>
      <c r="AS767"/>
      <c r="AT767"/>
      <c r="AU767"/>
      <c r="AV767"/>
      <c r="AW767"/>
      <c r="AX767"/>
      <c r="AY767"/>
      <c r="AZ767"/>
      <c r="BA767"/>
      <c r="BB767"/>
      <c r="BC767" s="578"/>
      <c r="BD767" s="578"/>
      <c r="BE767"/>
      <c r="BF767"/>
      <c r="BG767"/>
      <c r="BH767"/>
      <c r="BI767"/>
      <c r="BJ767"/>
      <c r="BK767"/>
    </row>
    <row r="768" spans="40:63" ht="12.75">
      <c r="AN768"/>
      <c r="AO768" s="293"/>
      <c r="AP768"/>
      <c r="AQ768" s="145"/>
      <c r="AR768"/>
      <c r="AS768"/>
      <c r="AT768"/>
      <c r="AU768"/>
      <c r="AV768"/>
      <c r="AW768"/>
      <c r="AX768"/>
      <c r="AY768"/>
      <c r="AZ768"/>
      <c r="BA768"/>
      <c r="BB768"/>
      <c r="BC768" s="578"/>
      <c r="BD768" s="578"/>
      <c r="BE768"/>
      <c r="BF768"/>
      <c r="BG768"/>
      <c r="BH768"/>
      <c r="BI768"/>
      <c r="BJ768"/>
      <c r="BK768"/>
    </row>
    <row r="769" spans="40:63" ht="12.75">
      <c r="AN769"/>
      <c r="AO769" s="293"/>
      <c r="AP769"/>
      <c r="AQ769" s="145"/>
      <c r="AR769"/>
      <c r="AS769"/>
      <c r="AT769"/>
      <c r="AU769"/>
      <c r="AV769"/>
      <c r="AW769"/>
      <c r="AX769"/>
      <c r="AY769"/>
      <c r="AZ769"/>
      <c r="BA769"/>
      <c r="BB769"/>
      <c r="BC769" s="578"/>
      <c r="BD769" s="578"/>
      <c r="BE769"/>
      <c r="BF769"/>
      <c r="BG769"/>
      <c r="BH769"/>
      <c r="BI769"/>
      <c r="BJ769"/>
      <c r="BK769"/>
    </row>
    <row r="770" spans="40:63" ht="12.75">
      <c r="AN770"/>
      <c r="AO770" s="293"/>
      <c r="AP770"/>
      <c r="AQ770" s="145"/>
      <c r="AR770"/>
      <c r="AS770"/>
      <c r="AT770"/>
      <c r="AU770"/>
      <c r="AV770"/>
      <c r="AW770"/>
      <c r="AX770"/>
      <c r="AY770"/>
      <c r="AZ770"/>
      <c r="BA770"/>
      <c r="BB770"/>
      <c r="BC770" s="578"/>
      <c r="BD770" s="578"/>
      <c r="BE770"/>
      <c r="BF770"/>
      <c r="BG770"/>
      <c r="BH770"/>
      <c r="BI770"/>
      <c r="BJ770"/>
      <c r="BK770"/>
    </row>
    <row r="771" spans="40:63" ht="12.75">
      <c r="AN771"/>
      <c r="AO771" s="293"/>
      <c r="AP771"/>
      <c r="AQ771" s="145"/>
      <c r="AR771"/>
      <c r="AS771"/>
      <c r="AT771"/>
      <c r="AU771"/>
      <c r="AV771"/>
      <c r="AW771"/>
      <c r="AX771"/>
      <c r="AY771"/>
      <c r="AZ771"/>
      <c r="BA771"/>
      <c r="BB771"/>
      <c r="BC771" s="578"/>
      <c r="BD771" s="578"/>
      <c r="BE771"/>
      <c r="BF771"/>
      <c r="BG771"/>
      <c r="BH771"/>
      <c r="BI771"/>
      <c r="BJ771"/>
      <c r="BK771"/>
    </row>
    <row r="772" spans="40:63" ht="12.75">
      <c r="AN772"/>
      <c r="AO772" s="293"/>
      <c r="AP772"/>
      <c r="AQ772" s="145"/>
      <c r="AR772"/>
      <c r="AS772"/>
      <c r="AT772"/>
      <c r="AU772"/>
      <c r="AV772"/>
      <c r="AW772"/>
      <c r="AX772"/>
      <c r="AY772"/>
      <c r="AZ772"/>
      <c r="BA772"/>
      <c r="BB772"/>
      <c r="BC772" s="578"/>
      <c r="BD772" s="578"/>
      <c r="BE772"/>
      <c r="BF772"/>
      <c r="BG772"/>
      <c r="BH772"/>
      <c r="BI772"/>
      <c r="BJ772"/>
      <c r="BK772"/>
    </row>
    <row r="773" spans="40:63" ht="12.75">
      <c r="AN773"/>
      <c r="AO773" s="293"/>
      <c r="AP773"/>
      <c r="AQ773" s="145"/>
      <c r="AR773"/>
      <c r="AS773"/>
      <c r="AT773"/>
      <c r="AU773"/>
      <c r="AV773"/>
      <c r="AW773"/>
      <c r="AX773"/>
      <c r="AY773"/>
      <c r="AZ773"/>
      <c r="BA773"/>
      <c r="BB773"/>
      <c r="BC773" s="578"/>
      <c r="BD773" s="578"/>
      <c r="BE773"/>
      <c r="BF773"/>
      <c r="BG773"/>
      <c r="BH773"/>
      <c r="BI773"/>
      <c r="BJ773"/>
      <c r="BK773"/>
    </row>
    <row r="774" spans="40:63" ht="12.75">
      <c r="AN774"/>
      <c r="AO774" s="293"/>
      <c r="AP774"/>
      <c r="AQ774" s="145"/>
      <c r="AR774"/>
      <c r="AS774"/>
      <c r="AT774"/>
      <c r="AU774"/>
      <c r="AV774"/>
      <c r="AW774"/>
      <c r="AX774"/>
      <c r="AY774"/>
      <c r="AZ774"/>
      <c r="BA774"/>
      <c r="BB774"/>
      <c r="BC774" s="578"/>
      <c r="BD774" s="578"/>
      <c r="BE774"/>
      <c r="BF774"/>
      <c r="BG774"/>
      <c r="BH774"/>
      <c r="BI774"/>
      <c r="BJ774"/>
      <c r="BK774"/>
    </row>
    <row r="775" spans="40:63" ht="12.75">
      <c r="AN775"/>
      <c r="AO775" s="293"/>
      <c r="AP775"/>
      <c r="AQ775" s="145"/>
      <c r="AR775"/>
      <c r="AS775"/>
      <c r="AT775"/>
      <c r="AU775"/>
      <c r="AV775"/>
      <c r="AW775"/>
      <c r="AX775"/>
      <c r="AY775"/>
      <c r="AZ775"/>
      <c r="BA775"/>
      <c r="BB775"/>
      <c r="BC775" s="578"/>
      <c r="BD775" s="578"/>
      <c r="BE775"/>
      <c r="BF775"/>
      <c r="BG775"/>
      <c r="BH775"/>
      <c r="BI775"/>
      <c r="BJ775"/>
      <c r="BK775"/>
    </row>
    <row r="776" spans="40:63" ht="12.75">
      <c r="AN776"/>
      <c r="AO776" s="293"/>
      <c r="AP776"/>
      <c r="AQ776" s="145"/>
      <c r="AR776"/>
      <c r="AS776"/>
      <c r="AT776"/>
      <c r="AU776"/>
      <c r="AV776"/>
      <c r="AW776"/>
      <c r="AX776"/>
      <c r="AY776"/>
      <c r="AZ776"/>
      <c r="BA776"/>
      <c r="BB776"/>
      <c r="BC776" s="578"/>
      <c r="BD776" s="578"/>
      <c r="BE776"/>
      <c r="BF776"/>
      <c r="BG776"/>
      <c r="BH776"/>
      <c r="BI776"/>
      <c r="BJ776"/>
      <c r="BK776"/>
    </row>
    <row r="777" spans="40:63" ht="12.75">
      <c r="AN777"/>
      <c r="AO777" s="293"/>
      <c r="AP777"/>
      <c r="AQ777" s="145"/>
      <c r="AR777"/>
      <c r="AS777"/>
      <c r="AT777"/>
      <c r="AU777"/>
      <c r="AV777"/>
      <c r="AW777"/>
      <c r="AX777"/>
      <c r="AY777"/>
      <c r="AZ777"/>
      <c r="BA777"/>
      <c r="BB777"/>
      <c r="BC777" s="578"/>
      <c r="BD777" s="578"/>
      <c r="BE777"/>
      <c r="BF777"/>
      <c r="BG777"/>
      <c r="BH777"/>
      <c r="BI777"/>
      <c r="BJ777"/>
      <c r="BK777"/>
    </row>
    <row r="778" spans="40:63" ht="12.75">
      <c r="AN778"/>
      <c r="AO778" s="293"/>
      <c r="AP778"/>
      <c r="AQ778" s="145"/>
      <c r="AR778"/>
      <c r="AS778"/>
      <c r="AT778"/>
      <c r="AU778"/>
      <c r="AV778"/>
      <c r="AW778"/>
      <c r="AX778"/>
      <c r="AY778"/>
      <c r="AZ778"/>
      <c r="BA778"/>
      <c r="BB778"/>
      <c r="BC778" s="578"/>
      <c r="BD778" s="578"/>
      <c r="BE778"/>
      <c r="BF778"/>
      <c r="BG778"/>
      <c r="BH778"/>
      <c r="BI778"/>
      <c r="BJ778"/>
      <c r="BK778"/>
    </row>
    <row r="779" spans="40:63" ht="12.75">
      <c r="AN779"/>
      <c r="AO779" s="293"/>
      <c r="AP779"/>
      <c r="AQ779" s="145"/>
      <c r="AR779"/>
      <c r="AS779"/>
      <c r="AT779"/>
      <c r="AU779"/>
      <c r="AV779"/>
      <c r="AW779"/>
      <c r="AX779"/>
      <c r="AY779"/>
      <c r="AZ779"/>
      <c r="BA779"/>
      <c r="BB779"/>
      <c r="BC779" s="578"/>
      <c r="BD779" s="578"/>
      <c r="BE779"/>
      <c r="BF779"/>
      <c r="BG779"/>
      <c r="BH779"/>
      <c r="BI779"/>
      <c r="BJ779"/>
      <c r="BK779"/>
    </row>
    <row r="780" spans="40:63" ht="12.75">
      <c r="AN780"/>
      <c r="AO780" s="293"/>
      <c r="AP780"/>
      <c r="AQ780" s="145"/>
      <c r="AR780"/>
      <c r="AS780"/>
      <c r="AT780"/>
      <c r="AU780"/>
      <c r="AV780"/>
      <c r="AW780"/>
      <c r="AX780"/>
      <c r="AY780"/>
      <c r="AZ780"/>
      <c r="BA780"/>
      <c r="BB780"/>
      <c r="BC780" s="578"/>
      <c r="BD780" s="578"/>
      <c r="BE780"/>
      <c r="BF780"/>
      <c r="BG780"/>
      <c r="BH780"/>
      <c r="BI780"/>
      <c r="BJ780"/>
      <c r="BK780"/>
    </row>
    <row r="781" spans="40:63" ht="12.75">
      <c r="AN781"/>
      <c r="AO781" s="293"/>
      <c r="AP781"/>
      <c r="AQ781" s="145"/>
      <c r="AR781"/>
      <c r="AS781"/>
      <c r="AT781"/>
      <c r="AU781"/>
      <c r="AV781"/>
      <c r="AW781"/>
      <c r="AX781"/>
      <c r="AY781"/>
      <c r="AZ781"/>
      <c r="BA781"/>
      <c r="BB781"/>
      <c r="BC781" s="578"/>
      <c r="BD781" s="578"/>
      <c r="BE781"/>
      <c r="BF781"/>
      <c r="BG781"/>
      <c r="BH781"/>
      <c r="BI781"/>
      <c r="BJ781"/>
      <c r="BK781"/>
    </row>
    <row r="782" spans="40:63" ht="12.75">
      <c r="AN782"/>
      <c r="AO782" s="293"/>
      <c r="AP782"/>
      <c r="AQ782" s="145"/>
      <c r="AR782"/>
      <c r="AS782"/>
      <c r="AT782"/>
      <c r="AU782"/>
      <c r="AV782"/>
      <c r="AW782"/>
      <c r="AX782"/>
      <c r="AY782"/>
      <c r="AZ782"/>
      <c r="BA782"/>
      <c r="BB782"/>
      <c r="BC782" s="578"/>
      <c r="BD782" s="578"/>
      <c r="BE782"/>
      <c r="BF782"/>
      <c r="BG782"/>
      <c r="BH782"/>
      <c r="BI782"/>
      <c r="BJ782"/>
      <c r="BK782"/>
    </row>
    <row r="783" spans="40:63" ht="12.75">
      <c r="AN783"/>
      <c r="AO783" s="293"/>
      <c r="AP783"/>
      <c r="AQ783" s="145"/>
      <c r="AR783"/>
      <c r="AS783"/>
      <c r="AT783"/>
      <c r="AU783"/>
      <c r="AV783"/>
      <c r="AW783"/>
      <c r="AX783"/>
      <c r="AY783"/>
      <c r="AZ783"/>
      <c r="BA783"/>
      <c r="BB783"/>
      <c r="BC783" s="578"/>
      <c r="BD783" s="578"/>
      <c r="BE783"/>
      <c r="BF783"/>
      <c r="BG783"/>
      <c r="BH783"/>
      <c r="BI783"/>
      <c r="BJ783"/>
      <c r="BK783"/>
    </row>
    <row r="784" spans="40:63" ht="12.75">
      <c r="AN784"/>
      <c r="AO784" s="293"/>
      <c r="AP784"/>
      <c r="AQ784" s="145"/>
      <c r="AR784"/>
      <c r="AS784"/>
      <c r="AT784"/>
      <c r="AU784"/>
      <c r="AV784"/>
      <c r="AW784"/>
      <c r="AX784"/>
      <c r="AY784"/>
      <c r="AZ784"/>
      <c r="BA784"/>
      <c r="BB784"/>
      <c r="BC784" s="578"/>
      <c r="BD784" s="578"/>
      <c r="BE784"/>
      <c r="BF784"/>
      <c r="BG784"/>
      <c r="BH784"/>
      <c r="BI784"/>
      <c r="BJ784"/>
      <c r="BK784"/>
    </row>
    <row r="785" spans="40:63" ht="12.75">
      <c r="AN785"/>
      <c r="AO785" s="293"/>
      <c r="AP785"/>
      <c r="AQ785" s="145"/>
      <c r="AR785"/>
      <c r="AS785"/>
      <c r="AT785"/>
      <c r="AU785"/>
      <c r="AV785"/>
      <c r="AW785"/>
      <c r="AX785"/>
      <c r="AY785"/>
      <c r="AZ785"/>
      <c r="BA785"/>
      <c r="BB785"/>
      <c r="BC785" s="578"/>
      <c r="BD785" s="578"/>
      <c r="BE785"/>
      <c r="BF785"/>
      <c r="BG785"/>
      <c r="BH785"/>
      <c r="BI785"/>
      <c r="BJ785"/>
      <c r="BK785"/>
    </row>
    <row r="786" spans="40:63" ht="12.75">
      <c r="AN786"/>
      <c r="AO786" s="293"/>
      <c r="AP786"/>
      <c r="AQ786" s="145"/>
      <c r="AR786"/>
      <c r="AS786"/>
      <c r="AT786"/>
      <c r="AU786"/>
      <c r="AV786"/>
      <c r="AW786"/>
      <c r="AX786"/>
      <c r="AY786"/>
      <c r="AZ786"/>
      <c r="BA786"/>
      <c r="BB786"/>
      <c r="BC786" s="578"/>
      <c r="BD786" s="578"/>
      <c r="BE786"/>
      <c r="BF786"/>
      <c r="BG786"/>
      <c r="BH786"/>
      <c r="BI786"/>
      <c r="BJ786"/>
      <c r="BK786"/>
    </row>
    <row r="787" spans="40:63" ht="12.75">
      <c r="AN787"/>
      <c r="AO787" s="293"/>
      <c r="AP787"/>
      <c r="AQ787" s="145"/>
      <c r="AR787"/>
      <c r="AS787"/>
      <c r="AT787"/>
      <c r="AU787"/>
      <c r="AV787"/>
      <c r="AW787"/>
      <c r="AX787"/>
      <c r="AY787"/>
      <c r="AZ787"/>
      <c r="BA787"/>
      <c r="BB787"/>
      <c r="BC787" s="578"/>
      <c r="BD787" s="578"/>
      <c r="BE787"/>
      <c r="BF787"/>
      <c r="BG787"/>
      <c r="BH787"/>
      <c r="BI787"/>
      <c r="BJ787"/>
      <c r="BK787"/>
    </row>
    <row r="788" spans="40:63" ht="12.75">
      <c r="AN788"/>
      <c r="AO788" s="293"/>
      <c r="AP788"/>
      <c r="AQ788" s="145"/>
      <c r="AR788"/>
      <c r="AS788"/>
      <c r="AT788"/>
      <c r="AU788"/>
      <c r="AV788"/>
      <c r="AW788"/>
      <c r="AX788"/>
      <c r="AY788"/>
      <c r="AZ788"/>
      <c r="BA788"/>
      <c r="BB788"/>
      <c r="BC788" s="578"/>
      <c r="BD788" s="578"/>
      <c r="BE788"/>
      <c r="BF788"/>
      <c r="BG788"/>
      <c r="BH788"/>
      <c r="BI788"/>
      <c r="BJ788"/>
      <c r="BK788"/>
    </row>
    <row r="789" spans="40:63" ht="12.75">
      <c r="AN789"/>
      <c r="AO789" s="293"/>
      <c r="AP789"/>
      <c r="AQ789" s="145"/>
      <c r="AR789"/>
      <c r="AS789"/>
      <c r="AT789"/>
      <c r="AU789"/>
      <c r="AV789"/>
      <c r="AW789"/>
      <c r="AX789"/>
      <c r="AY789"/>
      <c r="AZ789"/>
      <c r="BA789"/>
      <c r="BB789"/>
      <c r="BC789" s="578"/>
      <c r="BD789" s="578"/>
      <c r="BE789"/>
      <c r="BF789"/>
      <c r="BG789"/>
      <c r="BH789"/>
      <c r="BI789"/>
      <c r="BJ789"/>
      <c r="BK789"/>
    </row>
    <row r="790" spans="40:63" ht="12.75">
      <c r="AN790"/>
      <c r="AO790" s="293"/>
      <c r="AP790"/>
      <c r="AQ790" s="145"/>
      <c r="AR790"/>
      <c r="AS790"/>
      <c r="AT790"/>
      <c r="AU790"/>
      <c r="AV790"/>
      <c r="AW790"/>
      <c r="AX790"/>
      <c r="AY790"/>
      <c r="AZ790"/>
      <c r="BA790"/>
      <c r="BB790"/>
      <c r="BC790" s="578"/>
      <c r="BD790" s="578"/>
      <c r="BE790"/>
      <c r="BF790"/>
      <c r="BG790"/>
      <c r="BH790"/>
      <c r="BI790"/>
      <c r="BJ790"/>
      <c r="BK790"/>
    </row>
    <row r="791" spans="40:63" ht="12.75">
      <c r="AN791"/>
      <c r="AO791" s="293"/>
      <c r="AP791"/>
      <c r="AQ791" s="145"/>
      <c r="AR791"/>
      <c r="AS791"/>
      <c r="AT791"/>
      <c r="AU791"/>
      <c r="AV791"/>
      <c r="AW791"/>
      <c r="AX791"/>
      <c r="AY791"/>
      <c r="AZ791"/>
      <c r="BA791"/>
      <c r="BB791"/>
      <c r="BC791" s="578"/>
      <c r="BD791" s="578"/>
      <c r="BE791"/>
      <c r="BF791"/>
      <c r="BG791"/>
      <c r="BH791"/>
      <c r="BI791"/>
      <c r="BJ791"/>
      <c r="BK791"/>
    </row>
    <row r="792" spans="40:63" ht="12.75">
      <c r="AN792"/>
      <c r="AO792" s="293"/>
      <c r="AP792"/>
      <c r="AQ792" s="145"/>
      <c r="AR792"/>
      <c r="AS792"/>
      <c r="AT792"/>
      <c r="AU792"/>
      <c r="AV792"/>
      <c r="AW792"/>
      <c r="AX792"/>
      <c r="AY792"/>
      <c r="AZ792"/>
      <c r="BA792"/>
      <c r="BB792"/>
      <c r="BC792" s="578"/>
      <c r="BD792" s="578"/>
      <c r="BE792"/>
      <c r="BF792"/>
      <c r="BG792"/>
      <c r="BH792"/>
      <c r="BI792"/>
      <c r="BJ792"/>
      <c r="BK792"/>
    </row>
    <row r="793" spans="40:63" ht="12.75">
      <c r="AN793"/>
      <c r="AO793" s="293"/>
      <c r="AP793"/>
      <c r="AQ793" s="145"/>
      <c r="AR793"/>
      <c r="AS793"/>
      <c r="AT793"/>
      <c r="AU793"/>
      <c r="AV793"/>
      <c r="AW793"/>
      <c r="AX793"/>
      <c r="AY793"/>
      <c r="AZ793"/>
      <c r="BA793"/>
      <c r="BB793"/>
      <c r="BC793" s="578"/>
      <c r="BD793" s="578"/>
      <c r="BE793"/>
      <c r="BF793"/>
      <c r="BG793"/>
      <c r="BH793"/>
      <c r="BI793"/>
      <c r="BJ793"/>
      <c r="BK793"/>
    </row>
    <row r="794" spans="40:63" ht="12.75">
      <c r="AN794"/>
      <c r="AO794" s="293"/>
      <c r="AP794"/>
      <c r="AQ794" s="145"/>
      <c r="AR794"/>
      <c r="AS794"/>
      <c r="AT794"/>
      <c r="AU794"/>
      <c r="AV794"/>
      <c r="AW794"/>
      <c r="AX794"/>
      <c r="AY794"/>
      <c r="AZ794"/>
      <c r="BA794"/>
      <c r="BB794"/>
      <c r="BC794" s="578"/>
      <c r="BD794" s="578"/>
      <c r="BE794"/>
      <c r="BF794"/>
      <c r="BG794"/>
      <c r="BH794"/>
      <c r="BI794"/>
      <c r="BJ794"/>
      <c r="BK794"/>
    </row>
    <row r="795" spans="40:63" ht="12.75">
      <c r="AN795"/>
      <c r="AO795" s="293"/>
      <c r="AP795"/>
      <c r="AQ795" s="145"/>
      <c r="AR795"/>
      <c r="AS795"/>
      <c r="AT795"/>
      <c r="AU795"/>
      <c r="AV795"/>
      <c r="AW795"/>
      <c r="AX795"/>
      <c r="AY795"/>
      <c r="AZ795"/>
      <c r="BA795"/>
      <c r="BB795"/>
      <c r="BC795" s="578"/>
      <c r="BD795" s="578"/>
      <c r="BE795"/>
      <c r="BF795"/>
      <c r="BG795"/>
      <c r="BH795"/>
      <c r="BI795"/>
      <c r="BJ795"/>
      <c r="BK795"/>
    </row>
    <row r="796" spans="40:63" ht="12.75">
      <c r="AN796"/>
      <c r="AO796" s="293"/>
      <c r="AP796"/>
      <c r="AQ796" s="145"/>
      <c r="AR796"/>
      <c r="AS796"/>
      <c r="AT796"/>
      <c r="AU796"/>
      <c r="AV796"/>
      <c r="AW796"/>
      <c r="AX796"/>
      <c r="AY796"/>
      <c r="AZ796"/>
      <c r="BA796"/>
      <c r="BB796"/>
      <c r="BC796" s="578"/>
      <c r="BD796" s="578"/>
      <c r="BE796"/>
      <c r="BF796"/>
      <c r="BG796"/>
      <c r="BH796"/>
      <c r="BI796"/>
      <c r="BJ796"/>
      <c r="BK796"/>
    </row>
    <row r="797" spans="40:63" ht="12.75">
      <c r="AN797"/>
      <c r="AO797" s="293"/>
      <c r="AP797"/>
      <c r="AQ797" s="145"/>
      <c r="AR797"/>
      <c r="AS797"/>
      <c r="AT797"/>
      <c r="AU797"/>
      <c r="AV797"/>
      <c r="AW797"/>
      <c r="AX797"/>
      <c r="AY797"/>
      <c r="AZ797"/>
      <c r="BA797"/>
      <c r="BB797"/>
      <c r="BC797" s="578"/>
      <c r="BD797" s="578"/>
      <c r="BE797"/>
      <c r="BF797"/>
      <c r="BG797"/>
      <c r="BH797"/>
      <c r="BI797"/>
      <c r="BJ797"/>
      <c r="BK797"/>
    </row>
    <row r="798" spans="40:63" ht="12.75">
      <c r="AN798"/>
      <c r="AO798" s="293"/>
      <c r="AP798"/>
      <c r="AQ798" s="145"/>
      <c r="AR798"/>
      <c r="AS798"/>
      <c r="AT798"/>
      <c r="AU798"/>
      <c r="AV798"/>
      <c r="AW798"/>
      <c r="AX798"/>
      <c r="AY798"/>
      <c r="AZ798"/>
      <c r="BA798"/>
      <c r="BB798"/>
      <c r="BC798" s="578"/>
      <c r="BD798" s="578"/>
      <c r="BE798"/>
      <c r="BF798"/>
      <c r="BG798"/>
      <c r="BH798"/>
      <c r="BI798"/>
      <c r="BJ798"/>
      <c r="BK798"/>
    </row>
    <row r="799" spans="40:63" ht="12.75">
      <c r="AN799"/>
      <c r="AO799" s="293"/>
      <c r="AP799"/>
      <c r="AQ799" s="145"/>
      <c r="AR799"/>
      <c r="AS799"/>
      <c r="AT799"/>
      <c r="AU799"/>
      <c r="AV799"/>
      <c r="AW799"/>
      <c r="AX799"/>
      <c r="AY799"/>
      <c r="AZ799"/>
      <c r="BA799"/>
      <c r="BB799"/>
      <c r="BC799" s="578"/>
      <c r="BD799" s="578"/>
      <c r="BE799"/>
      <c r="BF799"/>
      <c r="BG799"/>
      <c r="BH799"/>
      <c r="BI799"/>
      <c r="BJ799"/>
      <c r="BK799"/>
    </row>
    <row r="800" spans="40:63" ht="12.75">
      <c r="AN800"/>
      <c r="AO800" s="293"/>
      <c r="AP800"/>
      <c r="AQ800" s="145"/>
      <c r="AR800"/>
      <c r="AS800"/>
      <c r="AT800"/>
      <c r="AU800"/>
      <c r="AV800"/>
      <c r="AW800"/>
      <c r="AX800"/>
      <c r="AY800"/>
      <c r="AZ800"/>
      <c r="BA800"/>
      <c r="BB800"/>
      <c r="BC800" s="578"/>
      <c r="BD800" s="578"/>
      <c r="BE800"/>
      <c r="BF800"/>
      <c r="BG800"/>
      <c r="BH800"/>
      <c r="BI800"/>
      <c r="BJ800"/>
      <c r="BK800"/>
    </row>
    <row r="801" spans="40:63" ht="12.75">
      <c r="AN801"/>
      <c r="AO801" s="293"/>
      <c r="AP801"/>
      <c r="AQ801" s="145"/>
      <c r="AR801"/>
      <c r="AS801"/>
      <c r="AT801"/>
      <c r="AU801"/>
      <c r="AV801"/>
      <c r="AW801"/>
      <c r="AX801"/>
      <c r="AY801"/>
      <c r="AZ801"/>
      <c r="BA801"/>
      <c r="BB801"/>
      <c r="BC801" s="578"/>
      <c r="BD801" s="578"/>
      <c r="BE801"/>
      <c r="BF801"/>
      <c r="BG801"/>
      <c r="BH801"/>
      <c r="BI801"/>
      <c r="BJ801"/>
      <c r="BK801"/>
    </row>
    <row r="802" spans="40:63" ht="12.75">
      <c r="AN802"/>
      <c r="AO802" s="293"/>
      <c r="AP802"/>
      <c r="AQ802" s="145"/>
      <c r="AR802"/>
      <c r="AS802"/>
      <c r="AT802"/>
      <c r="AU802"/>
      <c r="AV802"/>
      <c r="AW802"/>
      <c r="AX802"/>
      <c r="AY802"/>
      <c r="AZ802"/>
      <c r="BA802"/>
      <c r="BB802"/>
      <c r="BC802" s="578"/>
      <c r="BD802" s="578"/>
      <c r="BE802"/>
      <c r="BF802"/>
      <c r="BG802"/>
      <c r="BH802"/>
      <c r="BI802"/>
      <c r="BJ802"/>
      <c r="BK802"/>
    </row>
    <row r="803" spans="40:63" ht="12.75">
      <c r="AN803"/>
      <c r="AO803" s="293"/>
      <c r="AP803"/>
      <c r="AQ803" s="145"/>
      <c r="AR803"/>
      <c r="AS803"/>
      <c r="AT803"/>
      <c r="AU803"/>
      <c r="AV803"/>
      <c r="AW803"/>
      <c r="AX803"/>
      <c r="AY803"/>
      <c r="AZ803"/>
      <c r="BA803"/>
      <c r="BB803"/>
      <c r="BC803" s="578"/>
      <c r="BD803" s="578"/>
      <c r="BE803"/>
      <c r="BF803"/>
      <c r="BG803"/>
      <c r="BH803"/>
      <c r="BI803"/>
      <c r="BJ803"/>
      <c r="BK803"/>
    </row>
    <row r="804" spans="40:63" ht="12.75">
      <c r="AN804"/>
      <c r="AO804" s="293"/>
      <c r="AP804"/>
      <c r="AQ804" s="145"/>
      <c r="AR804"/>
      <c r="AS804"/>
      <c r="AT804"/>
      <c r="AU804"/>
      <c r="AV804"/>
      <c r="AW804"/>
      <c r="AX804"/>
      <c r="AY804"/>
      <c r="AZ804"/>
      <c r="BA804"/>
      <c r="BB804"/>
      <c r="BC804" s="578"/>
      <c r="BD804" s="578"/>
      <c r="BE804"/>
      <c r="BF804"/>
      <c r="BG804"/>
      <c r="BH804"/>
      <c r="BI804"/>
      <c r="BJ804"/>
      <c r="BK804"/>
    </row>
    <row r="805" spans="40:63" ht="12.75">
      <c r="AN805"/>
      <c r="AO805" s="293"/>
      <c r="AP805"/>
      <c r="AQ805" s="145"/>
      <c r="AR805"/>
      <c r="AS805"/>
      <c r="AT805"/>
      <c r="AU805"/>
      <c r="AV805"/>
      <c r="AW805"/>
      <c r="AX805"/>
      <c r="AY805"/>
      <c r="AZ805"/>
      <c r="BA805"/>
      <c r="BB805"/>
      <c r="BC805" s="578"/>
      <c r="BD805" s="578"/>
      <c r="BE805"/>
      <c r="BF805"/>
      <c r="BG805"/>
      <c r="BH805"/>
      <c r="BI805"/>
      <c r="BJ805"/>
      <c r="BK805"/>
    </row>
    <row r="806" spans="40:63" ht="12.75">
      <c r="AN806"/>
      <c r="AO806" s="293"/>
      <c r="AP806"/>
      <c r="AQ806" s="145"/>
      <c r="AR806"/>
      <c r="AS806"/>
      <c r="AT806"/>
      <c r="AU806"/>
      <c r="AV806"/>
      <c r="AW806"/>
      <c r="AX806"/>
      <c r="AY806"/>
      <c r="AZ806"/>
      <c r="BA806"/>
      <c r="BB806"/>
      <c r="BC806" s="578"/>
      <c r="BD806" s="578"/>
      <c r="BE806"/>
      <c r="BF806"/>
      <c r="BG806"/>
      <c r="BH806"/>
      <c r="BI806"/>
      <c r="BJ806"/>
      <c r="BK806"/>
    </row>
    <row r="807" spans="40:63" ht="12.75">
      <c r="AN807"/>
      <c r="AO807" s="293"/>
      <c r="AP807"/>
      <c r="AQ807" s="145"/>
      <c r="AR807"/>
      <c r="AS807"/>
      <c r="AT807"/>
      <c r="AU807"/>
      <c r="AV807"/>
      <c r="AW807"/>
      <c r="AX807"/>
      <c r="AY807"/>
      <c r="AZ807"/>
      <c r="BA807"/>
      <c r="BB807"/>
      <c r="BC807" s="578"/>
      <c r="BD807" s="578"/>
      <c r="BE807"/>
      <c r="BF807"/>
      <c r="BG807"/>
      <c r="BH807"/>
      <c r="BI807"/>
      <c r="BJ807"/>
      <c r="BK807"/>
    </row>
    <row r="808" spans="40:63" ht="12.75">
      <c r="AN808"/>
      <c r="AO808" s="293"/>
      <c r="AP808"/>
      <c r="AQ808" s="145"/>
      <c r="AR808"/>
      <c r="AS808"/>
      <c r="AT808"/>
      <c r="AU808"/>
      <c r="AV808"/>
      <c r="AW808"/>
      <c r="AX808"/>
      <c r="AY808"/>
      <c r="AZ808"/>
      <c r="BA808"/>
      <c r="BB808"/>
      <c r="BC808" s="578"/>
      <c r="BD808" s="578"/>
      <c r="BE808"/>
      <c r="BF808"/>
      <c r="BG808"/>
      <c r="BH808"/>
      <c r="BI808"/>
      <c r="BJ808"/>
      <c r="BK808"/>
    </row>
    <row r="809" spans="40:63" ht="12.75">
      <c r="AN809"/>
      <c r="AO809" s="293"/>
      <c r="AP809"/>
      <c r="AQ809" s="145"/>
      <c r="AR809"/>
      <c r="AS809"/>
      <c r="AT809"/>
      <c r="AU809"/>
      <c r="AV809"/>
      <c r="AW809"/>
      <c r="AX809"/>
      <c r="AY809"/>
      <c r="AZ809"/>
      <c r="BA809"/>
      <c r="BB809"/>
      <c r="BC809" s="578"/>
      <c r="BD809" s="578"/>
      <c r="BE809"/>
      <c r="BF809"/>
      <c r="BG809"/>
      <c r="BH809"/>
      <c r="BI809"/>
      <c r="BJ809"/>
      <c r="BK809"/>
    </row>
    <row r="810" spans="40:63" ht="12.75">
      <c r="AN810"/>
      <c r="AO810" s="293"/>
      <c r="AP810"/>
      <c r="AQ810" s="145"/>
      <c r="AR810"/>
      <c r="AS810"/>
      <c r="AT810"/>
      <c r="AU810"/>
      <c r="AV810"/>
      <c r="AW810"/>
      <c r="AX810"/>
      <c r="AY810"/>
      <c r="AZ810"/>
      <c r="BA810"/>
      <c r="BB810"/>
      <c r="BC810" s="578"/>
      <c r="BD810" s="578"/>
      <c r="BE810"/>
      <c r="BF810"/>
      <c r="BG810"/>
      <c r="BH810"/>
      <c r="BI810"/>
      <c r="BJ810"/>
      <c r="BK810"/>
    </row>
    <row r="811" spans="40:63" ht="12.75">
      <c r="AN811"/>
      <c r="AO811" s="293"/>
      <c r="AP811"/>
      <c r="AQ811" s="145"/>
      <c r="AR811"/>
      <c r="AS811"/>
      <c r="AT811"/>
      <c r="AU811"/>
      <c r="AV811"/>
      <c r="AW811"/>
      <c r="AX811"/>
      <c r="AY811"/>
      <c r="AZ811"/>
      <c r="BA811"/>
      <c r="BB811"/>
      <c r="BC811" s="578"/>
      <c r="BD811" s="578"/>
      <c r="BE811"/>
      <c r="BF811"/>
      <c r="BG811"/>
      <c r="BH811"/>
      <c r="BI811"/>
      <c r="BJ811"/>
      <c r="BK811"/>
    </row>
    <row r="812" spans="40:63" ht="12.75">
      <c r="AN812"/>
      <c r="AO812" s="293"/>
      <c r="AP812"/>
      <c r="AQ812" s="145"/>
      <c r="AR812"/>
      <c r="AS812"/>
      <c r="AT812"/>
      <c r="AU812"/>
      <c r="AV812"/>
      <c r="AW812"/>
      <c r="AX812"/>
      <c r="AY812"/>
      <c r="AZ812"/>
      <c r="BA812"/>
      <c r="BB812"/>
      <c r="BC812" s="578"/>
      <c r="BD812" s="578"/>
      <c r="BE812"/>
      <c r="BF812"/>
      <c r="BG812"/>
      <c r="BH812"/>
      <c r="BI812"/>
      <c r="BJ812"/>
      <c r="BK812"/>
    </row>
    <row r="813" spans="40:63" ht="12.75">
      <c r="AN813"/>
      <c r="AO813" s="293"/>
      <c r="AP813"/>
      <c r="AQ813" s="145"/>
      <c r="AR813"/>
      <c r="AS813"/>
      <c r="AT813"/>
      <c r="AU813"/>
      <c r="AV813"/>
      <c r="AW813"/>
      <c r="AX813"/>
      <c r="AY813"/>
      <c r="AZ813"/>
      <c r="BA813"/>
      <c r="BB813"/>
      <c r="BC813" s="578"/>
      <c r="BD813" s="578"/>
      <c r="BE813"/>
      <c r="BF813"/>
      <c r="BG813"/>
      <c r="BH813"/>
      <c r="BI813"/>
      <c r="BJ813"/>
      <c r="BK813"/>
    </row>
    <row r="814" spans="40:63" ht="12.75">
      <c r="AN814"/>
      <c r="AO814" s="293"/>
      <c r="AP814"/>
      <c r="AQ814" s="145"/>
      <c r="AR814"/>
      <c r="AS814"/>
      <c r="AT814"/>
      <c r="AU814"/>
      <c r="AV814"/>
      <c r="AW814"/>
      <c r="AX814"/>
      <c r="AY814"/>
      <c r="AZ814"/>
      <c r="BA814"/>
      <c r="BB814"/>
      <c r="BC814" s="578"/>
      <c r="BD814" s="578"/>
      <c r="BE814"/>
      <c r="BF814"/>
      <c r="BG814"/>
      <c r="BH814"/>
      <c r="BI814"/>
      <c r="BJ814"/>
      <c r="BK814"/>
    </row>
    <row r="815" spans="40:63" ht="12.75">
      <c r="AN815"/>
      <c r="AO815" s="293"/>
      <c r="AP815"/>
      <c r="AQ815" s="145"/>
      <c r="AR815"/>
      <c r="AS815"/>
      <c r="AT815"/>
      <c r="AU815"/>
      <c r="AV815"/>
      <c r="AW815"/>
      <c r="AX815"/>
      <c r="AY815"/>
      <c r="AZ815"/>
      <c r="BA815"/>
      <c r="BB815"/>
      <c r="BC815" s="578"/>
      <c r="BD815" s="578"/>
      <c r="BE815"/>
      <c r="BF815"/>
      <c r="BG815"/>
      <c r="BH815"/>
      <c r="BI815"/>
      <c r="BJ815"/>
      <c r="BK815"/>
    </row>
    <row r="816" spans="40:63" ht="12.75">
      <c r="AN816"/>
      <c r="AO816" s="293"/>
      <c r="AP816"/>
      <c r="AQ816" s="145"/>
      <c r="AR816"/>
      <c r="AS816"/>
      <c r="AT816"/>
      <c r="AU816"/>
      <c r="AV816"/>
      <c r="AW816"/>
      <c r="AX816"/>
      <c r="AY816"/>
      <c r="AZ816"/>
      <c r="BA816"/>
      <c r="BB816"/>
      <c r="BC816" s="578"/>
      <c r="BD816" s="578"/>
      <c r="BE816"/>
      <c r="BF816"/>
      <c r="BG816"/>
      <c r="BH816"/>
      <c r="BI816"/>
      <c r="BJ816"/>
      <c r="BK816"/>
    </row>
    <row r="817" spans="40:63" ht="12.75">
      <c r="AN817"/>
      <c r="AO817" s="293"/>
      <c r="AP817"/>
      <c r="AQ817" s="145"/>
      <c r="AR817"/>
      <c r="AS817"/>
      <c r="AT817"/>
      <c r="AU817"/>
      <c r="AV817"/>
      <c r="AW817"/>
      <c r="AX817"/>
      <c r="AY817"/>
      <c r="AZ817"/>
      <c r="BA817"/>
      <c r="BB817"/>
      <c r="BC817" s="578"/>
      <c r="BD817" s="578"/>
      <c r="BE817"/>
      <c r="BF817"/>
      <c r="BG817"/>
      <c r="BH817"/>
      <c r="BI817"/>
      <c r="BJ817"/>
      <c r="BK817"/>
    </row>
    <row r="818" spans="40:63" ht="12.75">
      <c r="AN818"/>
      <c r="AO818" s="293"/>
      <c r="AP818"/>
      <c r="AQ818" s="145"/>
      <c r="AR818"/>
      <c r="AS818"/>
      <c r="AT818"/>
      <c r="AU818"/>
      <c r="AV818"/>
      <c r="AW818"/>
      <c r="AX818"/>
      <c r="AY818"/>
      <c r="AZ818"/>
      <c r="BA818"/>
      <c r="BB818"/>
      <c r="BC818" s="578"/>
      <c r="BD818" s="578"/>
      <c r="BE818"/>
      <c r="BF818"/>
      <c r="BG818"/>
      <c r="BH818"/>
      <c r="BI818"/>
      <c r="BJ818"/>
      <c r="BK818"/>
    </row>
    <row r="819" spans="40:63" ht="12.75">
      <c r="AN819"/>
      <c r="AO819" s="293"/>
      <c r="AP819"/>
      <c r="AQ819" s="145"/>
      <c r="AR819"/>
      <c r="AS819"/>
      <c r="AT819"/>
      <c r="AU819"/>
      <c r="AV819"/>
      <c r="AW819"/>
      <c r="AX819"/>
      <c r="AY819"/>
      <c r="AZ819"/>
      <c r="BA819"/>
      <c r="BB819"/>
      <c r="BC819" s="578"/>
      <c r="BD819" s="578"/>
      <c r="BE819"/>
      <c r="BF819"/>
      <c r="BG819"/>
      <c r="BH819"/>
      <c r="BI819"/>
      <c r="BJ819"/>
      <c r="BK819"/>
    </row>
    <row r="820" spans="40:63" ht="12.75">
      <c r="AN820"/>
      <c r="AO820" s="293"/>
      <c r="AP820"/>
      <c r="AQ820" s="145"/>
      <c r="AR820"/>
      <c r="AS820"/>
      <c r="AT820"/>
      <c r="AU820"/>
      <c r="AV820"/>
      <c r="AW820"/>
      <c r="AX820"/>
      <c r="AY820"/>
      <c r="AZ820"/>
      <c r="BA820"/>
      <c r="BB820"/>
      <c r="BC820" s="578"/>
      <c r="BD820" s="578"/>
      <c r="BE820"/>
      <c r="BF820"/>
      <c r="BG820"/>
      <c r="BH820"/>
      <c r="BI820"/>
      <c r="BJ820"/>
      <c r="BK820"/>
    </row>
    <row r="821" spans="40:63" ht="12.75">
      <c r="AN821"/>
      <c r="AO821" s="293"/>
      <c r="AP821"/>
      <c r="AQ821" s="145"/>
      <c r="AR821"/>
      <c r="AS821"/>
      <c r="AT821"/>
      <c r="AU821"/>
      <c r="AV821"/>
      <c r="AW821"/>
      <c r="AX821"/>
      <c r="AY821"/>
      <c r="AZ821"/>
      <c r="BA821"/>
      <c r="BB821"/>
      <c r="BC821" s="578"/>
      <c r="BD821" s="578"/>
      <c r="BE821"/>
      <c r="BF821"/>
      <c r="BG821"/>
      <c r="BH821"/>
      <c r="BI821"/>
      <c r="BJ821"/>
      <c r="BK821"/>
    </row>
    <row r="822" spans="40:63" ht="12.75">
      <c r="AN822"/>
      <c r="AO822" s="293"/>
      <c r="AP822"/>
      <c r="AQ822" s="145"/>
      <c r="AR822"/>
      <c r="AS822"/>
      <c r="AT822"/>
      <c r="AU822"/>
      <c r="AV822"/>
      <c r="AW822"/>
      <c r="AX822"/>
      <c r="AY822"/>
      <c r="AZ822"/>
      <c r="BA822"/>
      <c r="BB822"/>
      <c r="BC822" s="578"/>
      <c r="BD822" s="578"/>
      <c r="BE822"/>
      <c r="BF822"/>
      <c r="BG822"/>
      <c r="BH822"/>
      <c r="BI822"/>
      <c r="BJ822"/>
      <c r="BK822"/>
    </row>
    <row r="823" spans="40:63" ht="12.75">
      <c r="AN823"/>
      <c r="AO823" s="293"/>
      <c r="AP823"/>
      <c r="AQ823" s="145"/>
      <c r="AR823"/>
      <c r="AS823"/>
      <c r="AT823"/>
      <c r="AU823"/>
      <c r="AV823"/>
      <c r="AW823"/>
      <c r="AX823"/>
      <c r="AY823"/>
      <c r="AZ823"/>
      <c r="BA823"/>
      <c r="BB823"/>
      <c r="BC823" s="578"/>
      <c r="BD823" s="578"/>
      <c r="BE823"/>
      <c r="BF823"/>
      <c r="BG823"/>
      <c r="BH823"/>
      <c r="BI823"/>
      <c r="BJ823"/>
      <c r="BK823"/>
    </row>
    <row r="824" spans="40:63" ht="12.75">
      <c r="AN824"/>
      <c r="AO824" s="293"/>
      <c r="AP824"/>
      <c r="AQ824" s="145"/>
      <c r="AR824"/>
      <c r="AS824"/>
      <c r="AT824"/>
      <c r="AU824"/>
      <c r="AV824"/>
      <c r="AW824"/>
      <c r="AX824"/>
      <c r="AY824"/>
      <c r="AZ824"/>
      <c r="BA824"/>
      <c r="BB824"/>
      <c r="BC824" s="578"/>
      <c r="BD824" s="578"/>
      <c r="BE824"/>
      <c r="BF824"/>
      <c r="BG824"/>
      <c r="BH824"/>
      <c r="BI824"/>
      <c r="BJ824"/>
      <c r="BK824"/>
    </row>
    <row r="825" spans="40:63" ht="12.75">
      <c r="AN825"/>
      <c r="AO825" s="293"/>
      <c r="AP825"/>
      <c r="AQ825" s="145"/>
      <c r="AR825"/>
      <c r="AS825"/>
      <c r="AT825"/>
      <c r="AU825"/>
      <c r="AV825"/>
      <c r="AW825"/>
      <c r="AX825"/>
      <c r="AY825"/>
      <c r="AZ825"/>
      <c r="BA825"/>
      <c r="BB825"/>
      <c r="BC825" s="578"/>
      <c r="BD825" s="578"/>
      <c r="BE825"/>
      <c r="BF825"/>
      <c r="BG825"/>
      <c r="BH825"/>
      <c r="BI825"/>
      <c r="BJ825"/>
      <c r="BK825"/>
    </row>
    <row r="826" spans="40:63" ht="12.75">
      <c r="AN826"/>
      <c r="AO826" s="293"/>
      <c r="AP826"/>
      <c r="AQ826" s="145"/>
      <c r="AR826"/>
      <c r="AS826"/>
      <c r="AT826"/>
      <c r="AU826"/>
      <c r="AV826"/>
      <c r="AW826"/>
      <c r="AX826"/>
      <c r="AY826"/>
      <c r="AZ826"/>
      <c r="BA826"/>
      <c r="BB826"/>
      <c r="BC826" s="578"/>
      <c r="BD826" s="578"/>
      <c r="BE826"/>
      <c r="BF826"/>
      <c r="BG826"/>
      <c r="BH826"/>
      <c r="BI826"/>
      <c r="BJ826"/>
      <c r="BK826"/>
    </row>
    <row r="827" spans="40:63" ht="12.75">
      <c r="AN827"/>
      <c r="AO827" s="293"/>
      <c r="AP827"/>
      <c r="AQ827" s="145"/>
      <c r="AR827"/>
      <c r="AS827"/>
      <c r="AT827"/>
      <c r="AU827"/>
      <c r="AV827"/>
      <c r="AW827"/>
      <c r="AX827"/>
      <c r="AY827"/>
      <c r="AZ827"/>
      <c r="BA827"/>
      <c r="BB827"/>
      <c r="BC827" s="578"/>
      <c r="BD827" s="578"/>
      <c r="BE827"/>
      <c r="BF827"/>
      <c r="BG827"/>
      <c r="BH827"/>
      <c r="BI827"/>
      <c r="BJ827"/>
      <c r="BK827"/>
    </row>
    <row r="828" spans="40:63" ht="12.75">
      <c r="AN828"/>
      <c r="AO828" s="293"/>
      <c r="AP828"/>
      <c r="AQ828" s="145"/>
      <c r="AR828"/>
      <c r="AS828"/>
      <c r="AT828"/>
      <c r="AU828"/>
      <c r="AV828"/>
      <c r="AW828"/>
      <c r="AX828"/>
      <c r="AY828"/>
      <c r="AZ828"/>
      <c r="BA828"/>
      <c r="BB828"/>
      <c r="BC828" s="578"/>
      <c r="BD828" s="578"/>
      <c r="BE828"/>
      <c r="BF828"/>
      <c r="BG828"/>
      <c r="BH828"/>
      <c r="BI828"/>
      <c r="BJ828"/>
      <c r="BK828"/>
    </row>
    <row r="829" spans="40:63" ht="12.75">
      <c r="AN829"/>
      <c r="AO829" s="293"/>
      <c r="AP829"/>
      <c r="AQ829" s="145"/>
      <c r="AR829"/>
      <c r="AS829"/>
      <c r="AT829"/>
      <c r="AU829"/>
      <c r="AV829"/>
      <c r="AW829"/>
      <c r="AX829"/>
      <c r="AY829"/>
      <c r="AZ829"/>
      <c r="BA829"/>
      <c r="BB829"/>
      <c r="BC829" s="578"/>
      <c r="BD829" s="578"/>
      <c r="BE829"/>
      <c r="BF829"/>
      <c r="BG829"/>
      <c r="BH829"/>
      <c r="BI829"/>
      <c r="BJ829"/>
      <c r="BK829"/>
    </row>
    <row r="830" spans="40:63" ht="12.75">
      <c r="AN830"/>
      <c r="AO830" s="293"/>
      <c r="AP830"/>
      <c r="AQ830" s="145"/>
      <c r="AR830"/>
      <c r="AS830"/>
      <c r="AT830"/>
      <c r="AU830"/>
      <c r="AV830"/>
      <c r="AW830"/>
      <c r="AX830"/>
      <c r="AY830"/>
      <c r="AZ830"/>
      <c r="BA830"/>
      <c r="BB830"/>
      <c r="BC830" s="578"/>
      <c r="BD830" s="578"/>
      <c r="BE830"/>
      <c r="BF830"/>
      <c r="BG830"/>
      <c r="BH830"/>
      <c r="BI830"/>
      <c r="BJ830"/>
      <c r="BK830"/>
    </row>
    <row r="831" spans="40:63" ht="12.75">
      <c r="AN831"/>
      <c r="AO831" s="293"/>
      <c r="AP831"/>
      <c r="AQ831" s="145"/>
      <c r="AR831"/>
      <c r="AS831"/>
      <c r="AT831"/>
      <c r="AU831"/>
      <c r="AV831"/>
      <c r="AW831"/>
      <c r="AX831"/>
      <c r="AY831"/>
      <c r="AZ831"/>
      <c r="BA831"/>
      <c r="BB831"/>
      <c r="BC831" s="578"/>
      <c r="BD831" s="578"/>
      <c r="BE831"/>
      <c r="BF831"/>
      <c r="BG831"/>
      <c r="BH831"/>
      <c r="BI831"/>
      <c r="BJ831"/>
      <c r="BK831"/>
    </row>
    <row r="832" spans="40:63" ht="12.75">
      <c r="AN832"/>
      <c r="AO832" s="293"/>
      <c r="AP832"/>
      <c r="AQ832" s="145"/>
      <c r="AR832"/>
      <c r="AS832"/>
      <c r="AT832"/>
      <c r="AU832"/>
      <c r="AV832"/>
      <c r="AW832"/>
      <c r="AX832"/>
      <c r="AY832"/>
      <c r="AZ832"/>
      <c r="BA832"/>
      <c r="BB832"/>
      <c r="BC832" s="578"/>
      <c r="BD832" s="578"/>
      <c r="BE832"/>
      <c r="BF832"/>
      <c r="BG832"/>
      <c r="BH832"/>
      <c r="BI832"/>
      <c r="BJ832"/>
      <c r="BK832"/>
    </row>
    <row r="833" spans="40:63" ht="12.75">
      <c r="AN833"/>
      <c r="AO833" s="293"/>
      <c r="AP833"/>
      <c r="AQ833" s="145"/>
      <c r="AR833"/>
      <c r="AS833"/>
      <c r="AT833"/>
      <c r="AU833"/>
      <c r="AV833"/>
      <c r="AW833"/>
      <c r="AX833"/>
      <c r="AY833"/>
      <c r="AZ833"/>
      <c r="BA833"/>
      <c r="BB833"/>
      <c r="BC833" s="578"/>
      <c r="BD833" s="578"/>
      <c r="BE833"/>
      <c r="BF833"/>
      <c r="BG833"/>
      <c r="BH833"/>
      <c r="BI833"/>
      <c r="BJ833"/>
      <c r="BK833"/>
    </row>
    <row r="834" spans="40:63" ht="12.75">
      <c r="AN834"/>
      <c r="AO834" s="293"/>
      <c r="AP834"/>
      <c r="AQ834" s="145"/>
      <c r="AR834"/>
      <c r="AS834"/>
      <c r="AT834"/>
      <c r="AU834"/>
      <c r="AV834"/>
      <c r="AW834"/>
      <c r="AX834"/>
      <c r="AY834"/>
      <c r="AZ834"/>
      <c r="BA834"/>
      <c r="BB834"/>
      <c r="BC834" s="578"/>
      <c r="BD834" s="578"/>
      <c r="BE834"/>
      <c r="BF834"/>
      <c r="BG834"/>
      <c r="BH834"/>
      <c r="BI834"/>
      <c r="BJ834"/>
      <c r="BK834"/>
    </row>
    <row r="835" spans="40:63" ht="12.75">
      <c r="AN835"/>
      <c r="AO835" s="293"/>
      <c r="AP835"/>
      <c r="AQ835" s="145"/>
      <c r="AR835"/>
      <c r="AS835"/>
      <c r="AT835"/>
      <c r="AU835"/>
      <c r="AV835"/>
      <c r="AW835"/>
      <c r="AX835"/>
      <c r="AY835"/>
      <c r="AZ835"/>
      <c r="BA835"/>
      <c r="BB835"/>
      <c r="BC835" s="578"/>
      <c r="BD835" s="578"/>
      <c r="BE835"/>
      <c r="BF835"/>
      <c r="BG835"/>
      <c r="BH835"/>
      <c r="BI835"/>
      <c r="BJ835"/>
      <c r="BK835"/>
    </row>
    <row r="836" spans="40:63" ht="12.75">
      <c r="AN836"/>
      <c r="AO836" s="293"/>
      <c r="AP836"/>
      <c r="AQ836" s="145"/>
      <c r="AR836"/>
      <c r="AS836"/>
      <c r="AT836"/>
      <c r="AU836"/>
      <c r="AV836"/>
      <c r="AW836"/>
      <c r="AX836"/>
      <c r="AY836"/>
      <c r="AZ836"/>
      <c r="BA836"/>
      <c r="BB836"/>
      <c r="BC836" s="578"/>
      <c r="BD836" s="578"/>
      <c r="BE836"/>
      <c r="BF836"/>
      <c r="BG836"/>
      <c r="BH836"/>
      <c r="BI836"/>
      <c r="BJ836"/>
      <c r="BK836"/>
    </row>
    <row r="837" spans="40:63" ht="12.75">
      <c r="AN837"/>
      <c r="AO837" s="293"/>
      <c r="AP837"/>
      <c r="AQ837" s="145"/>
      <c r="AR837"/>
      <c r="AS837"/>
      <c r="AT837"/>
      <c r="AU837"/>
      <c r="AV837"/>
      <c r="AW837"/>
      <c r="AX837"/>
      <c r="AY837"/>
      <c r="AZ837"/>
      <c r="BA837"/>
      <c r="BB837"/>
      <c r="BC837" s="578"/>
      <c r="BD837" s="578"/>
      <c r="BE837"/>
      <c r="BF837"/>
      <c r="BG837"/>
      <c r="BH837"/>
      <c r="BI837"/>
      <c r="BJ837"/>
      <c r="BK837"/>
    </row>
    <row r="838" spans="40:63" ht="12.75">
      <c r="AN838"/>
      <c r="AO838" s="293"/>
      <c r="AP838"/>
      <c r="AQ838" s="145"/>
      <c r="AR838"/>
      <c r="AS838"/>
      <c r="AT838"/>
      <c r="AU838"/>
      <c r="AV838"/>
      <c r="AW838"/>
      <c r="AX838"/>
      <c r="AY838"/>
      <c r="AZ838"/>
      <c r="BA838"/>
      <c r="BB838"/>
      <c r="BC838" s="578"/>
      <c r="BD838" s="578"/>
      <c r="BE838"/>
      <c r="BF838"/>
      <c r="BG838"/>
      <c r="BH838"/>
      <c r="BI838"/>
      <c r="BJ838"/>
      <c r="BK838"/>
    </row>
    <row r="839" spans="40:63" ht="12.75">
      <c r="AN839"/>
      <c r="AO839" s="293"/>
      <c r="AP839"/>
      <c r="AQ839" s="145"/>
      <c r="AR839"/>
      <c r="AS839"/>
      <c r="AT839"/>
      <c r="AU839"/>
      <c r="AV839"/>
      <c r="AW839"/>
      <c r="AX839"/>
      <c r="AY839"/>
      <c r="AZ839"/>
      <c r="BA839"/>
      <c r="BB839"/>
      <c r="BC839" s="578"/>
      <c r="BD839" s="578"/>
      <c r="BE839"/>
      <c r="BF839"/>
      <c r="BG839"/>
      <c r="BH839"/>
      <c r="BI839"/>
      <c r="BJ839"/>
      <c r="BK839"/>
    </row>
    <row r="840" spans="40:63" ht="12.75">
      <c r="AN840"/>
      <c r="AO840" s="293"/>
      <c r="AP840"/>
      <c r="AQ840" s="145"/>
      <c r="AR840"/>
      <c r="AS840"/>
      <c r="AT840"/>
      <c r="AU840"/>
      <c r="AV840"/>
      <c r="AW840"/>
      <c r="AX840"/>
      <c r="AY840"/>
      <c r="AZ840"/>
      <c r="BA840"/>
      <c r="BB840"/>
      <c r="BC840" s="578"/>
      <c r="BD840" s="578"/>
      <c r="BE840"/>
      <c r="BF840"/>
      <c r="BG840"/>
      <c r="BH840"/>
      <c r="BI840"/>
      <c r="BJ840"/>
      <c r="BK840"/>
    </row>
    <row r="841" spans="40:63" ht="12.75">
      <c r="AN841"/>
      <c r="AO841" s="293"/>
      <c r="AP841"/>
      <c r="AQ841" s="145"/>
      <c r="AR841"/>
      <c r="AS841"/>
      <c r="AT841"/>
      <c r="AU841"/>
      <c r="AV841"/>
      <c r="AW841"/>
      <c r="AX841"/>
      <c r="AY841"/>
      <c r="AZ841"/>
      <c r="BA841"/>
      <c r="BB841"/>
      <c r="BC841" s="578"/>
      <c r="BD841" s="578"/>
      <c r="BE841"/>
      <c r="BF841"/>
      <c r="BG841"/>
      <c r="BH841"/>
      <c r="BI841"/>
      <c r="BJ841"/>
      <c r="BK841"/>
    </row>
    <row r="842" spans="40:63" ht="12.75">
      <c r="AN842"/>
      <c r="AO842" s="293"/>
      <c r="AP842"/>
      <c r="AQ842" s="145"/>
      <c r="AR842"/>
      <c r="AS842"/>
      <c r="AT842"/>
      <c r="AU842"/>
      <c r="AV842"/>
      <c r="AW842"/>
      <c r="AX842"/>
      <c r="AY842"/>
      <c r="AZ842"/>
      <c r="BA842"/>
      <c r="BB842"/>
      <c r="BC842" s="578"/>
      <c r="BD842" s="578"/>
      <c r="BE842"/>
      <c r="BF842"/>
      <c r="BG842"/>
      <c r="BH842"/>
      <c r="BI842"/>
      <c r="BJ842"/>
      <c r="BK842"/>
    </row>
    <row r="843" spans="40:63" ht="12.75">
      <c r="AN843"/>
      <c r="AO843" s="293"/>
      <c r="AP843"/>
      <c r="AQ843" s="145"/>
      <c r="AR843"/>
      <c r="AS843"/>
      <c r="AT843"/>
      <c r="AU843"/>
      <c r="AV843"/>
      <c r="AW843"/>
      <c r="AX843"/>
      <c r="AY843"/>
      <c r="AZ843"/>
      <c r="BA843"/>
      <c r="BB843"/>
      <c r="BC843" s="578"/>
      <c r="BD843" s="578"/>
      <c r="BE843"/>
      <c r="BF843"/>
      <c r="BG843"/>
      <c r="BH843"/>
      <c r="BI843"/>
      <c r="BJ843"/>
      <c r="BK843"/>
    </row>
    <row r="844" spans="40:63" ht="12.75">
      <c r="AN844"/>
      <c r="AO844" s="293"/>
      <c r="AP844"/>
      <c r="AQ844" s="145"/>
      <c r="AR844"/>
      <c r="AS844"/>
      <c r="AT844"/>
      <c r="AU844"/>
      <c r="AV844"/>
      <c r="AW844"/>
      <c r="AX844"/>
      <c r="AY844"/>
      <c r="AZ844"/>
      <c r="BA844"/>
      <c r="BB844"/>
      <c r="BC844" s="578"/>
      <c r="BD844" s="578"/>
      <c r="BE844"/>
      <c r="BF844"/>
      <c r="BG844"/>
      <c r="BH844"/>
      <c r="BI844"/>
      <c r="BJ844"/>
      <c r="BK844"/>
    </row>
    <row r="845" spans="40:63" ht="12.75">
      <c r="AN845"/>
      <c r="AO845" s="293"/>
      <c r="AP845"/>
      <c r="AQ845" s="145"/>
      <c r="AR845"/>
      <c r="AS845"/>
      <c r="AT845"/>
      <c r="AU845"/>
      <c r="AV845"/>
      <c r="AW845"/>
      <c r="AX845"/>
      <c r="AY845"/>
      <c r="AZ845"/>
      <c r="BA845"/>
      <c r="BB845"/>
      <c r="BC845" s="578"/>
      <c r="BD845" s="578"/>
      <c r="BE845"/>
      <c r="BF845"/>
      <c r="BG845"/>
      <c r="BH845"/>
      <c r="BI845"/>
      <c r="BJ845"/>
      <c r="BK845"/>
    </row>
    <row r="846" spans="40:63" ht="12.75">
      <c r="AN846"/>
      <c r="AO846" s="293"/>
      <c r="AP846"/>
      <c r="AQ846" s="145"/>
      <c r="AR846"/>
      <c r="AS846"/>
      <c r="AT846"/>
      <c r="AU846"/>
      <c r="AV846"/>
      <c r="AW846"/>
      <c r="AX846"/>
      <c r="AY846"/>
      <c r="AZ846"/>
      <c r="BA846"/>
      <c r="BB846"/>
      <c r="BC846" s="578"/>
      <c r="BD846" s="578"/>
      <c r="BE846"/>
      <c r="BF846"/>
      <c r="BG846"/>
      <c r="BH846"/>
      <c r="BI846"/>
      <c r="BJ846"/>
      <c r="BK846"/>
    </row>
    <row r="847" spans="40:63" ht="12.75">
      <c r="AN847"/>
      <c r="AO847" s="293"/>
      <c r="AP847"/>
      <c r="AQ847" s="145"/>
      <c r="AR847"/>
      <c r="AS847"/>
      <c r="AT847"/>
      <c r="AU847"/>
      <c r="AV847"/>
      <c r="AW847"/>
      <c r="AX847"/>
      <c r="AY847"/>
      <c r="AZ847"/>
      <c r="BA847"/>
      <c r="BB847"/>
      <c r="BC847" s="578"/>
      <c r="BD847" s="578"/>
      <c r="BE847"/>
      <c r="BF847"/>
      <c r="BG847"/>
      <c r="BH847"/>
      <c r="BI847"/>
      <c r="BJ847"/>
      <c r="BK847"/>
    </row>
    <row r="848" spans="40:63" ht="12.75">
      <c r="AN848"/>
      <c r="AO848" s="293"/>
      <c r="AP848"/>
      <c r="AQ848" s="145"/>
      <c r="AR848"/>
      <c r="AS848"/>
      <c r="AT848"/>
      <c r="AU848"/>
      <c r="AV848"/>
      <c r="AW848"/>
      <c r="AX848"/>
      <c r="AY848"/>
      <c r="AZ848"/>
      <c r="BA848"/>
      <c r="BB848"/>
      <c r="BC848" s="578"/>
      <c r="BD848" s="578"/>
      <c r="BE848"/>
      <c r="BF848"/>
      <c r="BG848"/>
      <c r="BH848"/>
      <c r="BI848"/>
      <c r="BJ848"/>
      <c r="BK848"/>
    </row>
    <row r="849" spans="40:63" ht="12.75">
      <c r="AN849"/>
      <c r="AO849" s="293"/>
      <c r="AP849"/>
      <c r="AQ849" s="145"/>
      <c r="AR849"/>
      <c r="AS849"/>
      <c r="AT849"/>
      <c r="AU849"/>
      <c r="AV849"/>
      <c r="AW849"/>
      <c r="AX849"/>
      <c r="AY849"/>
      <c r="AZ849"/>
      <c r="BA849"/>
      <c r="BB849"/>
      <c r="BC849" s="578"/>
      <c r="BD849" s="578"/>
      <c r="BE849"/>
      <c r="BF849"/>
      <c r="BG849"/>
      <c r="BH849"/>
      <c r="BI849"/>
      <c r="BJ849"/>
      <c r="BK849"/>
    </row>
    <row r="850" spans="40:63" ht="12.75">
      <c r="AN850"/>
      <c r="AO850" s="293"/>
      <c r="AP850"/>
      <c r="AQ850" s="145"/>
      <c r="AR850"/>
      <c r="AS850"/>
      <c r="AT850"/>
      <c r="AU850"/>
      <c r="AV850"/>
      <c r="AW850"/>
      <c r="AX850"/>
      <c r="AY850"/>
      <c r="AZ850"/>
      <c r="BA850"/>
      <c r="BB850"/>
      <c r="BC850" s="578"/>
      <c r="BD850" s="578"/>
      <c r="BE850"/>
      <c r="BF850"/>
      <c r="BG850"/>
      <c r="BH850"/>
      <c r="BI850"/>
      <c r="BJ850"/>
      <c r="BK850"/>
    </row>
    <row r="851" spans="40:63" ht="12.75">
      <c r="AN851"/>
      <c r="AO851" s="293"/>
      <c r="AP851"/>
      <c r="AQ851" s="145"/>
      <c r="AR851"/>
      <c r="AS851"/>
      <c r="AT851"/>
      <c r="AU851"/>
      <c r="AV851"/>
      <c r="AW851"/>
      <c r="AX851"/>
      <c r="AY851"/>
      <c r="AZ851"/>
      <c r="BA851"/>
      <c r="BB851"/>
      <c r="BC851" s="578"/>
      <c r="BD851" s="578"/>
      <c r="BE851"/>
      <c r="BF851"/>
      <c r="BG851"/>
      <c r="BH851"/>
      <c r="BI851"/>
      <c r="BJ851"/>
      <c r="BK851"/>
    </row>
    <row r="852" spans="40:63" ht="12.75">
      <c r="AN852"/>
      <c r="AO852" s="293"/>
      <c r="AP852"/>
      <c r="AQ852" s="145"/>
      <c r="AR852"/>
      <c r="AS852"/>
      <c r="AT852"/>
      <c r="AU852"/>
      <c r="AV852"/>
      <c r="AW852"/>
      <c r="AX852"/>
      <c r="AY852"/>
      <c r="AZ852"/>
      <c r="BA852"/>
      <c r="BB852"/>
      <c r="BC852" s="578"/>
      <c r="BD852" s="578"/>
      <c r="BE852"/>
      <c r="BF852"/>
      <c r="BG852"/>
      <c r="BH852"/>
      <c r="BI852"/>
      <c r="BJ852"/>
      <c r="BK852"/>
    </row>
    <row r="853" spans="40:63" ht="12.75">
      <c r="AN853"/>
      <c r="AO853" s="293"/>
      <c r="AP853"/>
      <c r="AQ853" s="145"/>
      <c r="AR853"/>
      <c r="AS853"/>
      <c r="AT853"/>
      <c r="AU853"/>
      <c r="AV853"/>
      <c r="AW853"/>
      <c r="AX853"/>
      <c r="AY853"/>
      <c r="AZ853"/>
      <c r="BA853"/>
      <c r="BB853"/>
      <c r="BC853" s="578"/>
      <c r="BD853" s="578"/>
      <c r="BE853"/>
      <c r="BF853"/>
      <c r="BG853"/>
      <c r="BH853"/>
      <c r="BI853"/>
      <c r="BJ853"/>
      <c r="BK853"/>
    </row>
    <row r="854" spans="40:63" ht="12.75">
      <c r="AN854"/>
      <c r="AO854" s="293"/>
      <c r="AP854"/>
      <c r="AQ854" s="145"/>
      <c r="AR854"/>
      <c r="AS854"/>
      <c r="AT854"/>
      <c r="AU854"/>
      <c r="AV854"/>
      <c r="AW854"/>
      <c r="AX854"/>
      <c r="AY854"/>
      <c r="AZ854"/>
      <c r="BA854"/>
      <c r="BB854"/>
      <c r="BC854" s="578"/>
      <c r="BD854" s="578"/>
      <c r="BE854"/>
      <c r="BF854"/>
      <c r="BG854"/>
      <c r="BH854"/>
      <c r="BI854"/>
      <c r="BJ854"/>
      <c r="BK854"/>
    </row>
    <row r="855" spans="40:63" ht="12.75">
      <c r="AN855"/>
      <c r="AO855" s="293"/>
      <c r="AP855"/>
      <c r="AQ855" s="145"/>
      <c r="AR855"/>
      <c r="AS855"/>
      <c r="AT855"/>
      <c r="AU855"/>
      <c r="AV855"/>
      <c r="AW855"/>
      <c r="AX855"/>
      <c r="AY855"/>
      <c r="AZ855"/>
      <c r="BA855"/>
      <c r="BB855"/>
      <c r="BC855" s="578"/>
      <c r="BD855" s="578"/>
      <c r="BE855"/>
      <c r="BF855"/>
      <c r="BG855"/>
      <c r="BH855"/>
      <c r="BI855"/>
      <c r="BJ855"/>
      <c r="BK855"/>
    </row>
    <row r="856" spans="40:63" ht="12.75">
      <c r="AN856"/>
      <c r="AO856" s="293"/>
      <c r="AP856"/>
      <c r="AQ856" s="145"/>
      <c r="AR856"/>
      <c r="AS856"/>
      <c r="AT856"/>
      <c r="AU856"/>
      <c r="AV856"/>
      <c r="AW856"/>
      <c r="AX856"/>
      <c r="AY856"/>
      <c r="AZ856"/>
      <c r="BA856"/>
      <c r="BB856"/>
      <c r="BC856" s="578"/>
      <c r="BD856" s="578"/>
      <c r="BE856"/>
      <c r="BF856"/>
      <c r="BG856"/>
      <c r="BH856"/>
      <c r="BI856"/>
      <c r="BJ856"/>
      <c r="BK856"/>
    </row>
    <row r="857" spans="40:63" ht="12.75">
      <c r="AN857"/>
      <c r="AO857" s="293"/>
      <c r="AP857"/>
      <c r="AQ857" s="145"/>
      <c r="AR857"/>
      <c r="AS857"/>
      <c r="AT857"/>
      <c r="AU857"/>
      <c r="AV857"/>
      <c r="AW857"/>
      <c r="AX857"/>
      <c r="AY857"/>
      <c r="AZ857"/>
      <c r="BA857"/>
      <c r="BB857"/>
      <c r="BC857" s="578"/>
      <c r="BD857" s="578"/>
      <c r="BE857"/>
      <c r="BF857"/>
      <c r="BG857"/>
      <c r="BH857"/>
      <c r="BI857"/>
      <c r="BJ857"/>
      <c r="BK857"/>
    </row>
    <row r="858" spans="40:63" ht="12.75">
      <c r="AN858"/>
      <c r="AO858" s="293"/>
      <c r="AP858"/>
      <c r="AQ858" s="145"/>
      <c r="AR858"/>
      <c r="AS858"/>
      <c r="AT858"/>
      <c r="AU858"/>
      <c r="AV858"/>
      <c r="AW858"/>
      <c r="AX858"/>
      <c r="AY858"/>
      <c r="AZ858"/>
      <c r="BA858"/>
      <c r="BB858"/>
      <c r="BC858" s="578"/>
      <c r="BD858" s="578"/>
      <c r="BE858"/>
      <c r="BF858"/>
      <c r="BG858"/>
      <c r="BH858"/>
      <c r="BI858"/>
      <c r="BJ858"/>
      <c r="BK858"/>
    </row>
    <row r="859" spans="40:63" ht="12.75">
      <c r="AN859"/>
      <c r="AO859" s="293"/>
      <c r="AP859"/>
      <c r="AQ859" s="145"/>
      <c r="AR859"/>
      <c r="AS859"/>
      <c r="AT859"/>
      <c r="AU859"/>
      <c r="AV859"/>
      <c r="AW859"/>
      <c r="AX859"/>
      <c r="AY859"/>
      <c r="AZ859"/>
      <c r="BA859"/>
      <c r="BB859"/>
      <c r="BC859" s="578"/>
      <c r="BD859" s="578"/>
      <c r="BE859"/>
      <c r="BF859"/>
      <c r="BG859"/>
      <c r="BH859"/>
      <c r="BI859"/>
      <c r="BJ859"/>
      <c r="BK859"/>
    </row>
    <row r="860" spans="40:63" ht="12.75">
      <c r="AN860"/>
      <c r="AO860" s="293"/>
      <c r="AP860"/>
      <c r="AQ860" s="145"/>
      <c r="AR860"/>
      <c r="AS860"/>
      <c r="AT860"/>
      <c r="AU860"/>
      <c r="AV860"/>
      <c r="AW860"/>
      <c r="AX860"/>
      <c r="AY860"/>
      <c r="AZ860"/>
      <c r="BA860"/>
      <c r="BB860"/>
      <c r="BC860" s="578"/>
      <c r="BD860" s="578"/>
      <c r="BE860"/>
      <c r="BF860"/>
      <c r="BG860"/>
      <c r="BH860"/>
      <c r="BI860"/>
      <c r="BJ860"/>
      <c r="BK860"/>
    </row>
    <row r="861" spans="40:63" ht="12.75">
      <c r="AN861"/>
      <c r="AO861" s="293"/>
      <c r="AP861"/>
      <c r="AQ861" s="145"/>
      <c r="AR861"/>
      <c r="AS861"/>
      <c r="AT861"/>
      <c r="AU861"/>
      <c r="AV861"/>
      <c r="AW861"/>
      <c r="AX861"/>
      <c r="AY861"/>
      <c r="AZ861"/>
      <c r="BA861"/>
      <c r="BB861"/>
      <c r="BC861" s="578"/>
      <c r="BD861" s="578"/>
      <c r="BE861"/>
      <c r="BF861"/>
      <c r="BG861"/>
      <c r="BH861"/>
      <c r="BI861"/>
      <c r="BJ861"/>
      <c r="BK861"/>
    </row>
    <row r="862" spans="40:63" ht="12.75">
      <c r="AN862"/>
      <c r="AO862" s="293"/>
      <c r="AP862"/>
      <c r="AQ862" s="145"/>
      <c r="AR862"/>
      <c r="AS862"/>
      <c r="AT862"/>
      <c r="AU862"/>
      <c r="AV862"/>
      <c r="AW862"/>
      <c r="AX862"/>
      <c r="AY862"/>
      <c r="AZ862"/>
      <c r="BA862"/>
      <c r="BB862"/>
      <c r="BC862" s="578"/>
      <c r="BD862" s="578"/>
      <c r="BE862"/>
      <c r="BF862"/>
      <c r="BG862"/>
      <c r="BH862"/>
      <c r="BI862"/>
      <c r="BJ862"/>
      <c r="BK862"/>
    </row>
    <row r="863" spans="40:63" ht="12.75">
      <c r="AN863"/>
      <c r="AO863" s="293"/>
      <c r="AP863"/>
      <c r="AQ863" s="145"/>
      <c r="AR863"/>
      <c r="AS863"/>
      <c r="AT863"/>
      <c r="AU863"/>
      <c r="AV863"/>
      <c r="AW863"/>
      <c r="AX863"/>
      <c r="AY863"/>
      <c r="AZ863"/>
      <c r="BA863"/>
      <c r="BB863"/>
      <c r="BC863" s="578"/>
      <c r="BD863" s="578"/>
      <c r="BE863"/>
      <c r="BF863"/>
      <c r="BG863"/>
      <c r="BH863"/>
      <c r="BI863"/>
      <c r="BJ863"/>
      <c r="BK863"/>
    </row>
    <row r="864" spans="40:63" ht="12.75">
      <c r="AN864"/>
      <c r="AO864" s="293"/>
      <c r="AP864"/>
      <c r="AQ864" s="145"/>
      <c r="AR864"/>
      <c r="AS864"/>
      <c r="AT864"/>
      <c r="AU864"/>
      <c r="AV864"/>
      <c r="AW864"/>
      <c r="AX864"/>
      <c r="AY864"/>
      <c r="AZ864"/>
      <c r="BA864"/>
      <c r="BB864"/>
      <c r="BC864" s="578"/>
      <c r="BD864" s="578"/>
      <c r="BE864"/>
      <c r="BF864"/>
      <c r="BG864"/>
      <c r="BH864"/>
      <c r="BI864"/>
      <c r="BJ864"/>
      <c r="BK864"/>
    </row>
    <row r="865" spans="40:63" ht="12.75">
      <c r="AN865"/>
      <c r="AO865" s="293"/>
      <c r="AP865"/>
      <c r="AQ865" s="145"/>
      <c r="AR865"/>
      <c r="AS865"/>
      <c r="AT865"/>
      <c r="AU865"/>
      <c r="AV865"/>
      <c r="AW865"/>
      <c r="AX865"/>
      <c r="AY865"/>
      <c r="AZ865"/>
      <c r="BA865"/>
      <c r="BB865"/>
      <c r="BC865" s="578"/>
      <c r="BD865" s="578"/>
      <c r="BE865"/>
      <c r="BF865"/>
      <c r="BG865"/>
      <c r="BH865"/>
      <c r="BI865"/>
      <c r="BJ865"/>
      <c r="BK865"/>
    </row>
    <row r="866" spans="40:63" ht="12.75">
      <c r="AN866"/>
      <c r="AO866" s="293"/>
      <c r="AP866"/>
      <c r="AQ866" s="145"/>
      <c r="AR866"/>
      <c r="AS866"/>
      <c r="AT866"/>
      <c r="AU866"/>
      <c r="AV866"/>
      <c r="AW866"/>
      <c r="AX866"/>
      <c r="AY866"/>
      <c r="AZ866"/>
      <c r="BA866"/>
      <c r="BB866"/>
      <c r="BC866" s="578"/>
      <c r="BD866" s="578"/>
      <c r="BE866"/>
      <c r="BF866"/>
      <c r="BG866"/>
      <c r="BH866"/>
      <c r="BI866"/>
      <c r="BJ866"/>
      <c r="BK866"/>
    </row>
    <row r="867" spans="40:63" ht="12.75">
      <c r="AN867"/>
      <c r="AO867" s="293"/>
      <c r="AP867"/>
      <c r="AQ867" s="145"/>
      <c r="AR867"/>
      <c r="AS867"/>
      <c r="AT867"/>
      <c r="AU867"/>
      <c r="AV867"/>
      <c r="AW867"/>
      <c r="AX867"/>
      <c r="AY867"/>
      <c r="AZ867"/>
      <c r="BA867"/>
      <c r="BB867"/>
      <c r="BC867" s="578"/>
      <c r="BD867" s="578"/>
      <c r="BE867"/>
      <c r="BF867"/>
      <c r="BG867"/>
      <c r="BH867"/>
      <c r="BI867"/>
      <c r="BJ867"/>
      <c r="BK867"/>
    </row>
    <row r="868" spans="40:63" ht="12.75">
      <c r="AN868"/>
      <c r="AO868" s="293"/>
      <c r="AP868"/>
      <c r="AQ868" s="145"/>
      <c r="AR868"/>
      <c r="AS868"/>
      <c r="AT868"/>
      <c r="AU868"/>
      <c r="AV868"/>
      <c r="AW868"/>
      <c r="AX868"/>
      <c r="AY868"/>
      <c r="AZ868"/>
      <c r="BA868"/>
      <c r="BB868"/>
      <c r="BC868" s="578"/>
      <c r="BD868" s="578"/>
      <c r="BE868"/>
      <c r="BF868"/>
      <c r="BG868"/>
      <c r="BH868"/>
      <c r="BI868"/>
      <c r="BJ868"/>
      <c r="BK868"/>
    </row>
    <row r="869" spans="40:63" ht="12.75">
      <c r="AN869"/>
      <c r="AO869" s="293"/>
      <c r="AP869"/>
      <c r="AQ869" s="145"/>
      <c r="AR869"/>
      <c r="AS869"/>
      <c r="AT869"/>
      <c r="AU869"/>
      <c r="AV869"/>
      <c r="AW869"/>
      <c r="AX869"/>
      <c r="AY869"/>
      <c r="AZ869"/>
      <c r="BA869"/>
      <c r="BB869"/>
      <c r="BC869" s="578"/>
      <c r="BD869" s="578"/>
      <c r="BE869"/>
      <c r="BF869"/>
      <c r="BG869"/>
      <c r="BH869"/>
      <c r="BI869"/>
      <c r="BJ869"/>
      <c r="BK869"/>
    </row>
    <row r="870" spans="40:63" ht="12.75">
      <c r="AN870"/>
      <c r="AO870" s="293"/>
      <c r="AP870"/>
      <c r="AQ870" s="145"/>
      <c r="AR870"/>
      <c r="AS870"/>
      <c r="AT870"/>
      <c r="AU870"/>
      <c r="AV870"/>
      <c r="AW870"/>
      <c r="AX870"/>
      <c r="AY870"/>
      <c r="AZ870"/>
      <c r="BA870"/>
      <c r="BB870"/>
      <c r="BC870" s="578"/>
      <c r="BD870" s="578"/>
      <c r="BE870"/>
      <c r="BF870"/>
      <c r="BG870"/>
      <c r="BH870"/>
      <c r="BI870"/>
      <c r="BJ870"/>
      <c r="BK870"/>
    </row>
    <row r="871" spans="40:63" ht="12.75">
      <c r="AN871"/>
      <c r="AO871" s="293"/>
      <c r="AP871"/>
      <c r="AQ871" s="145"/>
      <c r="AR871"/>
      <c r="AS871"/>
      <c r="AT871"/>
      <c r="AU871"/>
      <c r="AV871"/>
      <c r="AW871"/>
      <c r="AX871"/>
      <c r="AY871"/>
      <c r="AZ871"/>
      <c r="BA871"/>
      <c r="BB871"/>
      <c r="BC871" s="578"/>
      <c r="BD871" s="578"/>
      <c r="BE871"/>
      <c r="BF871"/>
      <c r="BG871"/>
      <c r="BH871"/>
      <c r="BI871"/>
      <c r="BJ871"/>
      <c r="BK871"/>
    </row>
    <row r="872" spans="40:63" ht="12.75">
      <c r="AN872"/>
      <c r="AO872" s="293"/>
      <c r="AP872"/>
      <c r="AQ872" s="145"/>
      <c r="AR872"/>
      <c r="AS872"/>
      <c r="AT872"/>
      <c r="AU872"/>
      <c r="AV872"/>
      <c r="AW872"/>
      <c r="AX872"/>
      <c r="AY872"/>
      <c r="AZ872"/>
      <c r="BA872"/>
      <c r="BB872"/>
      <c r="BC872" s="578"/>
      <c r="BD872" s="578"/>
      <c r="BE872"/>
      <c r="BF872"/>
      <c r="BG872"/>
      <c r="BH872"/>
      <c r="BI872"/>
      <c r="BJ872"/>
      <c r="BK872"/>
    </row>
    <row r="873" spans="40:63" ht="12.75">
      <c r="AN873"/>
      <c r="AO873" s="293"/>
      <c r="AP873"/>
      <c r="AQ873" s="145"/>
      <c r="AR873"/>
      <c r="AS873"/>
      <c r="AT873"/>
      <c r="AU873"/>
      <c r="AV873"/>
      <c r="AW873"/>
      <c r="AX873"/>
      <c r="AY873"/>
      <c r="AZ873"/>
      <c r="BA873"/>
      <c r="BB873"/>
      <c r="BC873" s="578"/>
      <c r="BD873" s="578"/>
      <c r="BE873"/>
      <c r="BF873"/>
      <c r="BG873"/>
      <c r="BH873"/>
      <c r="BI873"/>
      <c r="BJ873"/>
      <c r="BK873"/>
    </row>
    <row r="874" spans="40:63" ht="12.75">
      <c r="AN874"/>
      <c r="AO874" s="293"/>
      <c r="AP874"/>
      <c r="AQ874" s="145"/>
      <c r="AR874"/>
      <c r="AS874"/>
      <c r="AT874"/>
      <c r="AU874"/>
      <c r="AV874"/>
      <c r="AW874"/>
      <c r="AX874"/>
      <c r="AY874"/>
      <c r="AZ874"/>
      <c r="BA874"/>
      <c r="BB874"/>
      <c r="BC874" s="578"/>
      <c r="BD874" s="578"/>
      <c r="BE874"/>
      <c r="BF874"/>
      <c r="BG874"/>
      <c r="BH874"/>
      <c r="BI874"/>
      <c r="BJ874"/>
      <c r="BK874"/>
    </row>
    <row r="875" spans="40:63" ht="12.75">
      <c r="AN875"/>
      <c r="AO875" s="293"/>
      <c r="AP875"/>
      <c r="AQ875" s="145"/>
      <c r="AR875"/>
      <c r="AS875"/>
      <c r="AT875"/>
      <c r="AU875"/>
      <c r="AV875"/>
      <c r="AW875"/>
      <c r="AX875"/>
      <c r="AY875"/>
      <c r="AZ875"/>
      <c r="BA875"/>
      <c r="BB875"/>
      <c r="BC875" s="578"/>
      <c r="BD875" s="578"/>
      <c r="BE875"/>
      <c r="BF875"/>
      <c r="BG875"/>
      <c r="BH875"/>
      <c r="BI875"/>
      <c r="BJ875"/>
      <c r="BK875"/>
    </row>
    <row r="876" spans="40:63" ht="12.75">
      <c r="AN876"/>
      <c r="AO876" s="293"/>
      <c r="AP876"/>
      <c r="AQ876" s="145"/>
      <c r="AR876"/>
      <c r="AS876"/>
      <c r="AT876"/>
      <c r="AU876"/>
      <c r="AV876"/>
      <c r="AW876"/>
      <c r="AX876"/>
      <c r="AY876"/>
      <c r="AZ876"/>
      <c r="BA876"/>
      <c r="BB876"/>
      <c r="BC876" s="578"/>
      <c r="BD876" s="578"/>
      <c r="BE876"/>
      <c r="BF876"/>
      <c r="BG876"/>
      <c r="BH876"/>
      <c r="BI876"/>
      <c r="BJ876"/>
      <c r="BK876"/>
    </row>
    <row r="877" spans="40:63" ht="12.75">
      <c r="AN877"/>
      <c r="AO877" s="293"/>
      <c r="AP877"/>
      <c r="AQ877" s="145"/>
      <c r="AR877"/>
      <c r="AS877"/>
      <c r="AT877"/>
      <c r="AU877"/>
      <c r="AV877"/>
      <c r="AW877"/>
      <c r="AX877"/>
      <c r="AY877"/>
      <c r="AZ877"/>
      <c r="BA877"/>
      <c r="BB877"/>
      <c r="BC877" s="578"/>
      <c r="BD877" s="578"/>
      <c r="BE877"/>
      <c r="BF877"/>
      <c r="BG877"/>
      <c r="BH877"/>
      <c r="BI877"/>
      <c r="BJ877"/>
      <c r="BK877"/>
    </row>
    <row r="878" spans="40:63" ht="12.75">
      <c r="AN878"/>
      <c r="AO878" s="293"/>
      <c r="AP878"/>
      <c r="AQ878" s="145"/>
      <c r="AR878"/>
      <c r="AS878"/>
      <c r="AT878"/>
      <c r="AU878"/>
      <c r="AV878"/>
      <c r="AW878"/>
      <c r="AX878"/>
      <c r="AY878"/>
      <c r="AZ878"/>
      <c r="BA878"/>
      <c r="BB878"/>
      <c r="BC878" s="578"/>
      <c r="BD878" s="578"/>
      <c r="BE878"/>
      <c r="BF878"/>
      <c r="BG878"/>
      <c r="BH878"/>
      <c r="BI878"/>
      <c r="BJ878"/>
      <c r="BK878"/>
    </row>
    <row r="879" spans="40:63" ht="12.75">
      <c r="AN879"/>
      <c r="AO879" s="293"/>
      <c r="AP879"/>
      <c r="AQ879" s="145"/>
      <c r="AR879"/>
      <c r="AS879"/>
      <c r="AT879"/>
      <c r="AU879"/>
      <c r="AV879"/>
      <c r="AW879"/>
      <c r="AX879"/>
      <c r="AY879"/>
      <c r="AZ879"/>
      <c r="BA879"/>
      <c r="BB879"/>
      <c r="BC879" s="578"/>
      <c r="BD879" s="578"/>
      <c r="BE879"/>
      <c r="BF879"/>
      <c r="BG879"/>
      <c r="BH879"/>
      <c r="BI879"/>
      <c r="BJ879"/>
      <c r="BK879"/>
    </row>
    <row r="880" spans="40:63" ht="12.75">
      <c r="AN880"/>
      <c r="AO880" s="293"/>
      <c r="AP880"/>
      <c r="AQ880" s="145"/>
      <c r="AR880"/>
      <c r="AS880"/>
      <c r="AT880"/>
      <c r="AU880"/>
      <c r="AV880"/>
      <c r="AW880"/>
      <c r="AX880"/>
      <c r="AY880"/>
      <c r="AZ880"/>
      <c r="BA880"/>
      <c r="BB880"/>
      <c r="BC880" s="578"/>
      <c r="BD880" s="578"/>
      <c r="BE880"/>
      <c r="BF880"/>
      <c r="BG880"/>
      <c r="BH880"/>
      <c r="BI880"/>
      <c r="BJ880"/>
      <c r="BK880"/>
    </row>
    <row r="881" spans="40:63" ht="12.75">
      <c r="AN881"/>
      <c r="AO881" s="293"/>
      <c r="AP881"/>
      <c r="AQ881" s="145"/>
      <c r="AR881"/>
      <c r="AS881"/>
      <c r="AT881"/>
      <c r="AU881"/>
      <c r="AV881"/>
      <c r="AW881"/>
      <c r="AX881"/>
      <c r="AY881"/>
      <c r="AZ881"/>
      <c r="BA881"/>
      <c r="BB881"/>
      <c r="BC881" s="578"/>
      <c r="BD881" s="578"/>
      <c r="BE881"/>
      <c r="BF881"/>
      <c r="BG881"/>
      <c r="BH881"/>
      <c r="BI881"/>
      <c r="BJ881"/>
      <c r="BK881"/>
    </row>
    <row r="882" spans="40:63" ht="12.75">
      <c r="AN882"/>
      <c r="AO882" s="293"/>
      <c r="AP882"/>
      <c r="AQ882" s="145"/>
      <c r="AR882"/>
      <c r="AS882"/>
      <c r="AT882"/>
      <c r="AU882"/>
      <c r="AV882"/>
      <c r="AW882"/>
      <c r="AX882"/>
      <c r="AY882"/>
      <c r="AZ882"/>
      <c r="BA882"/>
      <c r="BB882"/>
      <c r="BC882" s="578"/>
      <c r="BD882" s="578"/>
      <c r="BE882"/>
      <c r="BF882"/>
      <c r="BG882"/>
      <c r="BH882"/>
      <c r="BI882"/>
      <c r="BJ882"/>
      <c r="BK882"/>
    </row>
    <row r="883" spans="40:63" ht="12.75">
      <c r="AN883"/>
      <c r="AO883" s="293"/>
      <c r="AP883"/>
      <c r="AQ883" s="145"/>
      <c r="AR883"/>
      <c r="AS883"/>
      <c r="AT883"/>
      <c r="AU883"/>
      <c r="AV883"/>
      <c r="AW883"/>
      <c r="AX883"/>
      <c r="AY883"/>
      <c r="AZ883"/>
      <c r="BA883"/>
      <c r="BB883"/>
      <c r="BC883" s="578"/>
      <c r="BD883" s="578"/>
      <c r="BE883"/>
      <c r="BF883"/>
      <c r="BG883"/>
      <c r="BH883"/>
      <c r="BI883"/>
      <c r="BJ883"/>
      <c r="BK883"/>
    </row>
    <row r="884" spans="40:63" ht="12.75">
      <c r="AN884"/>
      <c r="AO884" s="293"/>
      <c r="AP884"/>
      <c r="AQ884" s="145"/>
      <c r="AR884"/>
      <c r="AS884"/>
      <c r="AT884"/>
      <c r="AU884"/>
      <c r="AV884"/>
      <c r="AW884"/>
      <c r="AX884"/>
      <c r="AY884"/>
      <c r="AZ884"/>
      <c r="BA884"/>
      <c r="BB884"/>
      <c r="BC884" s="578"/>
      <c r="BD884" s="578"/>
      <c r="BE884"/>
      <c r="BF884"/>
      <c r="BG884"/>
      <c r="BH884"/>
      <c r="BI884"/>
      <c r="BJ884"/>
      <c r="BK884"/>
    </row>
    <row r="885" spans="40:63" ht="12.75">
      <c r="AN885"/>
      <c r="AO885" s="293"/>
      <c r="AP885"/>
      <c r="AQ885" s="145"/>
      <c r="AR885"/>
      <c r="AS885"/>
      <c r="AT885"/>
      <c r="AU885"/>
      <c r="AV885"/>
      <c r="AW885"/>
      <c r="AX885"/>
      <c r="AY885"/>
      <c r="AZ885"/>
      <c r="BA885"/>
      <c r="BB885"/>
      <c r="BC885" s="578"/>
      <c r="BD885" s="578"/>
      <c r="BE885"/>
      <c r="BF885"/>
      <c r="BG885"/>
      <c r="BH885"/>
      <c r="BI885"/>
      <c r="BJ885"/>
      <c r="BK885"/>
    </row>
    <row r="886" spans="40:63" ht="12.75">
      <c r="AN886"/>
      <c r="AO886" s="293"/>
      <c r="AP886"/>
      <c r="AQ886" s="145"/>
      <c r="AR886"/>
      <c r="AS886"/>
      <c r="AT886"/>
      <c r="AU886"/>
      <c r="AV886"/>
      <c r="AW886"/>
      <c r="AX886"/>
      <c r="AY886"/>
      <c r="AZ886"/>
      <c r="BA886"/>
      <c r="BB886"/>
      <c r="BC886" s="578"/>
      <c r="BD886" s="578"/>
      <c r="BE886"/>
      <c r="BF886"/>
      <c r="BG886"/>
      <c r="BH886"/>
      <c r="BI886"/>
      <c r="BJ886"/>
      <c r="BK886"/>
    </row>
    <row r="887" spans="40:63" ht="12.75">
      <c r="AN887"/>
      <c r="AO887" s="293"/>
      <c r="AP887"/>
      <c r="AQ887" s="145"/>
      <c r="AR887"/>
      <c r="AS887"/>
      <c r="AT887"/>
      <c r="AU887"/>
      <c r="AV887"/>
      <c r="AW887"/>
      <c r="AX887"/>
      <c r="AY887"/>
      <c r="AZ887"/>
      <c r="BA887"/>
      <c r="BB887"/>
      <c r="BC887" s="578"/>
      <c r="BD887" s="578"/>
      <c r="BE887"/>
      <c r="BF887"/>
      <c r="BG887"/>
      <c r="BH887"/>
      <c r="BI887"/>
      <c r="BJ887"/>
      <c r="BK887"/>
    </row>
    <row r="888" spans="40:63" ht="12.75">
      <c r="AN888"/>
      <c r="AO888" s="293"/>
      <c r="AP888"/>
      <c r="AQ888" s="145"/>
      <c r="AR888"/>
      <c r="AS888"/>
      <c r="AT888"/>
      <c r="AU888"/>
      <c r="AV888"/>
      <c r="AW888"/>
      <c r="AX888"/>
      <c r="AY888"/>
      <c r="AZ888"/>
      <c r="BA888"/>
      <c r="BB888"/>
      <c r="BC888" s="578"/>
      <c r="BD888" s="578"/>
      <c r="BE888"/>
      <c r="BF888"/>
      <c r="BG888"/>
      <c r="BH888"/>
      <c r="BI888"/>
      <c r="BJ888"/>
      <c r="BK888"/>
    </row>
    <row r="889" spans="40:63" ht="12.75">
      <c r="AN889"/>
      <c r="AO889" s="293"/>
      <c r="AP889"/>
      <c r="AQ889" s="145"/>
      <c r="AR889"/>
      <c r="AS889"/>
      <c r="AT889"/>
      <c r="AU889"/>
      <c r="AV889"/>
      <c r="AW889"/>
      <c r="AX889"/>
      <c r="AY889"/>
      <c r="AZ889"/>
      <c r="BA889"/>
      <c r="BB889"/>
      <c r="BC889" s="578"/>
      <c r="BD889" s="578"/>
      <c r="BE889"/>
      <c r="BF889"/>
      <c r="BG889"/>
      <c r="BH889"/>
      <c r="BI889"/>
      <c r="BJ889"/>
      <c r="BK889"/>
    </row>
    <row r="890" spans="40:63" ht="12.75">
      <c r="AN890"/>
      <c r="AO890" s="293"/>
      <c r="AP890"/>
      <c r="AQ890" s="145"/>
      <c r="AR890"/>
      <c r="AS890"/>
      <c r="AT890"/>
      <c r="AU890"/>
      <c r="AV890"/>
      <c r="AW890"/>
      <c r="AX890"/>
      <c r="AY890"/>
      <c r="AZ890"/>
      <c r="BA890"/>
      <c r="BB890"/>
      <c r="BC890" s="578"/>
      <c r="BD890" s="578"/>
      <c r="BE890"/>
      <c r="BF890"/>
      <c r="BG890"/>
      <c r="BH890"/>
      <c r="BI890"/>
      <c r="BJ890"/>
      <c r="BK890"/>
    </row>
    <row r="891" spans="40:63" ht="12.75">
      <c r="AN891"/>
      <c r="AO891" s="293"/>
      <c r="AP891"/>
      <c r="AQ891" s="145"/>
      <c r="AR891"/>
      <c r="AS891"/>
      <c r="AT891"/>
      <c r="AU891"/>
      <c r="AV891"/>
      <c r="AW891"/>
      <c r="AX891"/>
      <c r="AY891"/>
      <c r="AZ891"/>
      <c r="BA891"/>
      <c r="BB891"/>
      <c r="BC891" s="578"/>
      <c r="BD891" s="578"/>
      <c r="BE891"/>
      <c r="BF891"/>
      <c r="BG891"/>
      <c r="BH891"/>
      <c r="BI891"/>
      <c r="BJ891"/>
      <c r="BK891"/>
    </row>
    <row r="892" spans="40:63" ht="12.75">
      <c r="AN892"/>
      <c r="AO892" s="293"/>
      <c r="AP892"/>
      <c r="AQ892" s="145"/>
      <c r="AR892"/>
      <c r="AS892"/>
      <c r="AT892"/>
      <c r="AU892"/>
      <c r="AV892"/>
      <c r="AW892"/>
      <c r="AX892"/>
      <c r="AY892"/>
      <c r="AZ892"/>
      <c r="BA892"/>
      <c r="BB892"/>
      <c r="BC892" s="578"/>
      <c r="BD892" s="578"/>
      <c r="BE892"/>
      <c r="BF892"/>
      <c r="BG892"/>
      <c r="BH892"/>
      <c r="BI892"/>
      <c r="BJ892"/>
      <c r="BK892"/>
    </row>
    <row r="893" spans="40:63" ht="12.75">
      <c r="AN893"/>
      <c r="AO893" s="293"/>
      <c r="AP893"/>
      <c r="AQ893" s="145"/>
      <c r="AR893"/>
      <c r="AS893"/>
      <c r="AT893"/>
      <c r="AU893"/>
      <c r="AV893"/>
      <c r="AW893"/>
      <c r="AX893"/>
      <c r="AY893"/>
      <c r="AZ893"/>
      <c r="BA893"/>
      <c r="BB893"/>
      <c r="BC893" s="578"/>
      <c r="BD893" s="578"/>
      <c r="BE893"/>
      <c r="BF893"/>
      <c r="BG893"/>
      <c r="BH893"/>
      <c r="BI893"/>
      <c r="BJ893"/>
      <c r="BK893"/>
    </row>
    <row r="894" spans="40:63" ht="12.75">
      <c r="AN894"/>
      <c r="AO894" s="293"/>
      <c r="AP894"/>
      <c r="AQ894" s="145"/>
      <c r="AR894"/>
      <c r="AS894"/>
      <c r="AT894"/>
      <c r="AU894"/>
      <c r="AV894"/>
      <c r="AW894"/>
      <c r="AX894"/>
      <c r="AY894"/>
      <c r="AZ894"/>
      <c r="BA894"/>
      <c r="BB894"/>
      <c r="BC894" s="578"/>
      <c r="BD894" s="578"/>
      <c r="BE894"/>
      <c r="BF894"/>
      <c r="BG894"/>
      <c r="BH894"/>
      <c r="BI894"/>
      <c r="BJ894"/>
      <c r="BK894"/>
    </row>
    <row r="895" spans="40:63" ht="12.75">
      <c r="AN895"/>
      <c r="AO895" s="293"/>
      <c r="AP895"/>
      <c r="AQ895" s="145"/>
      <c r="AR895"/>
      <c r="AS895"/>
      <c r="AT895"/>
      <c r="AU895"/>
      <c r="AV895"/>
      <c r="AW895"/>
      <c r="AX895"/>
      <c r="AY895"/>
      <c r="AZ895"/>
      <c r="BA895"/>
      <c r="BB895"/>
      <c r="BC895" s="578"/>
      <c r="BD895" s="578"/>
      <c r="BE895"/>
      <c r="BF895"/>
      <c r="BG895"/>
      <c r="BH895"/>
      <c r="BI895"/>
      <c r="BJ895"/>
      <c r="BK895"/>
    </row>
    <row r="896" spans="40:63" ht="12.75">
      <c r="AN896"/>
      <c r="AO896" s="293"/>
      <c r="AP896"/>
      <c r="AQ896" s="145"/>
      <c r="AR896"/>
      <c r="AS896"/>
      <c r="AT896"/>
      <c r="AU896"/>
      <c r="AV896"/>
      <c r="AW896"/>
      <c r="AX896"/>
      <c r="AY896"/>
      <c r="AZ896"/>
      <c r="BA896"/>
      <c r="BB896"/>
      <c r="BC896" s="578"/>
      <c r="BD896" s="578"/>
      <c r="BE896"/>
      <c r="BF896"/>
      <c r="BG896"/>
      <c r="BH896"/>
      <c r="BI896"/>
      <c r="BJ896"/>
      <c r="BK896"/>
    </row>
    <row r="897" spans="40:63" ht="12.75">
      <c r="AN897"/>
      <c r="AO897" s="293"/>
      <c r="AP897"/>
      <c r="AQ897" s="145"/>
      <c r="AR897"/>
      <c r="AS897"/>
      <c r="AT897"/>
      <c r="AU897"/>
      <c r="AV897"/>
      <c r="AW897"/>
      <c r="AX897"/>
      <c r="AY897"/>
      <c r="AZ897"/>
      <c r="BA897"/>
      <c r="BB897"/>
      <c r="BC897" s="578"/>
      <c r="BD897" s="578"/>
      <c r="BE897"/>
      <c r="BF897"/>
      <c r="BG897"/>
      <c r="BH897"/>
      <c r="BI897"/>
      <c r="BJ897"/>
      <c r="BK897"/>
    </row>
    <row r="898" spans="40:63" ht="12.75">
      <c r="AN898"/>
      <c r="AO898" s="293"/>
      <c r="AP898"/>
      <c r="AQ898" s="145"/>
      <c r="AR898"/>
      <c r="AS898"/>
      <c r="AT898"/>
      <c r="AU898"/>
      <c r="AV898"/>
      <c r="AW898"/>
      <c r="AX898"/>
      <c r="AY898"/>
      <c r="AZ898"/>
      <c r="BA898"/>
      <c r="BB898"/>
      <c r="BC898" s="578"/>
      <c r="BD898" s="578"/>
      <c r="BE898"/>
      <c r="BF898"/>
      <c r="BG898"/>
      <c r="BH898"/>
      <c r="BI898"/>
      <c r="BJ898"/>
      <c r="BK898"/>
    </row>
    <row r="899" spans="40:63" ht="12.75">
      <c r="AN899"/>
      <c r="AO899" s="293"/>
      <c r="AP899"/>
      <c r="AQ899" s="145"/>
      <c r="AR899"/>
      <c r="AS899"/>
      <c r="AT899"/>
      <c r="AU899"/>
      <c r="AV899"/>
      <c r="AW899"/>
      <c r="AX899"/>
      <c r="AY899"/>
      <c r="AZ899"/>
      <c r="BA899"/>
      <c r="BB899"/>
      <c r="BC899" s="578"/>
      <c r="BD899" s="578"/>
      <c r="BE899"/>
      <c r="BF899"/>
      <c r="BG899"/>
      <c r="BH899"/>
      <c r="BI899"/>
      <c r="BJ899"/>
      <c r="BK899"/>
    </row>
    <row r="900" spans="40:63" ht="12.75">
      <c r="AN900"/>
      <c r="AO900" s="293"/>
      <c r="AP900"/>
      <c r="AQ900" s="145"/>
      <c r="AR900"/>
      <c r="AS900"/>
      <c r="AT900"/>
      <c r="AU900"/>
      <c r="AV900"/>
      <c r="AW900"/>
      <c r="AX900"/>
      <c r="AY900"/>
      <c r="AZ900"/>
      <c r="BA900"/>
      <c r="BB900"/>
      <c r="BC900" s="578"/>
      <c r="BD900" s="578"/>
      <c r="BE900"/>
      <c r="BF900"/>
      <c r="BG900"/>
      <c r="BH900"/>
      <c r="BI900"/>
      <c r="BJ900"/>
      <c r="BK900"/>
    </row>
    <row r="901" spans="40:63" ht="12.75">
      <c r="AN901"/>
      <c r="AO901" s="293"/>
      <c r="AP901"/>
      <c r="AQ901" s="145"/>
      <c r="AR901"/>
      <c r="AS901"/>
      <c r="AT901"/>
      <c r="AU901"/>
      <c r="AV901"/>
      <c r="AW901"/>
      <c r="AX901"/>
      <c r="AY901"/>
      <c r="AZ901"/>
      <c r="BA901"/>
      <c r="BB901"/>
      <c r="BC901" s="578"/>
      <c r="BD901" s="578"/>
      <c r="BE901"/>
      <c r="BF901"/>
      <c r="BG901"/>
      <c r="BH901"/>
      <c r="BI901"/>
      <c r="BJ901"/>
      <c r="BK901"/>
    </row>
    <row r="902" spans="40:63" ht="12.75">
      <c r="AN902"/>
      <c r="AO902" s="293"/>
      <c r="AP902"/>
      <c r="AQ902" s="145"/>
      <c r="AR902"/>
      <c r="AS902"/>
      <c r="AT902"/>
      <c r="AU902"/>
      <c r="AV902"/>
      <c r="AW902"/>
      <c r="AX902"/>
      <c r="AY902"/>
      <c r="AZ902"/>
      <c r="BA902"/>
      <c r="BB902"/>
      <c r="BC902" s="578"/>
      <c r="BD902" s="578"/>
      <c r="BE902"/>
      <c r="BF902"/>
      <c r="BG902"/>
      <c r="BH902"/>
      <c r="BI902"/>
      <c r="BJ902"/>
      <c r="BK902"/>
    </row>
    <row r="903" spans="40:63" ht="12.75">
      <c r="AN903"/>
      <c r="AO903" s="293"/>
      <c r="AP903"/>
      <c r="AQ903" s="145"/>
      <c r="AR903"/>
      <c r="AS903"/>
      <c r="AT903"/>
      <c r="AU903"/>
      <c r="AV903"/>
      <c r="AW903"/>
      <c r="AX903"/>
      <c r="AY903"/>
      <c r="AZ903"/>
      <c r="BA903"/>
      <c r="BB903"/>
      <c r="BC903" s="578"/>
      <c r="BD903" s="578"/>
      <c r="BE903"/>
      <c r="BF903"/>
      <c r="BG903"/>
      <c r="BH903"/>
      <c r="BI903"/>
      <c r="BJ903"/>
      <c r="BK903"/>
    </row>
    <row r="904" spans="40:63" ht="12.75">
      <c r="AN904"/>
      <c r="AO904" s="293"/>
      <c r="AP904"/>
      <c r="AQ904" s="145"/>
      <c r="AR904"/>
      <c r="AS904"/>
      <c r="AT904"/>
      <c r="AU904"/>
      <c r="AV904"/>
      <c r="AW904"/>
      <c r="AX904"/>
      <c r="AY904"/>
      <c r="AZ904"/>
      <c r="BA904"/>
      <c r="BB904"/>
      <c r="BC904" s="578"/>
      <c r="BD904" s="578"/>
      <c r="BE904"/>
      <c r="BF904"/>
      <c r="BG904"/>
      <c r="BH904"/>
      <c r="BI904"/>
      <c r="BJ904"/>
      <c r="BK904"/>
    </row>
    <row r="905" spans="40:63" ht="12.75">
      <c r="AN905"/>
      <c r="AO905" s="293"/>
      <c r="AP905"/>
      <c r="AQ905" s="145"/>
      <c r="AR905"/>
      <c r="AS905"/>
      <c r="AT905"/>
      <c r="AU905"/>
      <c r="AV905"/>
      <c r="AW905"/>
      <c r="AX905"/>
      <c r="AY905"/>
      <c r="AZ905"/>
      <c r="BA905"/>
      <c r="BB905"/>
      <c r="BC905" s="578"/>
      <c r="BD905" s="578"/>
      <c r="BE905"/>
      <c r="BF905"/>
      <c r="BG905"/>
      <c r="BH905"/>
      <c r="BI905"/>
      <c r="BJ905"/>
      <c r="BK905"/>
    </row>
    <row r="906" spans="40:63" ht="12.75">
      <c r="AN906"/>
      <c r="AO906" s="293"/>
      <c r="AP906"/>
      <c r="AQ906" s="145"/>
      <c r="AR906"/>
      <c r="AS906"/>
      <c r="AT906"/>
      <c r="AU906"/>
      <c r="AV906"/>
      <c r="AW906"/>
      <c r="AX906"/>
      <c r="AY906"/>
      <c r="AZ906"/>
      <c r="BA906"/>
      <c r="BB906"/>
      <c r="BC906" s="578"/>
      <c r="BD906" s="578"/>
      <c r="BE906"/>
      <c r="BF906"/>
      <c r="BG906"/>
      <c r="BH906"/>
      <c r="BI906"/>
      <c r="BJ906"/>
      <c r="BK906"/>
    </row>
    <row r="907" spans="40:63" ht="12.75">
      <c r="AN907"/>
      <c r="AO907" s="293"/>
      <c r="AP907"/>
      <c r="AQ907" s="145"/>
      <c r="AR907"/>
      <c r="AS907"/>
      <c r="AT907"/>
      <c r="AU907"/>
      <c r="AV907"/>
      <c r="AW907"/>
      <c r="AX907"/>
      <c r="AY907"/>
      <c r="AZ907"/>
      <c r="BA907"/>
      <c r="BB907"/>
      <c r="BC907" s="578"/>
      <c r="BD907" s="578"/>
      <c r="BE907"/>
      <c r="BF907"/>
      <c r="BG907"/>
      <c r="BH907"/>
      <c r="BI907"/>
      <c r="BJ907"/>
      <c r="BK907"/>
    </row>
    <row r="908" spans="40:63" ht="12.75">
      <c r="AN908"/>
      <c r="AO908" s="293"/>
      <c r="AP908"/>
      <c r="AQ908" s="145"/>
      <c r="AR908"/>
      <c r="AS908"/>
      <c r="AT908"/>
      <c r="AU908"/>
      <c r="AV908"/>
      <c r="AW908"/>
      <c r="AX908"/>
      <c r="AY908"/>
      <c r="AZ908"/>
      <c r="BA908"/>
      <c r="BB908"/>
      <c r="BC908" s="578"/>
      <c r="BD908" s="578"/>
      <c r="BE908"/>
      <c r="BF908"/>
      <c r="BG908"/>
      <c r="BH908"/>
      <c r="BI908"/>
      <c r="BJ908"/>
      <c r="BK908"/>
    </row>
    <row r="909" spans="40:63" ht="12.75">
      <c r="AN909"/>
      <c r="AO909" s="293"/>
      <c r="AP909"/>
      <c r="AQ909" s="145"/>
      <c r="AR909"/>
      <c r="AS909"/>
      <c r="AT909"/>
      <c r="AU909"/>
      <c r="AV909"/>
      <c r="AW909"/>
      <c r="AX909"/>
      <c r="AY909"/>
      <c r="AZ909"/>
      <c r="BA909"/>
      <c r="BB909"/>
      <c r="BC909" s="578"/>
      <c r="BD909" s="578"/>
      <c r="BE909"/>
      <c r="BF909"/>
      <c r="BG909"/>
      <c r="BH909"/>
      <c r="BI909"/>
      <c r="BJ909"/>
      <c r="BK909"/>
    </row>
    <row r="910" spans="40:63" ht="12.75">
      <c r="AN910"/>
      <c r="AO910" s="293"/>
      <c r="AP910"/>
      <c r="AQ910" s="145"/>
      <c r="AR910"/>
      <c r="AS910"/>
      <c r="AT910"/>
      <c r="AU910"/>
      <c r="AV910"/>
      <c r="AW910"/>
      <c r="AX910"/>
      <c r="AY910"/>
      <c r="AZ910"/>
      <c r="BA910"/>
      <c r="BB910"/>
      <c r="BC910" s="578"/>
      <c r="BD910" s="578"/>
      <c r="BE910"/>
      <c r="BF910"/>
      <c r="BG910"/>
      <c r="BH910"/>
      <c r="BI910"/>
      <c r="BJ910"/>
      <c r="BK910"/>
    </row>
    <row r="911" spans="40:63" ht="12.75">
      <c r="AN911"/>
      <c r="AO911" s="293"/>
      <c r="AP911"/>
      <c r="AQ911" s="145"/>
      <c r="AR911"/>
      <c r="AS911"/>
      <c r="AT911"/>
      <c r="AU911"/>
      <c r="AV911"/>
      <c r="AW911"/>
      <c r="AX911"/>
      <c r="AY911"/>
      <c r="AZ911"/>
      <c r="BA911"/>
      <c r="BB911"/>
      <c r="BC911" s="578"/>
      <c r="BD911" s="578"/>
      <c r="BE911"/>
      <c r="BF911"/>
      <c r="BG911"/>
      <c r="BH911"/>
      <c r="BI911"/>
      <c r="BJ911"/>
      <c r="BK911"/>
    </row>
    <row r="912" spans="40:63" ht="12.75">
      <c r="AN912"/>
      <c r="AO912" s="293"/>
      <c r="AP912"/>
      <c r="AQ912" s="145"/>
      <c r="AR912"/>
      <c r="AS912"/>
      <c r="AT912"/>
      <c r="AU912"/>
      <c r="AV912"/>
      <c r="AW912"/>
      <c r="AX912"/>
      <c r="AY912"/>
      <c r="AZ912"/>
      <c r="BA912"/>
      <c r="BB912"/>
      <c r="BC912" s="578"/>
      <c r="BD912" s="578"/>
      <c r="BE912"/>
      <c r="BF912"/>
      <c r="BG912"/>
      <c r="BH912"/>
      <c r="BI912"/>
      <c r="BJ912"/>
      <c r="BK912"/>
    </row>
    <row r="913" spans="40:63" ht="12.75">
      <c r="AN913"/>
      <c r="AO913" s="293"/>
      <c r="AP913"/>
      <c r="AQ913" s="145"/>
      <c r="AR913"/>
      <c r="AS913"/>
      <c r="AT913"/>
      <c r="AU913"/>
      <c r="AV913"/>
      <c r="AW913"/>
      <c r="AX913"/>
      <c r="AY913"/>
      <c r="AZ913"/>
      <c r="BA913"/>
      <c r="BB913"/>
      <c r="BC913" s="578"/>
      <c r="BD913" s="578"/>
      <c r="BE913"/>
      <c r="BF913"/>
      <c r="BG913"/>
      <c r="BH913"/>
      <c r="BI913"/>
      <c r="BJ913"/>
      <c r="BK913"/>
    </row>
    <row r="914" spans="40:63" ht="12.75">
      <c r="AN914"/>
      <c r="AO914" s="293"/>
      <c r="AP914"/>
      <c r="AQ914" s="145"/>
      <c r="AR914"/>
      <c r="AS914"/>
      <c r="AT914"/>
      <c r="AU914"/>
      <c r="AV914"/>
      <c r="AW914"/>
      <c r="AX914"/>
      <c r="AY914"/>
      <c r="AZ914"/>
      <c r="BA914"/>
      <c r="BB914"/>
      <c r="BC914" s="578"/>
      <c r="BD914" s="578"/>
      <c r="BE914"/>
      <c r="BF914"/>
      <c r="BG914"/>
      <c r="BH914"/>
      <c r="BI914"/>
      <c r="BJ914"/>
      <c r="BK914"/>
    </row>
    <row r="915" spans="40:63" ht="12.75">
      <c r="AN915"/>
      <c r="AO915" s="293"/>
      <c r="AP915"/>
      <c r="AQ915" s="145"/>
      <c r="AR915"/>
      <c r="AS915"/>
      <c r="AT915"/>
      <c r="AU915"/>
      <c r="AV915"/>
      <c r="AW915"/>
      <c r="AX915"/>
      <c r="AY915"/>
      <c r="AZ915"/>
      <c r="BA915"/>
      <c r="BB915"/>
      <c r="BC915" s="578"/>
      <c r="BD915" s="578"/>
      <c r="BE915"/>
      <c r="BF915"/>
      <c r="BG915"/>
      <c r="BH915"/>
      <c r="BI915"/>
      <c r="BJ915"/>
      <c r="BK915"/>
    </row>
    <row r="916" spans="40:63" ht="12.75">
      <c r="AN916"/>
      <c r="AO916" s="293"/>
      <c r="AP916"/>
      <c r="AQ916" s="145"/>
      <c r="AR916"/>
      <c r="AS916"/>
      <c r="AT916"/>
      <c r="AU916"/>
      <c r="AV916"/>
      <c r="AW916"/>
      <c r="AX916"/>
      <c r="AY916"/>
      <c r="AZ916"/>
      <c r="BA916"/>
      <c r="BB916"/>
      <c r="BC916" s="578"/>
      <c r="BD916" s="578"/>
      <c r="BE916"/>
      <c r="BF916"/>
      <c r="BG916"/>
      <c r="BH916"/>
      <c r="BI916"/>
      <c r="BJ916"/>
      <c r="BK916"/>
    </row>
    <row r="917" spans="40:63" ht="12.75">
      <c r="AN917"/>
      <c r="AO917" s="293"/>
      <c r="AP917"/>
      <c r="AQ917" s="145"/>
      <c r="AR917"/>
      <c r="AS917"/>
      <c r="AT917"/>
      <c r="AU917"/>
      <c r="AV917"/>
      <c r="AW917"/>
      <c r="AX917"/>
      <c r="AY917"/>
      <c r="AZ917"/>
      <c r="BA917"/>
      <c r="BB917"/>
      <c r="BC917" s="578"/>
      <c r="BD917" s="578"/>
      <c r="BE917"/>
      <c r="BF917"/>
      <c r="BG917"/>
      <c r="BH917"/>
      <c r="BI917"/>
      <c r="BJ917"/>
      <c r="BK917"/>
    </row>
    <row r="918" spans="40:63" ht="12.75">
      <c r="AN918"/>
      <c r="AO918" s="293"/>
      <c r="AP918"/>
      <c r="AQ918" s="145"/>
      <c r="AR918"/>
      <c r="AS918"/>
      <c r="AT918"/>
      <c r="AU918"/>
      <c r="AV918"/>
      <c r="AW918"/>
      <c r="AX918"/>
      <c r="AY918"/>
      <c r="AZ918"/>
      <c r="BA918"/>
      <c r="BB918"/>
      <c r="BC918" s="578"/>
      <c r="BD918" s="578"/>
      <c r="BE918"/>
      <c r="BF918"/>
      <c r="BG918"/>
      <c r="BH918"/>
      <c r="BI918"/>
      <c r="BJ918"/>
      <c r="BK918"/>
    </row>
    <row r="919" spans="40:63" ht="12.75">
      <c r="AN919"/>
      <c r="AO919" s="293"/>
      <c r="AP919"/>
      <c r="AQ919" s="145"/>
      <c r="AR919"/>
      <c r="AS919"/>
      <c r="AT919"/>
      <c r="AU919"/>
      <c r="AV919"/>
      <c r="AW919"/>
      <c r="AX919"/>
      <c r="AY919"/>
      <c r="AZ919"/>
      <c r="BA919"/>
      <c r="BB919"/>
      <c r="BC919" s="578"/>
      <c r="BD919" s="578"/>
      <c r="BE919"/>
      <c r="BF919"/>
      <c r="BG919"/>
      <c r="BH919"/>
      <c r="BI919"/>
      <c r="BJ919"/>
      <c r="BK919"/>
    </row>
    <row r="920" spans="40:63" ht="12.75">
      <c r="AN920"/>
      <c r="AO920" s="293"/>
      <c r="AP920"/>
      <c r="AQ920" s="145"/>
      <c r="AR920"/>
      <c r="AS920"/>
      <c r="AT920"/>
      <c r="AU920"/>
      <c r="AV920"/>
      <c r="AW920"/>
      <c r="AX920"/>
      <c r="AY920"/>
      <c r="AZ920"/>
      <c r="BA920"/>
      <c r="BB920"/>
      <c r="BC920" s="578"/>
      <c r="BD920" s="578"/>
      <c r="BE920"/>
      <c r="BF920"/>
      <c r="BG920"/>
      <c r="BH920"/>
      <c r="BI920"/>
      <c r="BJ920"/>
      <c r="BK920"/>
    </row>
    <row r="921" spans="40:63" ht="12.75">
      <c r="AN921"/>
      <c r="AO921" s="293"/>
      <c r="AP921"/>
      <c r="AQ921" s="145"/>
      <c r="AR921"/>
      <c r="AS921"/>
      <c r="AT921"/>
      <c r="AU921"/>
      <c r="AV921"/>
      <c r="AW921"/>
      <c r="AX921"/>
      <c r="AY921"/>
      <c r="AZ921"/>
      <c r="BA921"/>
      <c r="BB921"/>
      <c r="BC921" s="578"/>
      <c r="BD921" s="578"/>
      <c r="BE921"/>
      <c r="BF921"/>
      <c r="BG921"/>
      <c r="BH921"/>
      <c r="BI921"/>
      <c r="BJ921"/>
      <c r="BK921"/>
    </row>
    <row r="922" spans="40:63" ht="12.75">
      <c r="AN922"/>
      <c r="AO922" s="293"/>
      <c r="AP922"/>
      <c r="AQ922" s="145"/>
      <c r="AR922"/>
      <c r="AS922"/>
      <c r="AT922"/>
      <c r="AU922"/>
      <c r="AV922"/>
      <c r="AW922"/>
      <c r="AX922"/>
      <c r="AY922"/>
      <c r="AZ922"/>
      <c r="BA922"/>
      <c r="BB922"/>
      <c r="BC922" s="578"/>
      <c r="BD922" s="578"/>
      <c r="BE922"/>
      <c r="BF922"/>
      <c r="BG922"/>
      <c r="BH922"/>
      <c r="BI922"/>
      <c r="BJ922"/>
      <c r="BK922"/>
    </row>
    <row r="923" spans="40:63" ht="12.75">
      <c r="AN923"/>
      <c r="AO923" s="293"/>
      <c r="AP923"/>
      <c r="AQ923" s="145"/>
      <c r="AR923"/>
      <c r="AS923"/>
      <c r="AT923"/>
      <c r="AU923"/>
      <c r="AV923"/>
      <c r="AW923"/>
      <c r="AX923"/>
      <c r="AY923"/>
      <c r="AZ923"/>
      <c r="BA923"/>
      <c r="BB923"/>
      <c r="BC923" s="578"/>
      <c r="BD923" s="578"/>
      <c r="BE923"/>
      <c r="BF923"/>
      <c r="BG923"/>
      <c r="BH923"/>
      <c r="BI923"/>
      <c r="BJ923"/>
      <c r="BK923"/>
    </row>
    <row r="924" spans="40:63" ht="12.75">
      <c r="AN924"/>
      <c r="AO924" s="293"/>
      <c r="AP924"/>
      <c r="AQ924" s="145"/>
      <c r="AR924"/>
      <c r="AS924"/>
      <c r="AT924"/>
      <c r="AU924"/>
      <c r="AV924"/>
      <c r="AW924"/>
      <c r="AX924"/>
      <c r="AY924"/>
      <c r="AZ924"/>
      <c r="BA924"/>
      <c r="BB924"/>
      <c r="BC924" s="578"/>
      <c r="BD924" s="578"/>
      <c r="BE924"/>
      <c r="BF924"/>
      <c r="BG924"/>
      <c r="BH924"/>
      <c r="BI924"/>
      <c r="BJ924"/>
      <c r="BK924"/>
    </row>
    <row r="925" spans="40:63" ht="12.75">
      <c r="AN925"/>
      <c r="AO925" s="293"/>
      <c r="AP925"/>
      <c r="AQ925" s="145"/>
      <c r="AR925"/>
      <c r="AS925"/>
      <c r="AT925"/>
      <c r="AU925"/>
      <c r="AV925"/>
      <c r="AW925"/>
      <c r="AX925"/>
      <c r="AY925"/>
      <c r="AZ925"/>
      <c r="BA925"/>
      <c r="BB925"/>
      <c r="BC925" s="578"/>
      <c r="BD925" s="578"/>
      <c r="BE925"/>
      <c r="BF925"/>
      <c r="BG925"/>
      <c r="BH925"/>
      <c r="BI925"/>
      <c r="BJ925"/>
      <c r="BK925"/>
    </row>
    <row r="926" spans="40:63" ht="12.75">
      <c r="AN926"/>
      <c r="AO926" s="293"/>
      <c r="AP926"/>
      <c r="AQ926" s="145"/>
      <c r="AR926"/>
      <c r="AS926"/>
      <c r="AT926"/>
      <c r="AU926"/>
      <c r="AV926"/>
      <c r="AW926"/>
      <c r="AX926"/>
      <c r="AY926"/>
      <c r="AZ926"/>
      <c r="BA926"/>
      <c r="BB926"/>
      <c r="BC926" s="578"/>
      <c r="BD926" s="578"/>
      <c r="BE926"/>
      <c r="BF926"/>
      <c r="BG926"/>
      <c r="BH926"/>
      <c r="BI926"/>
      <c r="BJ926"/>
      <c r="BK926"/>
    </row>
    <row r="927" spans="40:63" ht="12.75">
      <c r="AN927"/>
      <c r="AO927" s="293"/>
      <c r="AP927"/>
      <c r="AQ927" s="145"/>
      <c r="AR927"/>
      <c r="AS927"/>
      <c r="AT927"/>
      <c r="AU927"/>
      <c r="AV927"/>
      <c r="AW927"/>
      <c r="AX927"/>
      <c r="AY927"/>
      <c r="AZ927"/>
      <c r="BA927"/>
      <c r="BB927"/>
      <c r="BC927" s="578"/>
      <c r="BD927" s="578"/>
      <c r="BE927"/>
      <c r="BF927"/>
      <c r="BG927"/>
      <c r="BH927"/>
      <c r="BI927"/>
      <c r="BJ927"/>
      <c r="BK927"/>
    </row>
    <row r="928" spans="40:63" ht="12.75">
      <c r="AN928"/>
      <c r="AO928" s="293"/>
      <c r="AP928"/>
      <c r="AQ928" s="145"/>
      <c r="AR928"/>
      <c r="AS928"/>
      <c r="AT928"/>
      <c r="AU928"/>
      <c r="AV928"/>
      <c r="AW928"/>
      <c r="AX928"/>
      <c r="AY928"/>
      <c r="AZ928"/>
      <c r="BA928"/>
      <c r="BB928"/>
      <c r="BC928" s="578"/>
      <c r="BD928" s="578"/>
      <c r="BE928"/>
      <c r="BF928"/>
      <c r="BG928"/>
      <c r="BH928"/>
      <c r="BI928"/>
      <c r="BJ928"/>
      <c r="BK928"/>
    </row>
    <row r="929" spans="40:63" ht="12.75">
      <c r="AN929"/>
      <c r="AO929" s="293"/>
      <c r="AP929"/>
      <c r="AQ929" s="145"/>
      <c r="AR929"/>
      <c r="AS929"/>
      <c r="AT929"/>
      <c r="AU929"/>
      <c r="AV929"/>
      <c r="AW929"/>
      <c r="AX929"/>
      <c r="AY929"/>
      <c r="AZ929"/>
      <c r="BA929"/>
      <c r="BB929"/>
      <c r="BC929" s="578"/>
      <c r="BD929" s="578"/>
      <c r="BE929"/>
      <c r="BF929"/>
      <c r="BG929"/>
      <c r="BH929"/>
      <c r="BI929"/>
      <c r="BJ929"/>
      <c r="BK929"/>
    </row>
    <row r="930" spans="40:63" ht="12.75">
      <c r="AN930"/>
      <c r="AO930" s="293"/>
      <c r="AP930"/>
      <c r="AQ930" s="145"/>
      <c r="AR930"/>
      <c r="AS930"/>
      <c r="AT930"/>
      <c r="AU930"/>
      <c r="AV930"/>
      <c r="AW930"/>
      <c r="AX930"/>
      <c r="AY930"/>
      <c r="AZ930"/>
      <c r="BA930"/>
      <c r="BB930"/>
      <c r="BC930" s="578"/>
      <c r="BD930" s="578"/>
      <c r="BE930"/>
      <c r="BF930"/>
      <c r="BG930"/>
      <c r="BH930"/>
      <c r="BI930"/>
      <c r="BJ930"/>
      <c r="BK930"/>
    </row>
    <row r="931" spans="40:63" ht="12.75">
      <c r="AN931"/>
      <c r="AO931" s="293"/>
      <c r="AP931"/>
      <c r="AQ931" s="145"/>
      <c r="AR931"/>
      <c r="AS931"/>
      <c r="AT931"/>
      <c r="AU931"/>
      <c r="AV931"/>
      <c r="AW931"/>
      <c r="AX931"/>
      <c r="AY931"/>
      <c r="AZ931"/>
      <c r="BA931"/>
      <c r="BB931"/>
      <c r="BC931" s="578"/>
      <c r="BD931" s="578"/>
      <c r="BE931"/>
      <c r="BF931"/>
      <c r="BG931"/>
      <c r="BH931"/>
      <c r="BI931"/>
      <c r="BJ931"/>
      <c r="BK931"/>
    </row>
    <row r="932" spans="40:63" ht="12.75">
      <c r="AN932"/>
      <c r="AO932" s="293"/>
      <c r="AP932"/>
      <c r="AQ932" s="145"/>
      <c r="AR932"/>
      <c r="AS932"/>
      <c r="AT932"/>
      <c r="AU932"/>
      <c r="AV932"/>
      <c r="AW932"/>
      <c r="AX932"/>
      <c r="AY932"/>
      <c r="AZ932"/>
      <c r="BA932"/>
      <c r="BB932"/>
      <c r="BC932" s="578"/>
      <c r="BD932" s="578"/>
      <c r="BE932"/>
      <c r="BF932"/>
      <c r="BG932"/>
      <c r="BH932"/>
      <c r="BI932"/>
      <c r="BJ932"/>
      <c r="BK932"/>
    </row>
    <row r="933" spans="40:63" ht="12.75">
      <c r="AN933"/>
      <c r="AO933" s="293"/>
      <c r="AP933"/>
      <c r="AQ933" s="145"/>
      <c r="AR933"/>
      <c r="AS933"/>
      <c r="AT933"/>
      <c r="AU933"/>
      <c r="AV933"/>
      <c r="AW933"/>
      <c r="AX933"/>
      <c r="AY933"/>
      <c r="AZ933"/>
      <c r="BA933"/>
      <c r="BB933"/>
      <c r="BC933" s="578"/>
      <c r="BD933" s="578"/>
      <c r="BE933"/>
      <c r="BF933"/>
      <c r="BG933"/>
      <c r="BH933"/>
      <c r="BI933"/>
      <c r="BJ933"/>
      <c r="BK933"/>
    </row>
    <row r="934" spans="40:63" ht="12.75">
      <c r="AN934"/>
      <c r="AO934" s="293"/>
      <c r="AP934"/>
      <c r="AQ934" s="145"/>
      <c r="AR934"/>
      <c r="AS934"/>
      <c r="AT934"/>
      <c r="AU934"/>
      <c r="AV934"/>
      <c r="AW934"/>
      <c r="AX934"/>
      <c r="AY934"/>
      <c r="AZ934"/>
      <c r="BA934"/>
      <c r="BB934"/>
      <c r="BC934" s="578"/>
      <c r="BD934" s="578"/>
      <c r="BE934"/>
      <c r="BF934"/>
      <c r="BG934"/>
      <c r="BH934"/>
      <c r="BI934"/>
      <c r="BJ934"/>
      <c r="BK934"/>
    </row>
    <row r="935" spans="40:63" ht="12.75">
      <c r="AN935"/>
      <c r="AO935" s="293"/>
      <c r="AP935"/>
      <c r="AQ935" s="145"/>
      <c r="AR935"/>
      <c r="AS935"/>
      <c r="AT935"/>
      <c r="AU935"/>
      <c r="AV935"/>
      <c r="AW935"/>
      <c r="AX935"/>
      <c r="AY935"/>
      <c r="AZ935"/>
      <c r="BA935"/>
      <c r="BB935"/>
      <c r="BC935" s="578"/>
      <c r="BD935" s="578"/>
      <c r="BE935"/>
      <c r="BF935"/>
      <c r="BG935"/>
      <c r="BH935"/>
      <c r="BI935"/>
      <c r="BJ935"/>
      <c r="BK935"/>
    </row>
    <row r="936" spans="40:63" ht="12.75">
      <c r="AN936"/>
      <c r="AO936" s="293"/>
      <c r="AP936"/>
      <c r="AQ936" s="145"/>
      <c r="AR936"/>
      <c r="AS936"/>
      <c r="AT936"/>
      <c r="AU936"/>
      <c r="AV936"/>
      <c r="AW936"/>
      <c r="AX936"/>
      <c r="AY936"/>
      <c r="AZ936"/>
      <c r="BA936"/>
      <c r="BB936"/>
      <c r="BC936" s="578"/>
      <c r="BD936" s="578"/>
      <c r="BE936"/>
      <c r="BF936"/>
      <c r="BG936"/>
      <c r="BH936"/>
      <c r="BI936"/>
      <c r="BJ936"/>
      <c r="BK936"/>
    </row>
    <row r="937" spans="40:63" ht="12.75">
      <c r="AN937"/>
      <c r="AO937" s="293"/>
      <c r="AP937"/>
      <c r="AQ937" s="145"/>
      <c r="AR937"/>
      <c r="AS937"/>
      <c r="AT937"/>
      <c r="AU937"/>
      <c r="AV937"/>
      <c r="AW937"/>
      <c r="AX937"/>
      <c r="AY937"/>
      <c r="AZ937"/>
      <c r="BA937"/>
      <c r="BB937"/>
      <c r="BC937" s="578"/>
      <c r="BD937" s="578"/>
      <c r="BE937"/>
      <c r="BF937"/>
      <c r="BG937"/>
      <c r="BH937"/>
      <c r="BI937"/>
      <c r="BJ937"/>
      <c r="BK937"/>
    </row>
    <row r="938" spans="40:63" ht="12.75">
      <c r="AN938"/>
      <c r="AO938" s="293"/>
      <c r="AP938"/>
      <c r="AQ938" s="145"/>
      <c r="AR938"/>
      <c r="AS938"/>
      <c r="AT938"/>
      <c r="AU938"/>
      <c r="AV938"/>
      <c r="AW938"/>
      <c r="AX938"/>
      <c r="AY938"/>
      <c r="AZ938"/>
      <c r="BA938"/>
      <c r="BB938"/>
      <c r="BC938" s="578"/>
      <c r="BD938" s="578"/>
      <c r="BE938"/>
      <c r="BF938"/>
      <c r="BG938"/>
      <c r="BH938"/>
      <c r="BI938"/>
      <c r="BJ938"/>
      <c r="BK938"/>
    </row>
    <row r="939" spans="40:63" ht="12.75">
      <c r="AN939"/>
      <c r="AO939" s="293"/>
      <c r="AP939"/>
      <c r="AQ939" s="145"/>
      <c r="AR939"/>
      <c r="AS939"/>
      <c r="AT939"/>
      <c r="AU939"/>
      <c r="AV939"/>
      <c r="AW939"/>
      <c r="AX939"/>
      <c r="AY939"/>
      <c r="AZ939"/>
      <c r="BA939"/>
      <c r="BB939"/>
      <c r="BC939" s="578"/>
      <c r="BD939" s="578"/>
      <c r="BE939"/>
      <c r="BF939"/>
      <c r="BG939"/>
      <c r="BH939"/>
      <c r="BI939"/>
      <c r="BJ939"/>
      <c r="BK939"/>
    </row>
    <row r="940" spans="40:63" ht="12.75">
      <c r="AN940"/>
      <c r="AO940" s="293"/>
      <c r="AP940"/>
      <c r="AQ940" s="145"/>
      <c r="AR940"/>
      <c r="AS940"/>
      <c r="AT940"/>
      <c r="AU940"/>
      <c r="AV940"/>
      <c r="AW940"/>
      <c r="AX940"/>
      <c r="AY940"/>
      <c r="AZ940"/>
      <c r="BA940"/>
      <c r="BB940"/>
      <c r="BC940" s="578"/>
      <c r="BD940" s="578"/>
      <c r="BE940"/>
      <c r="BF940"/>
      <c r="BG940"/>
      <c r="BH940"/>
      <c r="BI940"/>
      <c r="BJ940"/>
      <c r="BK940"/>
    </row>
    <row r="941" spans="40:63" ht="12.75">
      <c r="AN941"/>
      <c r="AO941" s="293"/>
      <c r="AP941"/>
      <c r="AQ941" s="145"/>
      <c r="AR941"/>
      <c r="AS941"/>
      <c r="AT941"/>
      <c r="AU941"/>
      <c r="AV941"/>
      <c r="AW941"/>
      <c r="AX941"/>
      <c r="AY941"/>
      <c r="AZ941"/>
      <c r="BA941"/>
      <c r="BB941"/>
      <c r="BC941" s="578"/>
      <c r="BD941" s="578"/>
      <c r="BE941"/>
      <c r="BF941"/>
      <c r="BG941"/>
      <c r="BH941"/>
      <c r="BI941"/>
      <c r="BJ941"/>
      <c r="BK941"/>
    </row>
    <row r="942" spans="40:63" ht="12.75">
      <c r="AN942"/>
      <c r="AO942" s="293"/>
      <c r="AP942"/>
      <c r="AQ942" s="145"/>
      <c r="AR942"/>
      <c r="AS942"/>
      <c r="AT942"/>
      <c r="AU942"/>
      <c r="AV942"/>
      <c r="AW942"/>
      <c r="AX942"/>
      <c r="AY942"/>
      <c r="AZ942"/>
      <c r="BA942"/>
      <c r="BB942"/>
      <c r="BC942" s="578"/>
      <c r="BD942" s="578"/>
      <c r="BE942"/>
      <c r="BF942"/>
      <c r="BG942"/>
      <c r="BH942"/>
      <c r="BI942"/>
      <c r="BJ942"/>
      <c r="BK942"/>
    </row>
    <row r="943" spans="40:63" ht="12.75">
      <c r="AN943"/>
      <c r="AO943" s="293"/>
      <c r="AP943"/>
      <c r="AQ943" s="145"/>
      <c r="AR943"/>
      <c r="AS943"/>
      <c r="AT943"/>
      <c r="AU943"/>
      <c r="AV943"/>
      <c r="AW943"/>
      <c r="AX943"/>
      <c r="AY943"/>
      <c r="AZ943"/>
      <c r="BA943"/>
      <c r="BB943"/>
      <c r="BC943" s="578"/>
      <c r="BD943" s="578"/>
      <c r="BE943"/>
      <c r="BF943"/>
      <c r="BG943"/>
      <c r="BH943"/>
      <c r="BI943"/>
      <c r="BJ943"/>
      <c r="BK943"/>
    </row>
    <row r="944" spans="40:63" ht="12.75">
      <c r="AN944"/>
      <c r="AO944" s="293"/>
      <c r="AP944"/>
      <c r="AQ944" s="145"/>
      <c r="AR944"/>
      <c r="AS944"/>
      <c r="AT944"/>
      <c r="AU944"/>
      <c r="AV944"/>
      <c r="AW944"/>
      <c r="AX944"/>
      <c r="AY944"/>
      <c r="AZ944"/>
      <c r="BA944"/>
      <c r="BB944"/>
      <c r="BC944" s="578"/>
      <c r="BD944" s="578"/>
      <c r="BE944"/>
      <c r="BF944"/>
      <c r="BG944"/>
      <c r="BH944"/>
      <c r="BI944"/>
      <c r="BJ944"/>
      <c r="BK944"/>
    </row>
    <row r="945" spans="40:63" ht="12.75">
      <c r="AN945"/>
      <c r="AO945" s="293"/>
      <c r="AP945"/>
      <c r="AQ945" s="145"/>
      <c r="AR945"/>
      <c r="AS945"/>
      <c r="AT945"/>
      <c r="AU945"/>
      <c r="AV945"/>
      <c r="AW945"/>
      <c r="AX945"/>
      <c r="AY945"/>
      <c r="AZ945"/>
      <c r="BA945"/>
      <c r="BB945"/>
      <c r="BC945" s="578"/>
      <c r="BD945" s="578"/>
      <c r="BE945"/>
      <c r="BF945"/>
      <c r="BG945"/>
      <c r="BH945"/>
      <c r="BI945"/>
      <c r="BJ945"/>
      <c r="BK945"/>
    </row>
    <row r="946" spans="40:63" ht="12.75">
      <c r="AN946"/>
      <c r="AO946" s="293"/>
      <c r="AP946"/>
      <c r="AQ946" s="145"/>
      <c r="AR946"/>
      <c r="AS946"/>
      <c r="AT946"/>
      <c r="AU946"/>
      <c r="AV946"/>
      <c r="AW946"/>
      <c r="AX946"/>
      <c r="AY946"/>
      <c r="AZ946"/>
      <c r="BA946"/>
      <c r="BB946"/>
      <c r="BC946" s="578"/>
      <c r="BD946" s="578"/>
      <c r="BE946"/>
      <c r="BF946"/>
      <c r="BG946"/>
      <c r="BH946"/>
      <c r="BI946"/>
      <c r="BJ946"/>
      <c r="BK946"/>
    </row>
    <row r="947" spans="40:63" ht="12.75">
      <c r="AN947"/>
      <c r="AO947" s="293"/>
      <c r="AP947"/>
      <c r="AQ947" s="145"/>
      <c r="AR947"/>
      <c r="AS947"/>
      <c r="AT947"/>
      <c r="AU947"/>
      <c r="AV947"/>
      <c r="AW947"/>
      <c r="AX947"/>
      <c r="AY947"/>
      <c r="AZ947"/>
      <c r="BA947"/>
      <c r="BB947"/>
      <c r="BC947" s="578"/>
      <c r="BD947" s="578"/>
      <c r="BE947"/>
      <c r="BF947"/>
      <c r="BG947"/>
      <c r="BH947"/>
      <c r="BI947"/>
      <c r="BJ947"/>
      <c r="BK947"/>
    </row>
    <row r="948" spans="40:63" ht="12.75">
      <c r="AN948"/>
      <c r="AO948" s="293"/>
      <c r="AP948"/>
      <c r="AQ948" s="145"/>
      <c r="AR948"/>
      <c r="AS948"/>
      <c r="AT948"/>
      <c r="AU948"/>
      <c r="AV948"/>
      <c r="AW948"/>
      <c r="AX948"/>
      <c r="AY948"/>
      <c r="AZ948"/>
      <c r="BA948"/>
      <c r="BB948"/>
      <c r="BC948" s="578"/>
      <c r="BD948" s="578"/>
      <c r="BE948"/>
      <c r="BF948"/>
      <c r="BG948"/>
      <c r="BH948"/>
      <c r="BI948"/>
      <c r="BJ948"/>
      <c r="BK948"/>
    </row>
    <row r="949" spans="40:63" ht="12.75">
      <c r="AN949"/>
      <c r="AO949" s="293"/>
      <c r="AP949"/>
      <c r="AQ949" s="145"/>
      <c r="AR949"/>
      <c r="AS949"/>
      <c r="AT949"/>
      <c r="AU949"/>
      <c r="AV949"/>
      <c r="AW949"/>
      <c r="AX949"/>
      <c r="AY949"/>
      <c r="AZ949"/>
      <c r="BA949"/>
      <c r="BB949"/>
      <c r="BC949" s="578"/>
      <c r="BD949" s="578"/>
      <c r="BE949"/>
      <c r="BF949"/>
      <c r="BG949"/>
      <c r="BH949"/>
      <c r="BI949"/>
      <c r="BJ949"/>
      <c r="BK949"/>
    </row>
    <row r="950" spans="40:63" ht="12.75">
      <c r="AN950"/>
      <c r="AO950" s="293"/>
      <c r="AP950"/>
      <c r="AQ950" s="145"/>
      <c r="AR950"/>
      <c r="AS950"/>
      <c r="AT950"/>
      <c r="AU950"/>
      <c r="AV950"/>
      <c r="AW950"/>
      <c r="AX950"/>
      <c r="AY950"/>
      <c r="AZ950"/>
      <c r="BA950"/>
      <c r="BB950"/>
      <c r="BC950" s="578"/>
      <c r="BD950" s="578"/>
      <c r="BE950"/>
      <c r="BF950"/>
      <c r="BG950"/>
      <c r="BH950"/>
      <c r="BI950"/>
      <c r="BJ950"/>
      <c r="BK950"/>
    </row>
    <row r="951" spans="40:63" ht="12.75">
      <c r="AN951"/>
      <c r="AO951" s="293"/>
      <c r="AP951"/>
      <c r="AQ951" s="145"/>
      <c r="AR951"/>
      <c r="AS951"/>
      <c r="AT951"/>
      <c r="AU951"/>
      <c r="AV951"/>
      <c r="AW951"/>
      <c r="AX951"/>
      <c r="AY951"/>
      <c r="AZ951"/>
      <c r="BA951"/>
      <c r="BB951"/>
      <c r="BC951" s="578"/>
      <c r="BD951" s="578"/>
      <c r="BE951"/>
      <c r="BF951"/>
      <c r="BG951"/>
      <c r="BH951"/>
      <c r="BI951"/>
      <c r="BJ951"/>
      <c r="BK951"/>
    </row>
    <row r="952" spans="40:63" ht="12.75">
      <c r="AN952"/>
      <c r="AO952" s="293"/>
      <c r="AP952"/>
      <c r="AQ952" s="145"/>
      <c r="AR952"/>
      <c r="AS952"/>
      <c r="AT952"/>
      <c r="AU952"/>
      <c r="AV952"/>
      <c r="AW952"/>
      <c r="AX952"/>
      <c r="AY952"/>
      <c r="AZ952"/>
      <c r="BA952"/>
      <c r="BB952"/>
      <c r="BC952" s="578"/>
      <c r="BD952" s="578"/>
      <c r="BE952"/>
      <c r="BF952"/>
      <c r="BG952"/>
      <c r="BH952"/>
      <c r="BI952"/>
      <c r="BJ952"/>
      <c r="BK952"/>
    </row>
    <row r="953" spans="40:63" ht="12.75">
      <c r="AN953"/>
      <c r="AO953" s="293"/>
      <c r="AP953"/>
      <c r="AQ953" s="145"/>
      <c r="AR953"/>
      <c r="AS953"/>
      <c r="AT953"/>
      <c r="AU953"/>
      <c r="AV953"/>
      <c r="AW953"/>
      <c r="AX953"/>
      <c r="AY953"/>
      <c r="AZ953"/>
      <c r="BA953"/>
      <c r="BB953"/>
      <c r="BC953" s="578"/>
      <c r="BD953" s="578"/>
      <c r="BE953"/>
      <c r="BF953"/>
      <c r="BG953"/>
      <c r="BH953"/>
      <c r="BI953"/>
      <c r="BJ953"/>
      <c r="BK953"/>
    </row>
    <row r="954" spans="40:63" ht="12.75">
      <c r="AN954"/>
      <c r="AO954" s="293"/>
      <c r="AP954"/>
      <c r="AQ954" s="145"/>
      <c r="AR954"/>
      <c r="AS954"/>
      <c r="AT954"/>
      <c r="AU954"/>
      <c r="AV954"/>
      <c r="AW954"/>
      <c r="AX954"/>
      <c r="AY954"/>
      <c r="AZ954"/>
      <c r="BA954"/>
      <c r="BB954"/>
      <c r="BC954" s="578"/>
      <c r="BD954" s="578"/>
      <c r="BE954"/>
      <c r="BF954"/>
      <c r="BG954"/>
      <c r="BH954"/>
      <c r="BI954"/>
      <c r="BJ954"/>
      <c r="BK954"/>
    </row>
    <row r="955" spans="40:63" ht="12.75">
      <c r="AN955"/>
      <c r="AO955" s="293"/>
      <c r="AP955"/>
      <c r="AQ955" s="145"/>
      <c r="AR955"/>
      <c r="AS955"/>
      <c r="AT955"/>
      <c r="AU955"/>
      <c r="AV955"/>
      <c r="AW955"/>
      <c r="AX955"/>
      <c r="AY955"/>
      <c r="AZ955"/>
      <c r="BA955"/>
      <c r="BB955"/>
      <c r="BC955" s="578"/>
      <c r="BD955" s="578"/>
      <c r="BE955"/>
      <c r="BF955"/>
      <c r="BG955"/>
      <c r="BH955"/>
      <c r="BI955"/>
      <c r="BJ955"/>
      <c r="BK955"/>
    </row>
    <row r="956" spans="40:63" ht="12.75">
      <c r="AN956"/>
      <c r="AO956" s="293"/>
      <c r="AP956"/>
      <c r="AQ956" s="145"/>
      <c r="AR956"/>
      <c r="AS956"/>
      <c r="AT956"/>
      <c r="AU956"/>
      <c r="AV956"/>
      <c r="AW956"/>
      <c r="AX956"/>
      <c r="AY956"/>
      <c r="AZ956"/>
      <c r="BA956"/>
      <c r="BB956"/>
      <c r="BC956" s="578"/>
      <c r="BD956" s="578"/>
      <c r="BE956"/>
      <c r="BF956"/>
      <c r="BG956"/>
      <c r="BH956"/>
      <c r="BI956"/>
      <c r="BJ956"/>
      <c r="BK956"/>
    </row>
    <row r="957" spans="40:63" ht="12.75">
      <c r="AN957"/>
      <c r="AO957" s="293"/>
      <c r="AP957"/>
      <c r="AQ957" s="145"/>
      <c r="AR957"/>
      <c r="AS957"/>
      <c r="AT957"/>
      <c r="AU957"/>
      <c r="AV957"/>
      <c r="AW957"/>
      <c r="AX957"/>
      <c r="AY957"/>
      <c r="AZ957"/>
      <c r="BA957"/>
      <c r="BB957"/>
      <c r="BC957" s="578"/>
      <c r="BD957" s="578"/>
      <c r="BE957"/>
      <c r="BF957"/>
      <c r="BG957"/>
      <c r="BH957"/>
      <c r="BI957"/>
      <c r="BJ957"/>
      <c r="BK957"/>
    </row>
    <row r="958" spans="40:63" ht="12.75">
      <c r="AN958"/>
      <c r="AO958" s="293"/>
      <c r="AP958"/>
      <c r="AQ958" s="145"/>
      <c r="AR958"/>
      <c r="AS958"/>
      <c r="AT958"/>
      <c r="AU958"/>
      <c r="AV958"/>
      <c r="AW958"/>
      <c r="AX958"/>
      <c r="AY958"/>
      <c r="AZ958"/>
      <c r="BA958"/>
      <c r="BB958"/>
      <c r="BC958" s="578"/>
      <c r="BD958" s="578"/>
      <c r="BE958"/>
      <c r="BF958"/>
      <c r="BG958"/>
      <c r="BH958"/>
      <c r="BI958"/>
      <c r="BJ958"/>
      <c r="BK958"/>
    </row>
    <row r="959" spans="40:63" ht="12.75">
      <c r="AN959"/>
      <c r="AO959" s="293"/>
      <c r="AP959"/>
      <c r="AQ959" s="145"/>
      <c r="AR959"/>
      <c r="AS959"/>
      <c r="AT959"/>
      <c r="AU959"/>
      <c r="AV959"/>
      <c r="AW959"/>
      <c r="AX959"/>
      <c r="AY959"/>
      <c r="AZ959"/>
      <c r="BA959"/>
      <c r="BB959"/>
      <c r="BC959" s="578"/>
      <c r="BD959" s="578"/>
      <c r="BE959"/>
      <c r="BF959"/>
      <c r="BG959"/>
      <c r="BH959"/>
      <c r="BI959"/>
      <c r="BJ959"/>
      <c r="BK959"/>
    </row>
    <row r="960" spans="40:63" ht="12.75">
      <c r="AN960"/>
      <c r="AO960" s="293"/>
      <c r="AP960"/>
      <c r="AQ960" s="145"/>
      <c r="AR960"/>
      <c r="AS960"/>
      <c r="AT960"/>
      <c r="AU960"/>
      <c r="AV960"/>
      <c r="AW960"/>
      <c r="AX960"/>
      <c r="AY960"/>
      <c r="AZ960"/>
      <c r="BA960"/>
      <c r="BB960"/>
      <c r="BC960" s="578"/>
      <c r="BD960" s="578"/>
      <c r="BE960"/>
      <c r="BF960"/>
      <c r="BG960"/>
      <c r="BH960"/>
      <c r="BI960"/>
      <c r="BJ960"/>
      <c r="BK960"/>
    </row>
    <row r="961" spans="40:63" ht="12.75">
      <c r="AN961"/>
      <c r="AO961" s="293"/>
      <c r="AP961"/>
      <c r="AQ961" s="145"/>
      <c r="AR961"/>
      <c r="AS961"/>
      <c r="AT961"/>
      <c r="AU961"/>
      <c r="AV961"/>
      <c r="AW961"/>
      <c r="AX961"/>
      <c r="AY961"/>
      <c r="AZ961"/>
      <c r="BA961"/>
      <c r="BB961"/>
      <c r="BC961" s="578"/>
      <c r="BD961" s="578"/>
      <c r="BE961"/>
      <c r="BF961"/>
      <c r="BG961"/>
      <c r="BH961"/>
      <c r="BI961"/>
      <c r="BJ961"/>
      <c r="BK961"/>
    </row>
    <row r="962" spans="40:63" ht="12.75">
      <c r="AN962"/>
      <c r="AO962" s="293"/>
      <c r="AP962"/>
      <c r="AQ962" s="145"/>
      <c r="AR962"/>
      <c r="AS962"/>
      <c r="AT962"/>
      <c r="AU962"/>
      <c r="AV962"/>
      <c r="AW962"/>
      <c r="AX962"/>
      <c r="AY962"/>
      <c r="AZ962"/>
      <c r="BA962"/>
      <c r="BB962"/>
      <c r="BC962" s="578"/>
      <c r="BD962" s="578"/>
      <c r="BE962"/>
      <c r="BF962"/>
      <c r="BG962"/>
      <c r="BH962"/>
      <c r="BI962"/>
      <c r="BJ962"/>
      <c r="BK962"/>
    </row>
    <row r="963" spans="40:63" ht="12.75">
      <c r="AN963"/>
      <c r="AO963" s="293"/>
      <c r="AP963"/>
      <c r="AQ963" s="145"/>
      <c r="AR963"/>
      <c r="AS963"/>
      <c r="AT963"/>
      <c r="AU963"/>
      <c r="AV963"/>
      <c r="AW963"/>
      <c r="AX963"/>
      <c r="AY963"/>
      <c r="AZ963"/>
      <c r="BA963"/>
      <c r="BB963"/>
      <c r="BC963" s="578"/>
      <c r="BD963" s="578"/>
      <c r="BE963"/>
      <c r="BF963"/>
      <c r="BG963"/>
      <c r="BH963"/>
      <c r="BI963"/>
      <c r="BJ963"/>
      <c r="BK963"/>
    </row>
    <row r="964" spans="40:63" ht="12.75">
      <c r="AN964"/>
      <c r="AO964" s="293"/>
      <c r="AP964"/>
      <c r="AQ964" s="145"/>
      <c r="AR964"/>
      <c r="AS964"/>
      <c r="AT964"/>
      <c r="AU964"/>
      <c r="AV964"/>
      <c r="AW964"/>
      <c r="AX964"/>
      <c r="AY964"/>
      <c r="AZ964"/>
      <c r="BA964"/>
      <c r="BB964"/>
      <c r="BC964" s="578"/>
      <c r="BD964" s="578"/>
      <c r="BE964"/>
      <c r="BF964"/>
      <c r="BG964"/>
      <c r="BH964"/>
      <c r="BI964"/>
      <c r="BJ964"/>
      <c r="BK964"/>
    </row>
    <row r="965" spans="40:63" ht="12.75">
      <c r="AN965"/>
      <c r="AO965" s="293"/>
      <c r="AP965"/>
      <c r="AQ965" s="145"/>
      <c r="AR965"/>
      <c r="AS965"/>
      <c r="AT965"/>
      <c r="AU965"/>
      <c r="AV965"/>
      <c r="AW965"/>
      <c r="AX965"/>
      <c r="AY965"/>
      <c r="AZ965"/>
      <c r="BA965"/>
      <c r="BB965"/>
      <c r="BC965" s="578"/>
      <c r="BD965" s="578"/>
      <c r="BE965"/>
      <c r="BF965"/>
      <c r="BG965"/>
      <c r="BH965"/>
      <c r="BI965"/>
      <c r="BJ965"/>
      <c r="BK965"/>
    </row>
    <row r="966" spans="40:63" ht="12.75">
      <c r="AN966"/>
      <c r="AO966" s="293"/>
      <c r="AP966"/>
      <c r="AQ966" s="145"/>
      <c r="AR966"/>
      <c r="AS966"/>
      <c r="AT966"/>
      <c r="AU966"/>
      <c r="AV966"/>
      <c r="AW966"/>
      <c r="AX966"/>
      <c r="AY966"/>
      <c r="AZ966"/>
      <c r="BA966"/>
      <c r="BB966"/>
      <c r="BC966" s="578"/>
      <c r="BD966" s="578"/>
      <c r="BE966"/>
      <c r="BF966"/>
      <c r="BG966"/>
      <c r="BH966"/>
      <c r="BI966"/>
      <c r="BJ966"/>
      <c r="BK966"/>
    </row>
    <row r="967" spans="40:63" ht="12.75">
      <c r="AN967"/>
      <c r="AO967" s="293"/>
      <c r="AP967"/>
      <c r="AQ967" s="145"/>
      <c r="AR967"/>
      <c r="AS967"/>
      <c r="AT967"/>
      <c r="AU967"/>
      <c r="AV967"/>
      <c r="AW967"/>
      <c r="AX967"/>
      <c r="AY967"/>
      <c r="AZ967"/>
      <c r="BA967"/>
      <c r="BB967"/>
      <c r="BC967" s="578"/>
      <c r="BD967" s="578"/>
      <c r="BE967"/>
      <c r="BF967"/>
      <c r="BG967"/>
      <c r="BH967"/>
      <c r="BI967"/>
      <c r="BJ967"/>
      <c r="BK967"/>
    </row>
    <row r="968" spans="40:63" ht="12.75">
      <c r="AN968"/>
      <c r="AO968" s="293"/>
      <c r="AP968"/>
      <c r="AQ968" s="145"/>
      <c r="AR968"/>
      <c r="AS968"/>
      <c r="AT968"/>
      <c r="AU968"/>
      <c r="AV968"/>
      <c r="AW968"/>
      <c r="AX968"/>
      <c r="AY968"/>
      <c r="AZ968"/>
      <c r="BA968"/>
      <c r="BB968"/>
      <c r="BC968" s="578"/>
      <c r="BD968" s="578"/>
      <c r="BE968"/>
      <c r="BF968"/>
      <c r="BG968"/>
      <c r="BH968"/>
      <c r="BI968"/>
      <c r="BJ968"/>
      <c r="BK968"/>
    </row>
    <row r="969" spans="40:63" ht="12.75">
      <c r="AN969"/>
      <c r="AO969" s="293"/>
      <c r="AP969"/>
      <c r="AQ969" s="145"/>
      <c r="AR969"/>
      <c r="AS969"/>
      <c r="AT969"/>
      <c r="AU969"/>
      <c r="AV969"/>
      <c r="AW969"/>
      <c r="AX969"/>
      <c r="AY969"/>
      <c r="AZ969"/>
      <c r="BA969"/>
      <c r="BB969"/>
      <c r="BC969" s="578"/>
      <c r="BD969" s="578"/>
      <c r="BE969"/>
      <c r="BF969"/>
      <c r="BG969"/>
      <c r="BH969"/>
      <c r="BI969"/>
      <c r="BJ969"/>
      <c r="BK969"/>
    </row>
    <row r="970" spans="40:63" ht="12.75">
      <c r="AN970"/>
      <c r="AO970" s="293"/>
      <c r="AP970"/>
      <c r="AQ970" s="145"/>
      <c r="AR970"/>
      <c r="AS970"/>
      <c r="AT970"/>
      <c r="AU970"/>
      <c r="AV970"/>
      <c r="AW970"/>
      <c r="AX970"/>
      <c r="AY970"/>
      <c r="AZ970"/>
      <c r="BA970"/>
      <c r="BB970"/>
      <c r="BC970" s="578"/>
      <c r="BD970" s="578"/>
      <c r="BE970"/>
      <c r="BF970"/>
      <c r="BG970"/>
      <c r="BH970"/>
      <c r="BI970"/>
      <c r="BJ970"/>
      <c r="BK970"/>
    </row>
    <row r="971" spans="40:63" ht="12.75">
      <c r="AN971"/>
      <c r="AO971" s="293"/>
      <c r="AP971"/>
      <c r="AQ971" s="145"/>
      <c r="AR971"/>
      <c r="AS971"/>
      <c r="AT971"/>
      <c r="AU971"/>
      <c r="AV971"/>
      <c r="AW971"/>
      <c r="AX971"/>
      <c r="AY971"/>
      <c r="AZ971"/>
      <c r="BA971"/>
      <c r="BB971"/>
      <c r="BC971" s="578"/>
      <c r="BD971" s="578"/>
      <c r="BE971"/>
      <c r="BF971"/>
      <c r="BG971"/>
      <c r="BH971"/>
      <c r="BI971"/>
      <c r="BJ971"/>
      <c r="BK971"/>
    </row>
    <row r="972" spans="40:63" ht="12.75">
      <c r="AN972"/>
      <c r="AO972" s="293"/>
      <c r="AP972"/>
      <c r="AQ972" s="145"/>
      <c r="AR972"/>
      <c r="AS972"/>
      <c r="AT972"/>
      <c r="AU972"/>
      <c r="AV972"/>
      <c r="AW972"/>
      <c r="AX972"/>
      <c r="AY972"/>
      <c r="AZ972"/>
      <c r="BA972"/>
      <c r="BB972"/>
      <c r="BC972" s="578"/>
      <c r="BD972" s="578"/>
      <c r="BE972"/>
      <c r="BF972"/>
      <c r="BG972"/>
      <c r="BH972"/>
      <c r="BI972"/>
      <c r="BJ972"/>
      <c r="BK972"/>
    </row>
    <row r="973" spans="40:63" ht="12.75">
      <c r="AN973"/>
      <c r="AO973" s="293"/>
      <c r="AP973"/>
      <c r="AQ973" s="145"/>
      <c r="AR973"/>
      <c r="AS973"/>
      <c r="AT973"/>
      <c r="AU973"/>
      <c r="AV973"/>
      <c r="AW973"/>
      <c r="AX973"/>
      <c r="AY973"/>
      <c r="AZ973"/>
      <c r="BA973"/>
      <c r="BB973"/>
      <c r="BC973" s="578"/>
      <c r="BD973" s="578"/>
      <c r="BE973"/>
      <c r="BF973"/>
      <c r="BG973"/>
      <c r="BH973"/>
      <c r="BI973"/>
      <c r="BJ973"/>
      <c r="BK973"/>
    </row>
    <row r="974" spans="40:63" ht="12.75">
      <c r="AN974"/>
      <c r="AO974" s="293"/>
      <c r="AP974"/>
      <c r="AQ974" s="145"/>
      <c r="AR974"/>
      <c r="AS974"/>
      <c r="AT974"/>
      <c r="AU974"/>
      <c r="AV974"/>
      <c r="AW974"/>
      <c r="AX974"/>
      <c r="AY974"/>
      <c r="AZ974"/>
      <c r="BA974"/>
      <c r="BB974"/>
      <c r="BC974" s="578"/>
      <c r="BD974" s="578"/>
      <c r="BE974"/>
      <c r="BF974"/>
      <c r="BG974"/>
      <c r="BH974"/>
      <c r="BI974"/>
      <c r="BJ974"/>
      <c r="BK974"/>
    </row>
    <row r="975" spans="40:63" ht="12.75">
      <c r="AN975"/>
      <c r="AO975" s="293"/>
      <c r="AP975"/>
      <c r="AQ975" s="145"/>
      <c r="AR975"/>
      <c r="AS975"/>
      <c r="AT975"/>
      <c r="AU975"/>
      <c r="AV975"/>
      <c r="AW975"/>
      <c r="AX975"/>
      <c r="AY975"/>
      <c r="AZ975"/>
      <c r="BA975"/>
      <c r="BB975"/>
      <c r="BC975" s="578"/>
      <c r="BD975" s="578"/>
      <c r="BE975"/>
      <c r="BF975"/>
      <c r="BG975"/>
      <c r="BH975"/>
      <c r="BI975"/>
      <c r="BJ975"/>
      <c r="BK975"/>
    </row>
    <row r="976" spans="40:63" ht="12.75">
      <c r="AN976"/>
      <c r="AO976" s="293"/>
      <c r="AP976"/>
      <c r="AQ976" s="145"/>
      <c r="AR976"/>
      <c r="AS976"/>
      <c r="AT976"/>
      <c r="AU976"/>
      <c r="AV976"/>
      <c r="AW976"/>
      <c r="AX976"/>
      <c r="AY976"/>
      <c r="AZ976"/>
      <c r="BA976"/>
      <c r="BB976"/>
      <c r="BC976" s="578"/>
      <c r="BD976" s="578"/>
      <c r="BE976"/>
      <c r="BF976"/>
      <c r="BG976"/>
      <c r="BH976"/>
      <c r="BI976"/>
      <c r="BJ976"/>
      <c r="BK976"/>
    </row>
    <row r="977" spans="40:63" ht="12.75">
      <c r="AN977"/>
      <c r="AO977" s="293"/>
      <c r="AP977"/>
      <c r="AQ977" s="145"/>
      <c r="AR977"/>
      <c r="AS977"/>
      <c r="AT977"/>
      <c r="AU977"/>
      <c r="AV977"/>
      <c r="AW977"/>
      <c r="AX977"/>
      <c r="AY977"/>
      <c r="AZ977"/>
      <c r="BA977"/>
      <c r="BB977"/>
      <c r="BC977" s="578"/>
      <c r="BD977" s="578"/>
      <c r="BE977"/>
      <c r="BF977"/>
      <c r="BG977"/>
      <c r="BH977"/>
      <c r="BI977"/>
      <c r="BJ977"/>
      <c r="BK977"/>
    </row>
    <row r="978" spans="40:63" ht="12.75">
      <c r="AN978"/>
      <c r="AO978" s="293"/>
      <c r="AP978"/>
      <c r="AQ978" s="145"/>
      <c r="AR978"/>
      <c r="AS978"/>
      <c r="AT978"/>
      <c r="AU978"/>
      <c r="AV978"/>
      <c r="AW978"/>
      <c r="AX978"/>
      <c r="AY978"/>
      <c r="AZ978"/>
      <c r="BA978"/>
      <c r="BB978"/>
      <c r="BC978" s="578"/>
      <c r="BD978" s="578"/>
      <c r="BE978"/>
      <c r="BF978"/>
      <c r="BG978"/>
      <c r="BH978"/>
      <c r="BI978"/>
      <c r="BJ978"/>
      <c r="BK978"/>
    </row>
    <row r="979" spans="40:63" ht="12.75">
      <c r="AN979"/>
      <c r="AO979" s="293"/>
      <c r="AP979"/>
      <c r="AQ979" s="145"/>
      <c r="AR979"/>
      <c r="AS979"/>
      <c r="AT979"/>
      <c r="AU979"/>
      <c r="AV979"/>
      <c r="AW979"/>
      <c r="AX979"/>
      <c r="AY979"/>
      <c r="AZ979"/>
      <c r="BA979"/>
      <c r="BB979"/>
      <c r="BC979" s="578"/>
      <c r="BD979" s="578"/>
      <c r="BE979"/>
      <c r="BF979"/>
      <c r="BG979"/>
      <c r="BH979"/>
      <c r="BI979"/>
      <c r="BJ979"/>
      <c r="BK979"/>
    </row>
    <row r="980" spans="40:63" ht="12.75">
      <c r="AN980"/>
      <c r="AO980" s="293"/>
      <c r="AP980"/>
      <c r="AQ980" s="145"/>
      <c r="AR980"/>
      <c r="AS980"/>
      <c r="AT980"/>
      <c r="AU980"/>
      <c r="AV980"/>
      <c r="AW980"/>
      <c r="AX980"/>
      <c r="AY980"/>
      <c r="AZ980"/>
      <c r="BA980"/>
      <c r="BB980"/>
      <c r="BC980" s="578"/>
      <c r="BD980" s="578"/>
      <c r="BE980"/>
      <c r="BF980"/>
      <c r="BG980"/>
      <c r="BH980"/>
      <c r="BI980"/>
      <c r="BJ980"/>
      <c r="BK980"/>
    </row>
    <row r="981" spans="40:63" ht="12.75">
      <c r="AN981"/>
      <c r="AO981" s="293"/>
      <c r="AP981"/>
      <c r="AQ981" s="145"/>
      <c r="AR981"/>
      <c r="AS981"/>
      <c r="AT981"/>
      <c r="AU981"/>
      <c r="AV981"/>
      <c r="AW981"/>
      <c r="AX981"/>
      <c r="AY981"/>
      <c r="AZ981"/>
      <c r="BA981"/>
      <c r="BB981"/>
      <c r="BC981" s="578"/>
      <c r="BD981" s="578"/>
      <c r="BE981"/>
      <c r="BF981"/>
      <c r="BG981"/>
      <c r="BH981"/>
      <c r="BI981"/>
      <c r="BJ981"/>
      <c r="BK981"/>
    </row>
    <row r="982" spans="40:63" ht="12.75">
      <c r="AN982"/>
      <c r="AO982" s="293"/>
      <c r="AP982"/>
      <c r="AQ982" s="145"/>
      <c r="AR982"/>
      <c r="AS982"/>
      <c r="AT982"/>
      <c r="AU982"/>
      <c r="AV982"/>
      <c r="AW982"/>
      <c r="AX982"/>
      <c r="AY982"/>
      <c r="AZ982"/>
      <c r="BA982"/>
      <c r="BB982"/>
      <c r="BC982" s="578"/>
      <c r="BD982" s="578"/>
      <c r="BE982"/>
      <c r="BF982"/>
      <c r="BG982"/>
      <c r="BH982"/>
      <c r="BI982"/>
      <c r="BJ982"/>
      <c r="BK982"/>
    </row>
    <row r="983" spans="40:63" ht="12.75">
      <c r="AN983"/>
      <c r="AO983" s="293"/>
      <c r="AP983"/>
      <c r="AQ983" s="145"/>
      <c r="AR983"/>
      <c r="AS983"/>
      <c r="AT983"/>
      <c r="AU983"/>
      <c r="AV983"/>
      <c r="AW983"/>
      <c r="AX983"/>
      <c r="AY983"/>
      <c r="AZ983"/>
      <c r="BA983"/>
      <c r="BB983"/>
      <c r="BC983" s="578"/>
      <c r="BD983" s="578"/>
      <c r="BE983"/>
      <c r="BF983"/>
      <c r="BG983"/>
      <c r="BH983"/>
      <c r="BI983"/>
      <c r="BJ983"/>
      <c r="BK983"/>
    </row>
    <row r="984" spans="40:63" ht="12.75">
      <c r="AN984"/>
      <c r="AO984" s="293"/>
      <c r="AP984"/>
      <c r="AQ984" s="145"/>
      <c r="AR984"/>
      <c r="AS984"/>
      <c r="AT984"/>
      <c r="AU984"/>
      <c r="AV984"/>
      <c r="AW984"/>
      <c r="AX984"/>
      <c r="AY984"/>
      <c r="AZ984"/>
      <c r="BA984"/>
      <c r="BB984"/>
      <c r="BC984" s="578"/>
      <c r="BD984" s="578"/>
      <c r="BE984"/>
      <c r="BF984"/>
      <c r="BG984"/>
      <c r="BH984"/>
      <c r="BI984"/>
      <c r="BJ984"/>
      <c r="BK984"/>
    </row>
    <row r="985" spans="40:63" ht="12.75">
      <c r="AN985"/>
      <c r="AO985" s="293"/>
      <c r="AP985"/>
      <c r="AQ985" s="145"/>
      <c r="AR985"/>
      <c r="AS985"/>
      <c r="AT985"/>
      <c r="AU985"/>
      <c r="AV985"/>
      <c r="AW985"/>
      <c r="AX985"/>
      <c r="AY985"/>
      <c r="AZ985"/>
      <c r="BA985"/>
      <c r="BB985"/>
      <c r="BC985" s="578"/>
      <c r="BD985" s="578"/>
      <c r="BE985"/>
      <c r="BF985"/>
      <c r="BG985"/>
      <c r="BH985"/>
      <c r="BI985"/>
      <c r="BJ985"/>
      <c r="BK985"/>
    </row>
    <row r="986" spans="40:63" ht="12.75">
      <c r="AN986"/>
      <c r="AO986" s="293"/>
      <c r="AP986"/>
      <c r="AQ986" s="145"/>
      <c r="AR986"/>
      <c r="AS986"/>
      <c r="AT986"/>
      <c r="AU986"/>
      <c r="AV986"/>
      <c r="AW986"/>
      <c r="AX986"/>
      <c r="AY986"/>
      <c r="AZ986"/>
      <c r="BA986"/>
      <c r="BB986"/>
      <c r="BC986" s="578"/>
      <c r="BD986" s="578"/>
      <c r="BE986"/>
      <c r="BF986"/>
      <c r="BG986"/>
      <c r="BH986"/>
      <c r="BI986"/>
      <c r="BJ986"/>
      <c r="BK986"/>
    </row>
    <row r="987" spans="40:63" ht="12.75">
      <c r="AN987"/>
      <c r="AO987" s="293"/>
      <c r="AP987"/>
      <c r="AQ987" s="145"/>
      <c r="AR987"/>
      <c r="AS987"/>
      <c r="AT987"/>
      <c r="AU987"/>
      <c r="AV987"/>
      <c r="AW987"/>
      <c r="AX987"/>
      <c r="AY987"/>
      <c r="AZ987"/>
      <c r="BA987"/>
      <c r="BB987"/>
      <c r="BC987" s="578"/>
      <c r="BD987" s="578"/>
      <c r="BE987"/>
      <c r="BF987"/>
      <c r="BG987"/>
      <c r="BH987"/>
      <c r="BI987"/>
      <c r="BJ987"/>
      <c r="BK987"/>
    </row>
    <row r="988" spans="40:63" ht="12.75">
      <c r="AN988"/>
      <c r="AO988" s="293"/>
      <c r="AP988"/>
      <c r="AQ988" s="145"/>
      <c r="AR988"/>
      <c r="AS988"/>
      <c r="AT988"/>
      <c r="AU988"/>
      <c r="AV988"/>
      <c r="AW988"/>
      <c r="AX988"/>
      <c r="AY988"/>
      <c r="AZ988"/>
      <c r="BA988"/>
      <c r="BB988"/>
      <c r="BC988" s="578"/>
      <c r="BD988" s="578"/>
      <c r="BE988"/>
      <c r="BF988"/>
      <c r="BG988"/>
      <c r="BH988"/>
      <c r="BI988"/>
      <c r="BJ988"/>
      <c r="BK988"/>
    </row>
    <row r="989" spans="40:63" ht="12.75">
      <c r="AN989"/>
      <c r="AO989" s="293"/>
      <c r="AP989"/>
      <c r="AQ989" s="145"/>
      <c r="AR989"/>
      <c r="AS989"/>
      <c r="AT989"/>
      <c r="AU989"/>
      <c r="AV989"/>
      <c r="AW989"/>
      <c r="AX989"/>
      <c r="AY989"/>
      <c r="AZ989"/>
      <c r="BA989"/>
      <c r="BB989"/>
      <c r="BC989" s="578"/>
      <c r="BD989" s="578"/>
      <c r="BE989"/>
      <c r="BF989"/>
      <c r="BG989"/>
      <c r="BH989"/>
      <c r="BI989"/>
      <c r="BJ989"/>
      <c r="BK989"/>
    </row>
    <row r="990" spans="40:63" ht="12.75">
      <c r="AN990"/>
      <c r="AO990" s="293"/>
      <c r="AP990"/>
      <c r="AQ990" s="145"/>
      <c r="AR990"/>
      <c r="AS990"/>
      <c r="AT990"/>
      <c r="AU990"/>
      <c r="AV990"/>
      <c r="AW990"/>
      <c r="AX990"/>
      <c r="AY990"/>
      <c r="AZ990"/>
      <c r="BA990"/>
      <c r="BB990"/>
      <c r="BC990" s="578"/>
      <c r="BD990" s="578"/>
      <c r="BE990"/>
      <c r="BF990"/>
      <c r="BG990"/>
      <c r="BH990"/>
      <c r="BI990"/>
      <c r="BJ990"/>
      <c r="BK990"/>
    </row>
    <row r="991" spans="40:63" ht="12.75">
      <c r="AN991"/>
      <c r="AO991" s="293"/>
      <c r="AP991"/>
      <c r="AQ991" s="145"/>
      <c r="AR991"/>
      <c r="AS991"/>
      <c r="AT991"/>
      <c r="AU991"/>
      <c r="AV991"/>
      <c r="AW991"/>
      <c r="AX991"/>
      <c r="AY991"/>
      <c r="AZ991"/>
      <c r="BA991"/>
      <c r="BB991"/>
      <c r="BC991" s="578"/>
      <c r="BD991" s="578"/>
      <c r="BE991"/>
      <c r="BF991"/>
      <c r="BG991"/>
      <c r="BH991"/>
      <c r="BI991"/>
      <c r="BJ991"/>
      <c r="BK991"/>
    </row>
    <row r="992" spans="40:63" ht="12.75">
      <c r="AN992"/>
      <c r="AO992" s="293"/>
      <c r="AP992"/>
      <c r="AQ992" s="145"/>
      <c r="AR992"/>
      <c r="AS992"/>
      <c r="AT992"/>
      <c r="AU992"/>
      <c r="AV992"/>
      <c r="AW992"/>
      <c r="AX992"/>
      <c r="AY992"/>
      <c r="AZ992"/>
      <c r="BA992"/>
      <c r="BB992"/>
      <c r="BC992" s="578"/>
      <c r="BD992" s="578"/>
      <c r="BE992"/>
      <c r="BF992"/>
      <c r="BG992"/>
      <c r="BH992"/>
      <c r="BI992"/>
      <c r="BJ992"/>
      <c r="BK992"/>
    </row>
    <row r="993" spans="40:63" ht="12.75">
      <c r="AN993"/>
      <c r="AO993" s="293"/>
      <c r="AP993"/>
      <c r="AQ993" s="145"/>
      <c r="AR993"/>
      <c r="AS993"/>
      <c r="AT993"/>
      <c r="AU993"/>
      <c r="AV993"/>
      <c r="AW993"/>
      <c r="AX993"/>
      <c r="AY993"/>
      <c r="AZ993"/>
      <c r="BA993"/>
      <c r="BB993"/>
      <c r="BC993" s="578"/>
      <c r="BD993" s="578"/>
      <c r="BE993"/>
      <c r="BF993"/>
      <c r="BG993"/>
      <c r="BH993"/>
      <c r="BI993"/>
      <c r="BJ993"/>
      <c r="BK993"/>
    </row>
    <row r="994" spans="40:63" ht="12.75">
      <c r="AN994"/>
      <c r="AO994" s="293"/>
      <c r="AP994"/>
      <c r="AQ994" s="145"/>
      <c r="AR994"/>
      <c r="AS994"/>
      <c r="AT994"/>
      <c r="AU994"/>
      <c r="AV994"/>
      <c r="AW994"/>
      <c r="AX994"/>
      <c r="AY994"/>
      <c r="AZ994"/>
      <c r="BA994"/>
      <c r="BB994"/>
      <c r="BC994" s="578"/>
      <c r="BD994" s="578"/>
      <c r="BE994"/>
      <c r="BF994"/>
      <c r="BG994"/>
      <c r="BH994"/>
      <c r="BI994"/>
      <c r="BJ994"/>
      <c r="BK994"/>
    </row>
    <row r="995" spans="40:63" ht="12.75">
      <c r="AN995"/>
      <c r="AO995" s="293"/>
      <c r="AP995"/>
      <c r="AQ995" s="145"/>
      <c r="AR995"/>
      <c r="AS995"/>
      <c r="AT995"/>
      <c r="AU995"/>
      <c r="AV995"/>
      <c r="AW995"/>
      <c r="AX995"/>
      <c r="AY995"/>
      <c r="AZ995"/>
      <c r="BA995"/>
      <c r="BB995"/>
      <c r="BC995" s="578"/>
      <c r="BD995" s="578"/>
      <c r="BE995"/>
      <c r="BF995"/>
      <c r="BG995"/>
      <c r="BH995"/>
      <c r="BI995"/>
      <c r="BJ995"/>
      <c r="BK995"/>
    </row>
    <row r="996" spans="40:63" ht="12.75">
      <c r="AN996"/>
      <c r="AO996" s="293"/>
      <c r="AP996"/>
      <c r="AQ996" s="145"/>
      <c r="AR996"/>
      <c r="AS996"/>
      <c r="AT996"/>
      <c r="AU996"/>
      <c r="AV996"/>
      <c r="AW996"/>
      <c r="AX996"/>
      <c r="AY996"/>
      <c r="AZ996"/>
      <c r="BA996"/>
      <c r="BB996"/>
      <c r="BC996" s="578"/>
      <c r="BD996" s="578"/>
      <c r="BE996"/>
      <c r="BF996"/>
      <c r="BG996"/>
      <c r="BH996"/>
      <c r="BI996"/>
      <c r="BJ996"/>
      <c r="BK996"/>
    </row>
    <row r="997" spans="40:63" ht="12.75">
      <c r="AN997"/>
      <c r="AO997" s="293"/>
      <c r="AP997"/>
      <c r="AQ997" s="145"/>
      <c r="AR997"/>
      <c r="AS997"/>
      <c r="AT997"/>
      <c r="AU997"/>
      <c r="AV997"/>
      <c r="AW997"/>
      <c r="AX997"/>
      <c r="AY997"/>
      <c r="AZ997"/>
      <c r="BA997"/>
      <c r="BB997"/>
      <c r="BC997" s="578"/>
      <c r="BD997" s="578"/>
      <c r="BE997"/>
      <c r="BF997"/>
      <c r="BG997"/>
      <c r="BH997"/>
      <c r="BI997"/>
      <c r="BJ997"/>
      <c r="BK997"/>
    </row>
    <row r="998" spans="40:63" ht="12.75">
      <c r="AN998"/>
      <c r="AO998" s="293"/>
      <c r="AP998"/>
      <c r="AQ998" s="145"/>
      <c r="AR998"/>
      <c r="AS998"/>
      <c r="AT998"/>
      <c r="AU998"/>
      <c r="AV998"/>
      <c r="AW998"/>
      <c r="AX998"/>
      <c r="AY998"/>
      <c r="AZ998"/>
      <c r="BA998"/>
      <c r="BB998"/>
      <c r="BC998" s="578"/>
      <c r="BD998" s="578"/>
      <c r="BE998"/>
      <c r="BF998"/>
      <c r="BG998"/>
      <c r="BH998"/>
      <c r="BI998"/>
      <c r="BJ998"/>
      <c r="BK998"/>
    </row>
    <row r="999" spans="40:63" ht="12.75">
      <c r="AN999"/>
      <c r="AO999" s="293"/>
      <c r="AP999"/>
      <c r="AQ999" s="145"/>
      <c r="AR999"/>
      <c r="AS999"/>
      <c r="AT999"/>
      <c r="AU999"/>
      <c r="AV999"/>
      <c r="AW999"/>
      <c r="AX999"/>
      <c r="AY999"/>
      <c r="AZ999"/>
      <c r="BA999"/>
      <c r="BB999"/>
      <c r="BC999" s="578"/>
      <c r="BD999" s="578"/>
      <c r="BE999"/>
      <c r="BF999"/>
      <c r="BG999"/>
      <c r="BH999"/>
      <c r="BI999"/>
      <c r="BJ999"/>
      <c r="BK999"/>
    </row>
    <row r="1000" spans="40:63" ht="12.75">
      <c r="AN1000"/>
      <c r="AO1000" s="293"/>
      <c r="AP1000"/>
      <c r="AQ1000" s="145"/>
      <c r="AR1000"/>
      <c r="AS1000"/>
      <c r="AT1000"/>
      <c r="AU1000"/>
      <c r="AV1000"/>
      <c r="AW1000"/>
      <c r="AX1000"/>
      <c r="AY1000"/>
      <c r="AZ1000"/>
      <c r="BA1000"/>
      <c r="BB1000"/>
      <c r="BC1000" s="578"/>
      <c r="BD1000" s="578"/>
      <c r="BE1000"/>
      <c r="BF1000"/>
      <c r="BG1000"/>
      <c r="BH1000"/>
      <c r="BI1000"/>
      <c r="BJ1000"/>
      <c r="BK1000"/>
    </row>
    <row r="1001" spans="40:63" ht="12.75">
      <c r="AN1001"/>
      <c r="AO1001" s="293"/>
      <c r="AP1001"/>
      <c r="AQ1001" s="145"/>
      <c r="AR1001"/>
      <c r="AS1001"/>
      <c r="AT1001"/>
      <c r="AU1001"/>
      <c r="AV1001"/>
      <c r="AW1001"/>
      <c r="AX1001"/>
      <c r="AY1001"/>
      <c r="AZ1001"/>
      <c r="BA1001"/>
      <c r="BB1001"/>
      <c r="BC1001" s="578"/>
      <c r="BD1001" s="578"/>
      <c r="BE1001"/>
      <c r="BF1001"/>
      <c r="BG1001"/>
      <c r="BH1001"/>
      <c r="BI1001"/>
      <c r="BJ1001"/>
      <c r="BK1001"/>
    </row>
    <row r="1002" spans="40:63" ht="12.75">
      <c r="AN1002"/>
      <c r="AO1002" s="293"/>
      <c r="AP1002"/>
      <c r="AQ1002" s="145"/>
      <c r="AR1002"/>
      <c r="AS1002"/>
      <c r="AT1002"/>
      <c r="AU1002"/>
      <c r="AV1002"/>
      <c r="AW1002"/>
      <c r="AX1002"/>
      <c r="AY1002"/>
      <c r="AZ1002"/>
      <c r="BA1002"/>
      <c r="BB1002"/>
      <c r="BC1002" s="578"/>
      <c r="BD1002" s="578"/>
      <c r="BE1002"/>
      <c r="BF1002"/>
      <c r="BG1002"/>
      <c r="BH1002"/>
      <c r="BI1002"/>
      <c r="BJ1002"/>
      <c r="BK1002"/>
    </row>
    <row r="1003" spans="40:63" ht="12.75">
      <c r="AN1003"/>
      <c r="AO1003" s="293"/>
      <c r="AP1003"/>
      <c r="AQ1003" s="145"/>
      <c r="AR1003"/>
      <c r="AS1003"/>
      <c r="AT1003"/>
      <c r="AU1003"/>
      <c r="AV1003"/>
      <c r="AW1003"/>
      <c r="AX1003"/>
      <c r="AY1003"/>
      <c r="AZ1003"/>
      <c r="BA1003"/>
      <c r="BB1003"/>
      <c r="BC1003" s="578"/>
      <c r="BD1003" s="578"/>
      <c r="BE1003"/>
      <c r="BF1003"/>
      <c r="BG1003"/>
      <c r="BH1003"/>
      <c r="BI1003"/>
      <c r="BJ1003"/>
      <c r="BK1003"/>
    </row>
    <row r="1004" spans="40:63" ht="12.75">
      <c r="AN1004"/>
      <c r="AO1004" s="293"/>
      <c r="AP1004"/>
      <c r="AQ1004" s="145"/>
      <c r="AR1004"/>
      <c r="AS1004"/>
      <c r="AT1004"/>
      <c r="AU1004"/>
      <c r="AV1004"/>
      <c r="AW1004"/>
      <c r="AX1004"/>
      <c r="AY1004"/>
      <c r="AZ1004"/>
      <c r="BA1004"/>
      <c r="BB1004"/>
      <c r="BC1004" s="578"/>
      <c r="BD1004" s="578"/>
      <c r="BE1004"/>
      <c r="BF1004"/>
      <c r="BG1004"/>
      <c r="BH1004"/>
      <c r="BI1004"/>
      <c r="BJ1004"/>
      <c r="BK1004"/>
    </row>
    <row r="1005" spans="40:63" ht="12.75">
      <c r="AN1005"/>
      <c r="AO1005" s="293"/>
      <c r="AP1005"/>
      <c r="AQ1005" s="145"/>
      <c r="AR1005"/>
      <c r="AS1005"/>
      <c r="AT1005"/>
      <c r="AU1005"/>
      <c r="AV1005"/>
      <c r="AW1005"/>
      <c r="AX1005"/>
      <c r="AY1005"/>
      <c r="AZ1005"/>
      <c r="BA1005"/>
      <c r="BB1005"/>
      <c r="BC1005" s="578"/>
      <c r="BD1005" s="578"/>
      <c r="BE1005"/>
      <c r="BF1005"/>
      <c r="BG1005"/>
      <c r="BH1005"/>
      <c r="BI1005"/>
      <c r="BJ1005"/>
      <c r="BK1005"/>
    </row>
    <row r="1006" spans="40:63" ht="12.75">
      <c r="AN1006"/>
      <c r="AO1006" s="293"/>
      <c r="AP1006"/>
      <c r="AQ1006" s="145"/>
      <c r="AR1006"/>
      <c r="AS1006"/>
      <c r="AT1006"/>
      <c r="AU1006"/>
      <c r="AV1006"/>
      <c r="AW1006"/>
      <c r="AX1006"/>
      <c r="AY1006"/>
      <c r="AZ1006"/>
      <c r="BA1006"/>
      <c r="BB1006"/>
      <c r="BC1006" s="578"/>
      <c r="BD1006" s="578"/>
      <c r="BE1006"/>
      <c r="BF1006"/>
      <c r="BG1006"/>
      <c r="BH1006"/>
      <c r="BI1006"/>
      <c r="BJ1006"/>
      <c r="BK1006"/>
    </row>
    <row r="1007" spans="40:63" ht="12.75">
      <c r="AN1007"/>
      <c r="AO1007" s="293"/>
      <c r="AP1007"/>
      <c r="AQ1007" s="145"/>
      <c r="AR1007"/>
      <c r="AS1007"/>
      <c r="AT1007"/>
      <c r="AU1007"/>
      <c r="AV1007"/>
      <c r="AW1007"/>
      <c r="AX1007"/>
      <c r="AY1007"/>
      <c r="AZ1007"/>
      <c r="BA1007"/>
      <c r="BB1007"/>
      <c r="BC1007" s="578"/>
      <c r="BD1007" s="578"/>
      <c r="BE1007"/>
      <c r="BF1007"/>
      <c r="BG1007"/>
      <c r="BH1007"/>
      <c r="BI1007"/>
      <c r="BJ1007"/>
      <c r="BK1007"/>
    </row>
    <row r="1008" spans="40:63" ht="12.75">
      <c r="AN1008"/>
      <c r="AO1008" s="293"/>
      <c r="AP1008"/>
      <c r="AQ1008" s="145"/>
      <c r="AR1008"/>
      <c r="AS1008"/>
      <c r="AT1008"/>
      <c r="AU1008"/>
      <c r="AV1008"/>
      <c r="AW1008"/>
      <c r="AX1008"/>
      <c r="AY1008"/>
      <c r="AZ1008"/>
      <c r="BA1008"/>
      <c r="BB1008"/>
      <c r="BC1008" s="578"/>
      <c r="BD1008" s="578"/>
      <c r="BE1008"/>
      <c r="BF1008"/>
      <c r="BG1008"/>
      <c r="BH1008"/>
      <c r="BI1008"/>
      <c r="BJ1008"/>
      <c r="BK1008"/>
    </row>
    <row r="1009" spans="40:63" ht="12.75">
      <c r="AN1009"/>
      <c r="AO1009" s="293"/>
      <c r="AP1009"/>
      <c r="AQ1009" s="145"/>
      <c r="AR1009"/>
      <c r="AS1009"/>
      <c r="AT1009"/>
      <c r="AU1009"/>
      <c r="AV1009"/>
      <c r="AW1009"/>
      <c r="AX1009"/>
      <c r="AY1009"/>
      <c r="AZ1009"/>
      <c r="BA1009"/>
      <c r="BB1009"/>
      <c r="BC1009" s="578"/>
      <c r="BD1009" s="578"/>
      <c r="BE1009"/>
      <c r="BF1009"/>
      <c r="BG1009"/>
      <c r="BH1009"/>
      <c r="BI1009"/>
      <c r="BJ1009"/>
      <c r="BK1009"/>
    </row>
    <row r="1010" spans="40:63" ht="12.75">
      <c r="AN1010"/>
      <c r="AO1010" s="293"/>
      <c r="AP1010"/>
      <c r="AQ1010" s="145"/>
      <c r="AR1010"/>
      <c r="AS1010"/>
      <c r="AT1010"/>
      <c r="AU1010"/>
      <c r="AV1010"/>
      <c r="AW1010"/>
      <c r="AX1010"/>
      <c r="AY1010"/>
      <c r="AZ1010"/>
      <c r="BA1010"/>
      <c r="BB1010"/>
      <c r="BC1010" s="578"/>
      <c r="BD1010" s="578"/>
      <c r="BE1010"/>
      <c r="BF1010"/>
      <c r="BG1010"/>
      <c r="BH1010"/>
      <c r="BI1010"/>
      <c r="BJ1010"/>
      <c r="BK1010"/>
    </row>
    <row r="1011" spans="40:63" ht="12.75">
      <c r="AN1011"/>
      <c r="AO1011" s="293"/>
      <c r="AP1011"/>
      <c r="AQ1011" s="145"/>
      <c r="AR1011"/>
      <c r="AS1011"/>
      <c r="AT1011"/>
      <c r="AU1011"/>
      <c r="AV1011"/>
      <c r="AW1011"/>
      <c r="AX1011"/>
      <c r="AY1011"/>
      <c r="AZ1011"/>
      <c r="BA1011"/>
      <c r="BB1011"/>
      <c r="BC1011" s="578"/>
      <c r="BD1011" s="578"/>
      <c r="BE1011"/>
      <c r="BF1011"/>
      <c r="BG1011"/>
      <c r="BH1011"/>
      <c r="BI1011"/>
      <c r="BJ1011"/>
      <c r="BK1011"/>
    </row>
    <row r="1012" spans="40:63" ht="12.75">
      <c r="AN1012"/>
      <c r="AO1012" s="293"/>
      <c r="AP1012"/>
      <c r="AQ1012" s="145"/>
      <c r="AR1012"/>
      <c r="AS1012"/>
      <c r="AT1012"/>
      <c r="AU1012"/>
      <c r="AV1012"/>
      <c r="AW1012"/>
      <c r="AX1012"/>
      <c r="AY1012"/>
      <c r="AZ1012"/>
      <c r="BA1012"/>
      <c r="BB1012"/>
      <c r="BC1012" s="578"/>
      <c r="BD1012" s="578"/>
      <c r="BE1012"/>
      <c r="BF1012"/>
      <c r="BG1012"/>
      <c r="BH1012"/>
      <c r="BI1012"/>
      <c r="BJ1012"/>
      <c r="BK1012"/>
    </row>
    <row r="1013" spans="40:63" ht="12.75">
      <c r="AN1013"/>
      <c r="AO1013" s="293"/>
      <c r="AP1013"/>
      <c r="AQ1013" s="145"/>
      <c r="AR1013"/>
      <c r="AS1013"/>
      <c r="AT1013"/>
      <c r="AU1013"/>
      <c r="AV1013"/>
      <c r="AW1013"/>
      <c r="AX1013"/>
      <c r="AY1013"/>
      <c r="AZ1013"/>
      <c r="BA1013"/>
      <c r="BB1013"/>
      <c r="BC1013" s="578"/>
      <c r="BD1013" s="578"/>
      <c r="BE1013"/>
      <c r="BF1013"/>
      <c r="BG1013"/>
      <c r="BH1013"/>
      <c r="BI1013"/>
      <c r="BJ1013"/>
      <c r="BK1013"/>
    </row>
    <row r="1014" spans="40:63" ht="12.75">
      <c r="AN1014"/>
      <c r="AO1014" s="293"/>
      <c r="AP1014"/>
      <c r="AQ1014" s="145"/>
      <c r="AR1014"/>
      <c r="AS1014"/>
      <c r="AT1014"/>
      <c r="AU1014"/>
      <c r="AV1014"/>
      <c r="AW1014"/>
      <c r="AX1014"/>
      <c r="AY1014"/>
      <c r="AZ1014"/>
      <c r="BA1014"/>
      <c r="BB1014"/>
      <c r="BC1014" s="578"/>
      <c r="BD1014" s="578"/>
      <c r="BE1014"/>
      <c r="BF1014"/>
      <c r="BG1014"/>
      <c r="BH1014"/>
      <c r="BI1014"/>
      <c r="BJ1014"/>
      <c r="BK1014"/>
    </row>
    <row r="1015" spans="40:63" ht="12.75">
      <c r="AN1015"/>
      <c r="AO1015" s="293"/>
      <c r="AP1015"/>
      <c r="AQ1015" s="145"/>
      <c r="AR1015"/>
      <c r="AS1015"/>
      <c r="AT1015"/>
      <c r="AU1015"/>
      <c r="AV1015"/>
      <c r="AW1015"/>
      <c r="AX1015"/>
      <c r="AY1015"/>
      <c r="AZ1015"/>
      <c r="BA1015"/>
      <c r="BB1015"/>
      <c r="BC1015" s="578"/>
      <c r="BD1015" s="578"/>
      <c r="BE1015"/>
      <c r="BF1015"/>
      <c r="BG1015"/>
      <c r="BH1015"/>
      <c r="BI1015"/>
      <c r="BJ1015"/>
      <c r="BK1015"/>
    </row>
    <row r="1016" spans="40:63" ht="12.75">
      <c r="AN1016"/>
      <c r="AO1016" s="293"/>
      <c r="AP1016"/>
      <c r="AQ1016" s="145"/>
      <c r="AR1016"/>
      <c r="AS1016"/>
      <c r="AT1016"/>
      <c r="AU1016"/>
      <c r="AV1016"/>
      <c r="AW1016"/>
      <c r="AX1016"/>
      <c r="AY1016"/>
      <c r="AZ1016"/>
      <c r="BA1016"/>
      <c r="BB1016"/>
      <c r="BC1016" s="578"/>
      <c r="BD1016" s="578"/>
      <c r="BE1016"/>
      <c r="BF1016"/>
      <c r="BG1016"/>
      <c r="BH1016"/>
      <c r="BI1016"/>
      <c r="BJ1016"/>
      <c r="BK1016"/>
    </row>
    <row r="1017" spans="40:63" ht="12.75">
      <c r="AN1017"/>
      <c r="AO1017" s="293"/>
      <c r="AP1017"/>
      <c r="AQ1017" s="145"/>
      <c r="AR1017"/>
      <c r="AS1017"/>
      <c r="AT1017"/>
      <c r="AU1017"/>
      <c r="AV1017"/>
      <c r="AW1017"/>
      <c r="AX1017"/>
      <c r="AY1017"/>
      <c r="AZ1017"/>
      <c r="BA1017"/>
      <c r="BB1017"/>
      <c r="BC1017" s="578"/>
      <c r="BD1017" s="578"/>
      <c r="BE1017"/>
      <c r="BF1017"/>
      <c r="BG1017"/>
      <c r="BH1017"/>
      <c r="BI1017"/>
      <c r="BJ1017"/>
      <c r="BK1017"/>
    </row>
    <row r="1018" spans="40:63" ht="12.75">
      <c r="AN1018"/>
      <c r="AO1018" s="293"/>
      <c r="AP1018"/>
      <c r="AQ1018" s="145"/>
      <c r="AR1018"/>
      <c r="AS1018"/>
      <c r="AT1018"/>
      <c r="AU1018"/>
      <c r="AV1018"/>
      <c r="AW1018"/>
      <c r="AX1018"/>
      <c r="AY1018"/>
      <c r="AZ1018"/>
      <c r="BA1018"/>
      <c r="BB1018"/>
      <c r="BC1018" s="578"/>
      <c r="BD1018" s="578"/>
      <c r="BE1018"/>
      <c r="BF1018"/>
      <c r="BG1018"/>
      <c r="BH1018"/>
      <c r="BI1018"/>
      <c r="BJ1018"/>
      <c r="BK1018"/>
    </row>
    <row r="1019" spans="40:63" ht="12.75">
      <c r="AN1019"/>
      <c r="AO1019" s="293"/>
      <c r="AP1019"/>
      <c r="AQ1019" s="145"/>
      <c r="AR1019"/>
      <c r="AS1019"/>
      <c r="AT1019"/>
      <c r="AU1019"/>
      <c r="AV1019"/>
      <c r="AW1019"/>
      <c r="AX1019"/>
      <c r="AY1019"/>
      <c r="AZ1019"/>
      <c r="BA1019"/>
      <c r="BB1019"/>
      <c r="BC1019" s="578"/>
      <c r="BD1019" s="578"/>
      <c r="BE1019"/>
      <c r="BF1019"/>
      <c r="BG1019"/>
      <c r="BH1019"/>
      <c r="BI1019"/>
      <c r="BJ1019"/>
      <c r="BK1019"/>
    </row>
    <row r="1020" spans="40:63" ht="12.75">
      <c r="AN1020"/>
      <c r="AO1020" s="293"/>
      <c r="AP1020"/>
      <c r="AQ1020" s="145"/>
      <c r="AR1020"/>
      <c r="AS1020"/>
      <c r="AT1020"/>
      <c r="AU1020"/>
      <c r="AV1020"/>
      <c r="AW1020"/>
      <c r="AX1020"/>
      <c r="AY1020"/>
      <c r="AZ1020"/>
      <c r="BA1020"/>
      <c r="BB1020"/>
      <c r="BC1020" s="578"/>
      <c r="BD1020" s="578"/>
      <c r="BE1020"/>
      <c r="BF1020"/>
      <c r="BG1020"/>
      <c r="BH1020"/>
      <c r="BI1020"/>
      <c r="BJ1020"/>
      <c r="BK1020"/>
    </row>
    <row r="1021" spans="40:63" ht="12.75">
      <c r="AN1021"/>
      <c r="AO1021" s="293"/>
      <c r="AP1021"/>
      <c r="AQ1021" s="145"/>
      <c r="AR1021"/>
      <c r="AS1021"/>
      <c r="AT1021"/>
      <c r="AU1021"/>
      <c r="AV1021"/>
      <c r="AW1021"/>
      <c r="AX1021"/>
      <c r="AY1021"/>
      <c r="AZ1021"/>
      <c r="BA1021"/>
      <c r="BB1021"/>
      <c r="BC1021" s="578"/>
      <c r="BD1021" s="578"/>
      <c r="BE1021"/>
      <c r="BF1021"/>
      <c r="BG1021"/>
      <c r="BH1021"/>
      <c r="BI1021"/>
      <c r="BJ1021"/>
      <c r="BK1021"/>
    </row>
    <row r="1022" spans="40:63" ht="12.75">
      <c r="AN1022"/>
      <c r="AO1022" s="293"/>
      <c r="AP1022"/>
      <c r="AQ1022" s="145"/>
      <c r="AR1022"/>
      <c r="AS1022"/>
      <c r="AT1022"/>
      <c r="AU1022"/>
      <c r="AV1022"/>
      <c r="AW1022"/>
      <c r="AX1022"/>
      <c r="AY1022"/>
      <c r="AZ1022"/>
      <c r="BA1022"/>
      <c r="BB1022"/>
      <c r="BC1022" s="578"/>
      <c r="BD1022" s="578"/>
      <c r="BE1022"/>
      <c r="BF1022"/>
      <c r="BG1022"/>
      <c r="BH1022"/>
      <c r="BI1022"/>
      <c r="BJ1022"/>
      <c r="BK1022"/>
    </row>
    <row r="1023" spans="40:63" ht="12.75">
      <c r="AN1023"/>
      <c r="AO1023" s="293"/>
      <c r="AP1023"/>
      <c r="AQ1023" s="145"/>
      <c r="AR1023"/>
      <c r="AS1023"/>
      <c r="AT1023"/>
      <c r="AU1023"/>
      <c r="AV1023"/>
      <c r="AW1023"/>
      <c r="AX1023"/>
      <c r="AY1023"/>
      <c r="AZ1023"/>
      <c r="BA1023"/>
      <c r="BB1023"/>
      <c r="BC1023" s="578"/>
      <c r="BD1023" s="578"/>
      <c r="BE1023"/>
      <c r="BF1023"/>
      <c r="BG1023"/>
      <c r="BH1023"/>
      <c r="BI1023"/>
      <c r="BJ1023"/>
      <c r="BK1023"/>
    </row>
    <row r="1024" spans="40:63" ht="12.75">
      <c r="AN1024"/>
      <c r="AO1024" s="293"/>
      <c r="AP1024"/>
      <c r="AQ1024" s="145"/>
      <c r="AR1024"/>
      <c r="AS1024"/>
      <c r="AT1024"/>
      <c r="AU1024"/>
      <c r="AV1024"/>
      <c r="AW1024"/>
      <c r="AX1024"/>
      <c r="AY1024"/>
      <c r="AZ1024"/>
      <c r="BA1024"/>
      <c r="BB1024"/>
      <c r="BC1024" s="578"/>
      <c r="BD1024" s="578"/>
      <c r="BE1024"/>
      <c r="BF1024"/>
      <c r="BG1024"/>
      <c r="BH1024"/>
      <c r="BI1024"/>
      <c r="BJ1024"/>
      <c r="BK1024"/>
    </row>
    <row r="1025" spans="40:63" ht="12.75">
      <c r="AN1025"/>
      <c r="AO1025" s="293"/>
      <c r="AP1025"/>
      <c r="AQ1025" s="145"/>
      <c r="AR1025"/>
      <c r="AS1025"/>
      <c r="AT1025"/>
      <c r="AU1025"/>
      <c r="AV1025"/>
      <c r="AW1025"/>
      <c r="AX1025"/>
      <c r="AY1025"/>
      <c r="AZ1025"/>
      <c r="BA1025"/>
      <c r="BB1025"/>
      <c r="BC1025" s="578"/>
      <c r="BD1025" s="578"/>
      <c r="BE1025"/>
      <c r="BF1025"/>
      <c r="BG1025"/>
      <c r="BH1025"/>
      <c r="BI1025"/>
      <c r="BJ1025"/>
      <c r="BK1025"/>
    </row>
    <row r="1026" spans="40:63" ht="12.75">
      <c r="AN1026"/>
      <c r="AO1026" s="293"/>
      <c r="AP1026"/>
      <c r="AQ1026" s="145"/>
      <c r="AR1026"/>
      <c r="AS1026"/>
      <c r="AT1026"/>
      <c r="AU1026"/>
      <c r="AV1026"/>
      <c r="AW1026"/>
      <c r="AX1026"/>
      <c r="AY1026"/>
      <c r="AZ1026"/>
      <c r="BA1026"/>
      <c r="BB1026"/>
      <c r="BC1026" s="578"/>
      <c r="BD1026" s="578"/>
      <c r="BE1026"/>
      <c r="BF1026"/>
      <c r="BG1026"/>
      <c r="BH1026"/>
      <c r="BI1026"/>
      <c r="BJ1026"/>
      <c r="BK1026"/>
    </row>
    <row r="1027" spans="40:63" ht="12.75">
      <c r="AN1027"/>
      <c r="AO1027" s="293"/>
      <c r="AP1027"/>
      <c r="AQ1027" s="145"/>
      <c r="AR1027"/>
      <c r="AS1027"/>
      <c r="AT1027"/>
      <c r="AU1027"/>
      <c r="AV1027"/>
      <c r="AW1027"/>
      <c r="AX1027"/>
      <c r="AY1027"/>
      <c r="AZ1027"/>
      <c r="BA1027"/>
      <c r="BB1027"/>
      <c r="BC1027" s="578"/>
      <c r="BD1027" s="578"/>
      <c r="BE1027"/>
      <c r="BF1027"/>
      <c r="BG1027"/>
      <c r="BH1027"/>
      <c r="BI1027"/>
      <c r="BJ1027"/>
      <c r="BK1027"/>
    </row>
    <row r="1028" spans="40:63" ht="12.75">
      <c r="AN1028"/>
      <c r="AO1028" s="293"/>
      <c r="AP1028"/>
      <c r="AQ1028" s="145"/>
      <c r="AR1028"/>
      <c r="AS1028"/>
      <c r="AT1028"/>
      <c r="AU1028"/>
      <c r="AV1028"/>
      <c r="AW1028"/>
      <c r="AX1028"/>
      <c r="AY1028"/>
      <c r="AZ1028"/>
      <c r="BA1028"/>
      <c r="BB1028"/>
      <c r="BC1028" s="578"/>
      <c r="BD1028" s="578"/>
      <c r="BE1028"/>
      <c r="BF1028"/>
      <c r="BG1028"/>
      <c r="BH1028"/>
      <c r="BI1028"/>
      <c r="BJ1028"/>
      <c r="BK1028"/>
    </row>
    <row r="1029" spans="40:63" ht="12.75">
      <c r="AN1029"/>
      <c r="AO1029" s="293"/>
      <c r="AP1029"/>
      <c r="AQ1029" s="145"/>
      <c r="AR1029"/>
      <c r="AS1029"/>
      <c r="AT1029"/>
      <c r="AU1029"/>
      <c r="AV1029"/>
      <c r="AW1029"/>
      <c r="AX1029"/>
      <c r="AY1029"/>
      <c r="AZ1029"/>
      <c r="BA1029"/>
      <c r="BB1029"/>
      <c r="BC1029" s="578"/>
      <c r="BD1029" s="578"/>
      <c r="BE1029"/>
      <c r="BF1029"/>
      <c r="BG1029"/>
      <c r="BH1029"/>
      <c r="BI1029"/>
      <c r="BJ1029"/>
      <c r="BK1029"/>
    </row>
    <row r="1030" spans="40:63" ht="12.75">
      <c r="AN1030"/>
      <c r="AO1030" s="293"/>
      <c r="AP1030"/>
      <c r="AQ1030" s="145"/>
      <c r="AR1030"/>
      <c r="AS1030"/>
      <c r="AT1030"/>
      <c r="AU1030"/>
      <c r="AV1030"/>
      <c r="AW1030"/>
      <c r="AX1030"/>
      <c r="AY1030"/>
      <c r="AZ1030"/>
      <c r="BA1030"/>
      <c r="BB1030"/>
      <c r="BC1030" s="578"/>
      <c r="BD1030" s="578"/>
      <c r="BE1030"/>
      <c r="BF1030"/>
      <c r="BG1030"/>
      <c r="BH1030"/>
      <c r="BI1030"/>
      <c r="BJ1030"/>
      <c r="BK1030"/>
    </row>
    <row r="1031" spans="40:63" ht="12.75">
      <c r="AN1031"/>
      <c r="AO1031" s="293"/>
      <c r="AP1031"/>
      <c r="AQ1031" s="145"/>
      <c r="AR1031"/>
      <c r="AS1031"/>
      <c r="AT1031"/>
      <c r="AU1031"/>
      <c r="AV1031"/>
      <c r="AW1031"/>
      <c r="AX1031"/>
      <c r="AY1031"/>
      <c r="AZ1031"/>
      <c r="BA1031"/>
      <c r="BB1031"/>
      <c r="BC1031" s="578"/>
      <c r="BD1031" s="578"/>
      <c r="BE1031"/>
      <c r="BF1031"/>
      <c r="BG1031"/>
      <c r="BH1031"/>
      <c r="BI1031"/>
      <c r="BJ1031"/>
      <c r="BK1031"/>
    </row>
    <row r="1032" spans="40:63" ht="12.75">
      <c r="AN1032"/>
      <c r="AO1032" s="293"/>
      <c r="AP1032"/>
      <c r="AQ1032" s="145"/>
      <c r="AR1032"/>
      <c r="AS1032"/>
      <c r="AT1032"/>
      <c r="AU1032"/>
      <c r="AV1032"/>
      <c r="AW1032"/>
      <c r="AX1032"/>
      <c r="AY1032"/>
      <c r="AZ1032"/>
      <c r="BA1032"/>
      <c r="BB1032"/>
      <c r="BC1032" s="578"/>
      <c r="BD1032" s="578"/>
      <c r="BE1032"/>
      <c r="BF1032"/>
      <c r="BG1032"/>
      <c r="BH1032"/>
      <c r="BI1032"/>
      <c r="BJ1032"/>
      <c r="BK1032"/>
    </row>
    <row r="1033" spans="40:63" ht="12.75">
      <c r="AN1033"/>
      <c r="AO1033" s="293"/>
      <c r="AP1033"/>
      <c r="AQ1033" s="145"/>
      <c r="AR1033"/>
      <c r="AS1033"/>
      <c r="AT1033"/>
      <c r="AU1033"/>
      <c r="AV1033"/>
      <c r="AW1033"/>
      <c r="AX1033"/>
      <c r="AY1033"/>
      <c r="AZ1033"/>
      <c r="BA1033"/>
      <c r="BB1033"/>
      <c r="BC1033" s="578"/>
      <c r="BD1033" s="578"/>
      <c r="BE1033"/>
      <c r="BF1033"/>
      <c r="BG1033"/>
      <c r="BH1033"/>
      <c r="BI1033"/>
      <c r="BJ1033"/>
      <c r="BK1033"/>
    </row>
    <row r="1034" spans="40:63" ht="12.75">
      <c r="AN1034"/>
      <c r="AO1034" s="293"/>
      <c r="AP1034"/>
      <c r="AQ1034" s="145"/>
      <c r="AR1034"/>
      <c r="AS1034"/>
      <c r="AT1034"/>
      <c r="AU1034"/>
      <c r="AV1034"/>
      <c r="AW1034"/>
      <c r="AX1034"/>
      <c r="AY1034"/>
      <c r="AZ1034"/>
      <c r="BA1034"/>
      <c r="BB1034"/>
      <c r="BC1034" s="578"/>
      <c r="BD1034" s="578"/>
      <c r="BE1034"/>
      <c r="BF1034"/>
      <c r="BG1034"/>
      <c r="BH1034"/>
      <c r="BI1034"/>
      <c r="BJ1034"/>
      <c r="BK1034"/>
    </row>
    <row r="1035" spans="40:63" ht="12.75">
      <c r="AN1035"/>
      <c r="AO1035" s="293"/>
      <c r="AP1035"/>
      <c r="AQ1035" s="145"/>
      <c r="AR1035"/>
      <c r="AS1035"/>
      <c r="AT1035"/>
      <c r="AU1035"/>
      <c r="AV1035"/>
      <c r="AW1035"/>
      <c r="AX1035"/>
      <c r="AY1035"/>
      <c r="AZ1035"/>
      <c r="BA1035"/>
      <c r="BB1035"/>
      <c r="BC1035" s="578"/>
      <c r="BD1035" s="578"/>
      <c r="BE1035"/>
      <c r="BF1035"/>
      <c r="BG1035"/>
      <c r="BH1035"/>
      <c r="BI1035"/>
      <c r="BJ1035"/>
      <c r="BK1035"/>
    </row>
    <row r="1036" spans="40:63" ht="12.75">
      <c r="AN1036"/>
      <c r="AO1036" s="293"/>
      <c r="AP1036"/>
      <c r="AQ1036" s="145"/>
      <c r="AR1036"/>
      <c r="AS1036"/>
      <c r="AT1036"/>
      <c r="AU1036"/>
      <c r="AV1036"/>
      <c r="AW1036"/>
      <c r="AX1036"/>
      <c r="AY1036"/>
      <c r="AZ1036"/>
      <c r="BA1036"/>
      <c r="BB1036"/>
      <c r="BC1036" s="578"/>
      <c r="BD1036" s="578"/>
      <c r="BE1036"/>
      <c r="BF1036"/>
      <c r="BG1036"/>
      <c r="BH1036"/>
      <c r="BI1036"/>
      <c r="BJ1036"/>
      <c r="BK1036"/>
    </row>
    <row r="1037" spans="40:63" ht="12.75">
      <c r="AN1037"/>
      <c r="AO1037" s="293"/>
      <c r="AP1037"/>
      <c r="AQ1037" s="145"/>
      <c r="AR1037"/>
      <c r="AS1037"/>
      <c r="AT1037"/>
      <c r="AU1037"/>
      <c r="AV1037"/>
      <c r="AW1037"/>
      <c r="AX1037"/>
      <c r="AY1037"/>
      <c r="AZ1037"/>
      <c r="BA1037"/>
      <c r="BB1037"/>
      <c r="BC1037" s="578"/>
      <c r="BD1037" s="578"/>
      <c r="BE1037"/>
      <c r="BF1037"/>
      <c r="BG1037"/>
      <c r="BH1037"/>
      <c r="BI1037"/>
      <c r="BJ1037"/>
      <c r="BK1037"/>
    </row>
    <row r="1038" spans="40:63" ht="12.75">
      <c r="AN1038"/>
      <c r="AO1038" s="293"/>
      <c r="AP1038"/>
      <c r="AQ1038" s="145"/>
      <c r="AR1038"/>
      <c r="AS1038"/>
      <c r="AT1038"/>
      <c r="AU1038"/>
      <c r="AV1038"/>
      <c r="AW1038"/>
      <c r="AX1038"/>
      <c r="AY1038"/>
      <c r="AZ1038"/>
      <c r="BA1038"/>
      <c r="BB1038"/>
      <c r="BC1038" s="578"/>
      <c r="BD1038" s="578"/>
      <c r="BE1038"/>
      <c r="BF1038"/>
      <c r="BG1038"/>
      <c r="BH1038"/>
      <c r="BI1038"/>
      <c r="BJ1038"/>
      <c r="BK1038"/>
    </row>
    <row r="1039" spans="40:63" ht="12.75">
      <c r="AN1039"/>
      <c r="AO1039" s="293"/>
      <c r="AP1039"/>
      <c r="AQ1039" s="145"/>
      <c r="AR1039"/>
      <c r="AS1039"/>
      <c r="AT1039"/>
      <c r="AU1039"/>
      <c r="AV1039"/>
      <c r="AW1039"/>
      <c r="AX1039"/>
      <c r="AY1039"/>
      <c r="AZ1039"/>
      <c r="BA1039"/>
      <c r="BB1039"/>
      <c r="BC1039" s="578"/>
      <c r="BD1039" s="578"/>
      <c r="BE1039"/>
      <c r="BF1039"/>
      <c r="BG1039"/>
      <c r="BH1039"/>
      <c r="BI1039"/>
      <c r="BJ1039"/>
      <c r="BK1039"/>
    </row>
    <row r="1040" spans="40:63" ht="12.75">
      <c r="AN1040"/>
      <c r="AO1040" s="293"/>
      <c r="AP1040"/>
      <c r="AQ1040" s="145"/>
      <c r="AR1040"/>
      <c r="AS1040"/>
      <c r="AT1040"/>
      <c r="AU1040"/>
      <c r="AV1040"/>
      <c r="AW1040"/>
      <c r="AX1040"/>
      <c r="AY1040"/>
      <c r="AZ1040"/>
      <c r="BA1040"/>
      <c r="BB1040"/>
      <c r="BC1040" s="578"/>
      <c r="BD1040" s="578"/>
      <c r="BE1040"/>
      <c r="BF1040"/>
      <c r="BG1040"/>
      <c r="BH1040"/>
      <c r="BI1040"/>
      <c r="BJ1040"/>
      <c r="BK1040"/>
    </row>
    <row r="1041" spans="40:63" ht="12.75">
      <c r="AN1041"/>
      <c r="AO1041" s="293"/>
      <c r="AP1041"/>
      <c r="AQ1041" s="145"/>
      <c r="AR1041"/>
      <c r="AS1041"/>
      <c r="AT1041"/>
      <c r="AU1041"/>
      <c r="AV1041"/>
      <c r="AW1041"/>
      <c r="AX1041"/>
      <c r="AY1041"/>
      <c r="AZ1041"/>
      <c r="BA1041"/>
      <c r="BB1041"/>
      <c r="BC1041" s="578"/>
      <c r="BD1041" s="578"/>
      <c r="BE1041"/>
      <c r="BF1041"/>
      <c r="BG1041"/>
      <c r="BH1041"/>
      <c r="BI1041"/>
      <c r="BJ1041"/>
      <c r="BK1041"/>
    </row>
    <row r="1042" spans="40:63" ht="12.75">
      <c r="AN1042"/>
      <c r="AO1042" s="293"/>
      <c r="AP1042"/>
      <c r="AQ1042" s="145"/>
      <c r="AR1042"/>
      <c r="AS1042"/>
      <c r="AT1042"/>
      <c r="AU1042"/>
      <c r="AV1042"/>
      <c r="AW1042"/>
      <c r="AX1042"/>
      <c r="AY1042"/>
      <c r="AZ1042"/>
      <c r="BA1042"/>
      <c r="BB1042"/>
      <c r="BC1042" s="578"/>
      <c r="BD1042" s="578"/>
      <c r="BE1042"/>
      <c r="BF1042"/>
      <c r="BG1042"/>
      <c r="BH1042"/>
      <c r="BI1042"/>
      <c r="BJ1042"/>
      <c r="BK1042"/>
    </row>
    <row r="1043" spans="40:63" ht="12.75">
      <c r="AN1043"/>
      <c r="AO1043" s="293"/>
      <c r="AP1043"/>
      <c r="AQ1043" s="145"/>
      <c r="AR1043"/>
      <c r="AS1043"/>
      <c r="AT1043"/>
      <c r="AU1043"/>
      <c r="AV1043"/>
      <c r="AW1043"/>
      <c r="AX1043"/>
      <c r="AY1043"/>
      <c r="AZ1043"/>
      <c r="BA1043"/>
      <c r="BB1043"/>
      <c r="BC1043" s="578"/>
      <c r="BD1043" s="578"/>
      <c r="BE1043"/>
      <c r="BF1043"/>
      <c r="BG1043"/>
      <c r="BH1043"/>
      <c r="BI1043"/>
      <c r="BJ1043"/>
      <c r="BK1043"/>
    </row>
    <row r="1044" spans="40:63" ht="12.75">
      <c r="AN1044"/>
      <c r="AO1044" s="293"/>
      <c r="AP1044"/>
      <c r="AQ1044" s="145"/>
      <c r="AR1044"/>
      <c r="AS1044"/>
      <c r="AT1044"/>
      <c r="AU1044"/>
      <c r="AV1044"/>
      <c r="AW1044"/>
      <c r="AX1044"/>
      <c r="AY1044"/>
      <c r="AZ1044"/>
      <c r="BA1044"/>
      <c r="BB1044"/>
      <c r="BC1044" s="578"/>
      <c r="BD1044" s="578"/>
      <c r="BE1044"/>
      <c r="BF1044"/>
      <c r="BG1044"/>
      <c r="BH1044"/>
      <c r="BI1044"/>
      <c r="BJ1044"/>
      <c r="BK1044"/>
    </row>
    <row r="1045" spans="40:63" ht="12.75">
      <c r="AN1045"/>
      <c r="AO1045" s="293"/>
      <c r="AP1045"/>
      <c r="AQ1045" s="145"/>
      <c r="AR1045"/>
      <c r="AS1045"/>
      <c r="AT1045"/>
      <c r="AU1045"/>
      <c r="AV1045"/>
      <c r="AW1045"/>
      <c r="AX1045"/>
      <c r="AY1045"/>
      <c r="AZ1045"/>
      <c r="BA1045"/>
      <c r="BB1045"/>
      <c r="BC1045" s="578"/>
      <c r="BD1045" s="578"/>
      <c r="BE1045"/>
      <c r="BF1045"/>
      <c r="BG1045"/>
      <c r="BH1045"/>
      <c r="BI1045"/>
      <c r="BJ1045"/>
      <c r="BK1045"/>
    </row>
    <row r="1046" spans="40:63" ht="12.75">
      <c r="AN1046"/>
      <c r="AO1046" s="293"/>
      <c r="AP1046"/>
      <c r="AQ1046" s="145"/>
      <c r="AR1046"/>
      <c r="AS1046"/>
      <c r="AT1046"/>
      <c r="AU1046"/>
      <c r="AV1046"/>
      <c r="AW1046"/>
      <c r="AX1046"/>
      <c r="AY1046"/>
      <c r="AZ1046"/>
      <c r="BA1046"/>
      <c r="BB1046"/>
      <c r="BC1046" s="578"/>
      <c r="BD1046" s="578"/>
      <c r="BE1046"/>
      <c r="BF1046"/>
      <c r="BG1046"/>
      <c r="BH1046"/>
      <c r="BI1046"/>
      <c r="BJ1046"/>
      <c r="BK1046"/>
    </row>
    <row r="1047" spans="40:63" ht="12.75">
      <c r="AN1047"/>
      <c r="AO1047" s="293"/>
      <c r="AP1047"/>
      <c r="AQ1047" s="145"/>
      <c r="AR1047"/>
      <c r="AS1047"/>
      <c r="AT1047"/>
      <c r="AU1047"/>
      <c r="AV1047"/>
      <c r="AW1047"/>
      <c r="AX1047"/>
      <c r="AY1047"/>
      <c r="AZ1047"/>
      <c r="BA1047"/>
      <c r="BB1047"/>
      <c r="BC1047" s="578"/>
      <c r="BD1047" s="578"/>
      <c r="BE1047"/>
      <c r="BF1047"/>
      <c r="BG1047"/>
      <c r="BH1047"/>
      <c r="BI1047"/>
      <c r="BJ1047"/>
      <c r="BK1047"/>
    </row>
    <row r="1048" spans="40:63" ht="12.75">
      <c r="AN1048"/>
      <c r="AO1048" s="293"/>
      <c r="AP1048"/>
      <c r="AQ1048" s="145"/>
      <c r="AR1048"/>
      <c r="AS1048"/>
      <c r="AT1048"/>
      <c r="AU1048"/>
      <c r="AV1048"/>
      <c r="AW1048"/>
      <c r="AX1048"/>
      <c r="AY1048"/>
      <c r="AZ1048"/>
      <c r="BA1048"/>
      <c r="BB1048"/>
      <c r="BC1048" s="578"/>
      <c r="BD1048" s="578"/>
      <c r="BE1048"/>
      <c r="BF1048"/>
      <c r="BG1048"/>
      <c r="BH1048"/>
      <c r="BI1048"/>
      <c r="BJ1048"/>
      <c r="BK1048"/>
    </row>
    <row r="1049" spans="40:63" ht="12.75">
      <c r="AN1049"/>
      <c r="AO1049" s="293"/>
      <c r="AP1049"/>
      <c r="AQ1049" s="145"/>
      <c r="AR1049"/>
      <c r="AS1049"/>
      <c r="AT1049"/>
      <c r="AU1049"/>
      <c r="AV1049"/>
      <c r="AW1049"/>
      <c r="AX1049"/>
      <c r="AY1049"/>
      <c r="AZ1049"/>
      <c r="BA1049"/>
      <c r="BB1049"/>
      <c r="BC1049" s="578"/>
      <c r="BD1049" s="578"/>
      <c r="BE1049"/>
      <c r="BF1049"/>
      <c r="BG1049"/>
      <c r="BH1049"/>
      <c r="BI1049"/>
      <c r="BJ1049"/>
      <c r="BK1049"/>
    </row>
    <row r="1050" spans="40:63" ht="12.75">
      <c r="AN1050"/>
      <c r="AO1050" s="293"/>
      <c r="AP1050"/>
      <c r="AQ1050" s="145"/>
      <c r="AR1050"/>
      <c r="AS1050"/>
      <c r="AT1050"/>
      <c r="AU1050"/>
      <c r="AV1050"/>
      <c r="AW1050"/>
      <c r="AX1050"/>
      <c r="AY1050"/>
      <c r="AZ1050"/>
      <c r="BA1050"/>
      <c r="BB1050"/>
      <c r="BC1050" s="578"/>
      <c r="BD1050" s="578"/>
      <c r="BE1050"/>
      <c r="BF1050"/>
      <c r="BG1050"/>
      <c r="BH1050"/>
      <c r="BI1050"/>
      <c r="BJ1050"/>
      <c r="BK1050"/>
    </row>
    <row r="1051" spans="40:63" ht="12.75">
      <c r="AN1051"/>
      <c r="AO1051" s="293"/>
      <c r="AP1051"/>
      <c r="AQ1051" s="145"/>
      <c r="AR1051"/>
      <c r="AS1051"/>
      <c r="AT1051"/>
      <c r="AU1051"/>
      <c r="AV1051"/>
      <c r="AW1051"/>
      <c r="AX1051"/>
      <c r="AY1051"/>
      <c r="AZ1051"/>
      <c r="BA1051"/>
      <c r="BB1051"/>
      <c r="BC1051" s="578"/>
      <c r="BD1051" s="578"/>
      <c r="BE1051"/>
      <c r="BF1051"/>
      <c r="BG1051"/>
      <c r="BH1051"/>
      <c r="BI1051"/>
      <c r="BJ1051"/>
      <c r="BK1051"/>
    </row>
    <row r="1052" spans="40:63" ht="12.75">
      <c r="AN1052"/>
      <c r="AO1052" s="293"/>
      <c r="AP1052"/>
      <c r="AQ1052" s="145"/>
      <c r="AR1052"/>
      <c r="AS1052"/>
      <c r="AT1052"/>
      <c r="AU1052"/>
      <c r="AV1052"/>
      <c r="AW1052"/>
      <c r="AX1052"/>
      <c r="AY1052"/>
      <c r="AZ1052"/>
      <c r="BA1052"/>
      <c r="BB1052"/>
      <c r="BC1052" s="578"/>
      <c r="BD1052" s="578"/>
      <c r="BE1052"/>
      <c r="BF1052"/>
      <c r="BG1052"/>
      <c r="BH1052"/>
      <c r="BI1052"/>
      <c r="BJ1052"/>
      <c r="BK1052"/>
    </row>
    <row r="1053" spans="40:63" ht="12.75">
      <c r="AN1053"/>
      <c r="AO1053" s="293"/>
      <c r="AP1053"/>
      <c r="AQ1053" s="145"/>
      <c r="AR1053"/>
      <c r="AS1053"/>
      <c r="AT1053"/>
      <c r="AU1053"/>
      <c r="AV1053"/>
      <c r="AW1053"/>
      <c r="AX1053"/>
      <c r="AY1053"/>
      <c r="AZ1053"/>
      <c r="BA1053"/>
      <c r="BB1053"/>
      <c r="BC1053" s="578"/>
      <c r="BD1053" s="578"/>
      <c r="BE1053"/>
      <c r="BF1053"/>
      <c r="BG1053"/>
      <c r="BH1053"/>
      <c r="BI1053"/>
      <c r="BJ1053"/>
      <c r="BK1053"/>
    </row>
    <row r="1054" spans="40:63" ht="12.75">
      <c r="AN1054"/>
      <c r="AO1054" s="293"/>
      <c r="AP1054"/>
      <c r="AQ1054" s="145"/>
      <c r="AR1054"/>
      <c r="AS1054"/>
      <c r="AT1054"/>
      <c r="AU1054"/>
      <c r="AV1054"/>
      <c r="AW1054"/>
      <c r="AX1054"/>
      <c r="AY1054"/>
      <c r="AZ1054"/>
      <c r="BA1054"/>
      <c r="BB1054"/>
      <c r="BC1054" s="578"/>
      <c r="BD1054" s="578"/>
      <c r="BE1054"/>
      <c r="BF1054"/>
      <c r="BG1054"/>
      <c r="BH1054"/>
      <c r="BI1054"/>
      <c r="BJ1054"/>
      <c r="BK1054"/>
    </row>
    <row r="1055" spans="40:63" ht="12.75">
      <c r="AN1055"/>
      <c r="AO1055" s="293"/>
      <c r="AP1055"/>
      <c r="AQ1055" s="145"/>
      <c r="AR1055"/>
      <c r="AS1055"/>
      <c r="AT1055"/>
      <c r="AU1055"/>
      <c r="AV1055"/>
      <c r="AW1055"/>
      <c r="AX1055"/>
      <c r="AY1055"/>
      <c r="AZ1055"/>
      <c r="BA1055"/>
      <c r="BB1055"/>
      <c r="BC1055" s="578"/>
      <c r="BD1055" s="578"/>
      <c r="BE1055"/>
      <c r="BF1055"/>
      <c r="BG1055"/>
      <c r="BH1055"/>
      <c r="BI1055"/>
      <c r="BJ1055"/>
      <c r="BK1055"/>
    </row>
    <row r="1056" spans="40:63" ht="12.75">
      <c r="AN1056"/>
      <c r="AO1056" s="293"/>
      <c r="AP1056"/>
      <c r="AQ1056" s="145"/>
      <c r="AR1056"/>
      <c r="AS1056"/>
      <c r="AT1056"/>
      <c r="AU1056"/>
      <c r="AV1056"/>
      <c r="AW1056"/>
      <c r="AX1056"/>
      <c r="AY1056"/>
      <c r="AZ1056"/>
      <c r="BA1056"/>
      <c r="BB1056"/>
      <c r="BC1056" s="578"/>
      <c r="BD1056" s="578"/>
      <c r="BE1056"/>
      <c r="BF1056"/>
      <c r="BG1056"/>
      <c r="BH1056"/>
      <c r="BI1056"/>
      <c r="BJ1056"/>
      <c r="BK1056"/>
    </row>
    <row r="1057" spans="40:63" ht="12.75">
      <c r="AN1057"/>
      <c r="AO1057" s="293"/>
      <c r="AP1057"/>
      <c r="AQ1057" s="145"/>
      <c r="AR1057"/>
      <c r="AS1057"/>
      <c r="AT1057"/>
      <c r="AU1057"/>
      <c r="AV1057"/>
      <c r="AW1057"/>
      <c r="AX1057"/>
      <c r="AY1057"/>
      <c r="AZ1057"/>
      <c r="BA1057"/>
      <c r="BB1057"/>
      <c r="BC1057" s="578"/>
      <c r="BD1057" s="578"/>
      <c r="BE1057"/>
      <c r="BF1057"/>
      <c r="BG1057"/>
      <c r="BH1057"/>
      <c r="BI1057"/>
      <c r="BJ1057"/>
      <c r="BK1057"/>
    </row>
    <row r="1058" spans="40:63" ht="12.75">
      <c r="AN1058"/>
      <c r="AO1058" s="293"/>
      <c r="AP1058"/>
      <c r="AQ1058" s="145"/>
      <c r="AR1058"/>
      <c r="AS1058"/>
      <c r="AT1058"/>
      <c r="AU1058"/>
      <c r="AV1058"/>
      <c r="AW1058"/>
      <c r="AX1058"/>
      <c r="AY1058"/>
      <c r="AZ1058"/>
      <c r="BA1058"/>
      <c r="BB1058"/>
      <c r="BC1058" s="578"/>
      <c r="BD1058" s="578"/>
      <c r="BE1058"/>
      <c r="BF1058"/>
      <c r="BG1058"/>
      <c r="BH1058"/>
      <c r="BI1058"/>
      <c r="BJ1058"/>
      <c r="BK1058"/>
    </row>
    <row r="1059" spans="40:63" ht="12.75">
      <c r="AN1059"/>
      <c r="AO1059" s="293"/>
      <c r="AP1059"/>
      <c r="AQ1059" s="145"/>
      <c r="AR1059"/>
      <c r="AS1059"/>
      <c r="AT1059"/>
      <c r="AU1059"/>
      <c r="AV1059"/>
      <c r="AW1059"/>
      <c r="AX1059"/>
      <c r="AY1059"/>
      <c r="AZ1059"/>
      <c r="BA1059"/>
      <c r="BB1059"/>
      <c r="BC1059" s="578"/>
      <c r="BD1059" s="578"/>
      <c r="BE1059"/>
      <c r="BF1059"/>
      <c r="BG1059"/>
      <c r="BH1059"/>
      <c r="BI1059"/>
      <c r="BJ1059"/>
      <c r="BK1059"/>
    </row>
    <row r="1060" spans="40:63" ht="12.75">
      <c r="AN1060"/>
      <c r="AO1060" s="293"/>
      <c r="AP1060"/>
      <c r="AQ1060" s="145"/>
      <c r="AR1060"/>
      <c r="AS1060"/>
      <c r="AT1060"/>
      <c r="AU1060"/>
      <c r="AV1060"/>
      <c r="AW1060"/>
      <c r="AX1060"/>
      <c r="AY1060"/>
      <c r="AZ1060"/>
      <c r="BA1060"/>
      <c r="BB1060"/>
      <c r="BC1060" s="578"/>
      <c r="BD1060" s="578"/>
      <c r="BE1060"/>
      <c r="BF1060"/>
      <c r="BG1060"/>
      <c r="BH1060"/>
      <c r="BI1060"/>
      <c r="BJ1060"/>
      <c r="BK1060"/>
    </row>
    <row r="1061" spans="40:63" ht="12.75">
      <c r="AN1061"/>
      <c r="AO1061" s="293"/>
      <c r="AP1061"/>
      <c r="AQ1061" s="145"/>
      <c r="AR1061"/>
      <c r="AS1061"/>
      <c r="AT1061"/>
      <c r="AU1061"/>
      <c r="AV1061"/>
      <c r="AW1061"/>
      <c r="AX1061"/>
      <c r="AY1061"/>
      <c r="AZ1061"/>
      <c r="BA1061"/>
      <c r="BB1061"/>
      <c r="BC1061" s="578"/>
      <c r="BD1061" s="578"/>
      <c r="BE1061"/>
      <c r="BF1061"/>
      <c r="BG1061"/>
      <c r="BH1061"/>
      <c r="BI1061"/>
      <c r="BJ1061"/>
      <c r="BK1061"/>
    </row>
    <row r="1062" spans="40:63" ht="12.75">
      <c r="AN1062"/>
      <c r="AO1062" s="293"/>
      <c r="AP1062"/>
      <c r="AQ1062" s="145"/>
      <c r="AR1062"/>
      <c r="AS1062"/>
      <c r="AT1062"/>
      <c r="AU1062"/>
      <c r="AV1062"/>
      <c r="AW1062"/>
      <c r="AX1062"/>
      <c r="AY1062"/>
      <c r="AZ1062"/>
      <c r="BA1062"/>
      <c r="BB1062"/>
      <c r="BC1062" s="578"/>
      <c r="BD1062" s="578"/>
      <c r="BE1062"/>
      <c r="BF1062"/>
      <c r="BG1062"/>
      <c r="BH1062"/>
      <c r="BI1062"/>
      <c r="BJ1062"/>
      <c r="BK1062"/>
    </row>
    <row r="1063" spans="40:63" ht="12.75">
      <c r="AN1063"/>
      <c r="AO1063" s="293"/>
      <c r="AP1063"/>
      <c r="AQ1063" s="145"/>
      <c r="AR1063"/>
      <c r="AS1063"/>
      <c r="AT1063"/>
      <c r="AU1063"/>
      <c r="AV1063"/>
      <c r="AW1063"/>
      <c r="AX1063"/>
      <c r="AY1063"/>
      <c r="AZ1063"/>
      <c r="BA1063"/>
      <c r="BB1063"/>
      <c r="BC1063" s="578"/>
      <c r="BD1063" s="578"/>
      <c r="BE1063"/>
      <c r="BF1063"/>
      <c r="BG1063"/>
      <c r="BH1063"/>
      <c r="BI1063"/>
      <c r="BJ1063"/>
      <c r="BK1063"/>
    </row>
    <row r="1064" spans="40:63" ht="12.75">
      <c r="AN1064"/>
      <c r="AO1064" s="293"/>
      <c r="AP1064"/>
      <c r="AQ1064" s="145"/>
      <c r="AR1064"/>
      <c r="AS1064"/>
      <c r="AT1064"/>
      <c r="AU1064"/>
      <c r="AV1064"/>
      <c r="AW1064"/>
      <c r="AX1064"/>
      <c r="AY1064"/>
      <c r="AZ1064"/>
      <c r="BA1064"/>
      <c r="BB1064"/>
      <c r="BC1064" s="578"/>
      <c r="BD1064" s="578"/>
      <c r="BE1064"/>
      <c r="BF1064"/>
      <c r="BG1064"/>
      <c r="BH1064"/>
      <c r="BI1064"/>
      <c r="BJ1064"/>
      <c r="BK1064"/>
    </row>
    <row r="1065" spans="40:63" ht="12.75">
      <c r="AN1065"/>
      <c r="AO1065" s="293"/>
      <c r="AP1065"/>
      <c r="AQ1065" s="145"/>
      <c r="AR1065"/>
      <c r="AS1065"/>
      <c r="AT1065"/>
      <c r="AU1065"/>
      <c r="AV1065"/>
      <c r="AW1065"/>
      <c r="AX1065"/>
      <c r="AY1065"/>
      <c r="AZ1065"/>
      <c r="BA1065"/>
      <c r="BB1065"/>
      <c r="BC1065" s="578"/>
      <c r="BD1065" s="578"/>
      <c r="BE1065"/>
      <c r="BF1065"/>
      <c r="BG1065"/>
      <c r="BH1065"/>
      <c r="BI1065"/>
      <c r="BJ1065"/>
      <c r="BK1065"/>
    </row>
    <row r="1066" spans="40:63" ht="12.75">
      <c r="AN1066"/>
      <c r="AO1066" s="293"/>
      <c r="AP1066"/>
      <c r="AQ1066" s="145"/>
      <c r="AR1066"/>
      <c r="AS1066"/>
      <c r="AT1066"/>
      <c r="AU1066"/>
      <c r="AV1066"/>
      <c r="AW1066"/>
      <c r="AX1066"/>
      <c r="AY1066"/>
      <c r="AZ1066"/>
      <c r="BA1066"/>
      <c r="BB1066"/>
      <c r="BC1066" s="578"/>
      <c r="BD1066" s="578"/>
      <c r="BE1066"/>
      <c r="BF1066"/>
      <c r="BG1066"/>
      <c r="BH1066"/>
      <c r="BI1066"/>
      <c r="BJ1066"/>
      <c r="BK1066"/>
    </row>
    <row r="1067" spans="40:63" ht="12.75">
      <c r="AN1067"/>
      <c r="AO1067" s="293"/>
      <c r="AP1067"/>
      <c r="AQ1067" s="145"/>
      <c r="AR1067"/>
      <c r="AS1067"/>
      <c r="AT1067"/>
      <c r="AU1067"/>
      <c r="AV1067"/>
      <c r="AW1067"/>
      <c r="AX1067"/>
      <c r="AY1067"/>
      <c r="AZ1067"/>
      <c r="BA1067"/>
      <c r="BB1067"/>
      <c r="BC1067" s="578"/>
      <c r="BD1067" s="578"/>
      <c r="BE1067"/>
      <c r="BF1067"/>
      <c r="BG1067"/>
      <c r="BH1067"/>
      <c r="BI1067"/>
      <c r="BJ1067"/>
      <c r="BK1067"/>
    </row>
    <row r="1068" spans="40:63" ht="12.75">
      <c r="AN1068"/>
      <c r="AO1068" s="293"/>
      <c r="AP1068"/>
      <c r="AQ1068" s="145"/>
      <c r="AR1068"/>
      <c r="AS1068"/>
      <c r="AT1068"/>
      <c r="AU1068"/>
      <c r="AV1068"/>
      <c r="AW1068"/>
      <c r="AX1068"/>
      <c r="AY1068"/>
      <c r="AZ1068"/>
      <c r="BA1068"/>
      <c r="BB1068"/>
      <c r="BC1068" s="578"/>
      <c r="BD1068" s="578"/>
      <c r="BE1068"/>
      <c r="BF1068"/>
      <c r="BG1068"/>
      <c r="BH1068"/>
      <c r="BI1068"/>
      <c r="BJ1068"/>
      <c r="BK1068"/>
    </row>
    <row r="1069" spans="40:63" ht="12.75">
      <c r="AN1069"/>
      <c r="AO1069" s="293"/>
      <c r="AP1069"/>
      <c r="AQ1069" s="145"/>
      <c r="AR1069"/>
      <c r="AS1069"/>
      <c r="AT1069"/>
      <c r="AU1069"/>
      <c r="AV1069"/>
      <c r="AW1069"/>
      <c r="AX1069"/>
      <c r="AY1069"/>
      <c r="AZ1069"/>
      <c r="BA1069"/>
      <c r="BB1069"/>
      <c r="BC1069" s="578"/>
      <c r="BD1069" s="578"/>
      <c r="BE1069"/>
      <c r="BF1069"/>
      <c r="BG1069"/>
      <c r="BH1069"/>
      <c r="BI1069"/>
      <c r="BJ1069"/>
      <c r="BK1069"/>
    </row>
    <row r="1070" spans="40:63" ht="12.75">
      <c r="AN1070"/>
      <c r="AO1070" s="293"/>
      <c r="AP1070"/>
      <c r="AQ1070" s="145"/>
      <c r="AR1070"/>
      <c r="AS1070"/>
      <c r="AT1070"/>
      <c r="AU1070"/>
      <c r="AV1070"/>
      <c r="AW1070"/>
      <c r="AX1070"/>
      <c r="AY1070"/>
      <c r="AZ1070"/>
      <c r="BA1070"/>
      <c r="BB1070"/>
      <c r="BC1070" s="578"/>
      <c r="BD1070" s="578"/>
      <c r="BE1070"/>
      <c r="BF1070"/>
      <c r="BG1070"/>
      <c r="BH1070"/>
      <c r="BI1070"/>
      <c r="BJ1070"/>
      <c r="BK1070"/>
    </row>
    <row r="1071" spans="40:63" ht="12.75">
      <c r="AN1071"/>
      <c r="AO1071" s="293"/>
      <c r="AP1071"/>
      <c r="AQ1071" s="145"/>
      <c r="AR1071"/>
      <c r="AS1071"/>
      <c r="AT1071"/>
      <c r="AU1071"/>
      <c r="AV1071"/>
      <c r="AW1071"/>
      <c r="AX1071"/>
      <c r="AY1071"/>
      <c r="AZ1071"/>
      <c r="BA1071"/>
      <c r="BB1071"/>
      <c r="BC1071" s="578"/>
      <c r="BD1071" s="578"/>
      <c r="BE1071"/>
      <c r="BF1071"/>
      <c r="BG1071"/>
      <c r="BH1071"/>
      <c r="BI1071"/>
      <c r="BJ1071"/>
      <c r="BK1071"/>
    </row>
    <row r="1072" spans="40:63" ht="12.75">
      <c r="AN1072"/>
      <c r="AO1072" s="293"/>
      <c r="AP1072"/>
      <c r="AQ1072" s="145"/>
      <c r="AR1072"/>
      <c r="AS1072"/>
      <c r="AT1072"/>
      <c r="AU1072"/>
      <c r="AV1072"/>
      <c r="AW1072"/>
      <c r="AX1072"/>
      <c r="AY1072"/>
      <c r="AZ1072"/>
      <c r="BA1072"/>
      <c r="BB1072"/>
      <c r="BC1072" s="578"/>
      <c r="BD1072" s="578"/>
      <c r="BE1072"/>
      <c r="BF1072"/>
      <c r="BG1072"/>
      <c r="BH1072"/>
      <c r="BI1072"/>
      <c r="BJ1072"/>
      <c r="BK1072"/>
    </row>
    <row r="1073" spans="40:63" ht="12.75">
      <c r="AN1073"/>
      <c r="AO1073" s="293"/>
      <c r="AP1073"/>
      <c r="AQ1073" s="145"/>
      <c r="AR1073"/>
      <c r="AS1073"/>
      <c r="AT1073"/>
      <c r="AU1073"/>
      <c r="AV1073"/>
      <c r="AW1073"/>
      <c r="AX1073"/>
      <c r="AY1073"/>
      <c r="AZ1073"/>
      <c r="BA1073"/>
      <c r="BB1073"/>
      <c r="BC1073" s="578"/>
      <c r="BD1073" s="578"/>
      <c r="BE1073"/>
      <c r="BF1073"/>
      <c r="BG1073"/>
      <c r="BH1073"/>
      <c r="BI1073"/>
      <c r="BJ1073"/>
      <c r="BK1073"/>
    </row>
    <row r="1074" spans="40:63" ht="12.75">
      <c r="AN1074"/>
      <c r="AO1074" s="293"/>
      <c r="AP1074"/>
      <c r="AQ1074" s="145"/>
      <c r="AR1074"/>
      <c r="AS1074"/>
      <c r="AT1074"/>
      <c r="AU1074"/>
      <c r="AV1074"/>
      <c r="AW1074"/>
      <c r="AX1074"/>
      <c r="AY1074"/>
      <c r="AZ1074"/>
      <c r="BA1074"/>
      <c r="BB1074"/>
      <c r="BC1074" s="578"/>
      <c r="BD1074" s="578"/>
      <c r="BE1074"/>
      <c r="BF1074"/>
      <c r="BG1074"/>
      <c r="BH1074"/>
      <c r="BI1074"/>
      <c r="BJ1074"/>
      <c r="BK1074"/>
    </row>
    <row r="1075" spans="40:63" ht="12.75">
      <c r="AN1075"/>
      <c r="AO1075" s="293"/>
      <c r="AP1075"/>
      <c r="AQ1075" s="145"/>
      <c r="AR1075"/>
      <c r="AS1075"/>
      <c r="AT1075"/>
      <c r="AU1075"/>
      <c r="AV1075"/>
      <c r="AW1075"/>
      <c r="AX1075"/>
      <c r="AY1075"/>
      <c r="AZ1075"/>
      <c r="BA1075"/>
      <c r="BB1075"/>
      <c r="BC1075" s="578"/>
      <c r="BD1075" s="578"/>
      <c r="BE1075"/>
      <c r="BF1075"/>
      <c r="BG1075"/>
      <c r="BH1075"/>
      <c r="BI1075"/>
      <c r="BJ1075"/>
      <c r="BK1075"/>
    </row>
    <row r="1076" spans="40:63" ht="12.75">
      <c r="AN1076"/>
      <c r="AO1076" s="293"/>
      <c r="AP1076"/>
      <c r="AQ1076" s="145"/>
      <c r="AR1076"/>
      <c r="AS1076"/>
      <c r="AT1076"/>
      <c r="AU1076"/>
      <c r="AV1076"/>
      <c r="AW1076"/>
      <c r="AX1076"/>
      <c r="AY1076"/>
      <c r="AZ1076"/>
      <c r="BA1076"/>
      <c r="BB1076"/>
      <c r="BC1076" s="578"/>
      <c r="BD1076" s="578"/>
      <c r="BE1076"/>
      <c r="BF1076"/>
      <c r="BG1076"/>
      <c r="BH1076"/>
      <c r="BI1076"/>
      <c r="BJ1076"/>
      <c r="BK1076"/>
    </row>
    <row r="1077" spans="40:63" ht="12.75">
      <c r="AN1077"/>
      <c r="AO1077" s="293"/>
      <c r="AP1077"/>
      <c r="AQ1077" s="145"/>
      <c r="AR1077"/>
      <c r="AS1077"/>
      <c r="AT1077"/>
      <c r="AU1077"/>
      <c r="AV1077"/>
      <c r="AW1077"/>
      <c r="AX1077"/>
      <c r="AY1077"/>
      <c r="AZ1077"/>
      <c r="BA1077"/>
      <c r="BB1077"/>
      <c r="BC1077" s="578"/>
      <c r="BD1077" s="578"/>
      <c r="BE1077"/>
      <c r="BF1077"/>
      <c r="BG1077"/>
      <c r="BH1077"/>
      <c r="BI1077"/>
      <c r="BJ1077"/>
      <c r="BK1077"/>
    </row>
    <row r="1078" spans="40:63" ht="12.75">
      <c r="AN1078"/>
      <c r="AO1078" s="293"/>
      <c r="AP1078"/>
      <c r="AQ1078" s="145"/>
      <c r="AR1078"/>
      <c r="AS1078"/>
      <c r="AT1078"/>
      <c r="AU1078"/>
      <c r="AV1078"/>
      <c r="AW1078"/>
      <c r="AX1078"/>
      <c r="AY1078"/>
      <c r="AZ1078"/>
      <c r="BA1078"/>
      <c r="BB1078"/>
      <c r="BC1078" s="578"/>
      <c r="BD1078" s="578"/>
      <c r="BE1078"/>
      <c r="BF1078"/>
      <c r="BG1078"/>
      <c r="BH1078"/>
      <c r="BI1078"/>
      <c r="BJ1078"/>
      <c r="BK1078"/>
    </row>
    <row r="1079" spans="40:63" ht="12.75">
      <c r="AN1079"/>
      <c r="AO1079" s="293"/>
      <c r="AP1079"/>
      <c r="AQ1079" s="145"/>
      <c r="AR1079"/>
      <c r="AS1079"/>
      <c r="AT1079"/>
      <c r="AU1079"/>
      <c r="AV1079"/>
      <c r="AW1079"/>
      <c r="AX1079"/>
      <c r="AY1079"/>
      <c r="AZ1079"/>
      <c r="BA1079"/>
      <c r="BB1079"/>
      <c r="BC1079" s="578"/>
      <c r="BD1079" s="578"/>
      <c r="BE1079"/>
      <c r="BF1079"/>
      <c r="BG1079"/>
      <c r="BH1079"/>
      <c r="BI1079"/>
      <c r="BJ1079"/>
      <c r="BK1079"/>
    </row>
    <row r="1080" spans="40:63" ht="12.75">
      <c r="AN1080"/>
      <c r="AO1080" s="293"/>
      <c r="AP1080"/>
      <c r="AQ1080" s="145"/>
      <c r="AR1080"/>
      <c r="AS1080"/>
      <c r="AT1080"/>
      <c r="AU1080"/>
      <c r="AV1080"/>
      <c r="AW1080"/>
      <c r="AX1080"/>
      <c r="AY1080"/>
      <c r="AZ1080"/>
      <c r="BA1080"/>
      <c r="BB1080"/>
      <c r="BC1080" s="578"/>
      <c r="BD1080" s="578"/>
      <c r="BE1080"/>
      <c r="BF1080"/>
      <c r="BG1080"/>
      <c r="BH1080"/>
      <c r="BI1080"/>
      <c r="BJ1080"/>
      <c r="BK1080"/>
    </row>
    <row r="1081" spans="40:63" ht="12.75">
      <c r="AN1081"/>
      <c r="AO1081" s="293"/>
      <c r="AP1081"/>
      <c r="AQ1081" s="145"/>
      <c r="AR1081"/>
      <c r="AS1081"/>
      <c r="AT1081"/>
      <c r="AU1081"/>
      <c r="AV1081"/>
      <c r="AW1081"/>
      <c r="AX1081"/>
      <c r="AY1081"/>
      <c r="AZ1081"/>
      <c r="BA1081"/>
      <c r="BB1081"/>
      <c r="BC1081" s="578"/>
      <c r="BD1081" s="578"/>
      <c r="BE1081"/>
      <c r="BF1081"/>
      <c r="BG1081"/>
      <c r="BH1081"/>
      <c r="BI1081"/>
      <c r="BJ1081"/>
      <c r="BK1081"/>
    </row>
    <row r="1082" spans="40:63" ht="12.75">
      <c r="AN1082"/>
      <c r="AO1082" s="293"/>
      <c r="AP1082"/>
      <c r="AQ1082" s="145"/>
      <c r="AR1082"/>
      <c r="AS1082"/>
      <c r="AT1082"/>
      <c r="AU1082"/>
      <c r="AV1082"/>
      <c r="AW1082"/>
      <c r="AX1082"/>
      <c r="AY1082"/>
      <c r="AZ1082"/>
      <c r="BA1082"/>
      <c r="BB1082"/>
      <c r="BC1082" s="578"/>
      <c r="BD1082" s="578"/>
      <c r="BE1082"/>
      <c r="BF1082"/>
      <c r="BG1082"/>
      <c r="BH1082"/>
      <c r="BI1082"/>
      <c r="BJ1082"/>
      <c r="BK1082"/>
    </row>
    <row r="1083" spans="40:63" ht="12.75">
      <c r="AN1083"/>
      <c r="AO1083" s="293"/>
      <c r="AP1083"/>
      <c r="AQ1083" s="145"/>
      <c r="AR1083"/>
      <c r="AS1083"/>
      <c r="AT1083"/>
      <c r="AU1083"/>
      <c r="AV1083"/>
      <c r="AW1083"/>
      <c r="AX1083"/>
      <c r="AY1083"/>
      <c r="AZ1083"/>
      <c r="BA1083"/>
      <c r="BB1083"/>
      <c r="BC1083" s="578"/>
      <c r="BD1083" s="578"/>
      <c r="BE1083"/>
      <c r="BF1083"/>
      <c r="BG1083"/>
      <c r="BH1083"/>
      <c r="BI1083"/>
      <c r="BJ1083"/>
      <c r="BK1083"/>
    </row>
    <row r="1084" spans="40:63" ht="12.75">
      <c r="AN1084"/>
      <c r="AO1084" s="293"/>
      <c r="AP1084"/>
      <c r="AQ1084" s="145"/>
      <c r="AR1084"/>
      <c r="AS1084"/>
      <c r="AT1084"/>
      <c r="AU1084"/>
      <c r="AV1084"/>
      <c r="AW1084"/>
      <c r="AX1084"/>
      <c r="AY1084"/>
      <c r="AZ1084"/>
      <c r="BA1084"/>
      <c r="BB1084"/>
      <c r="BC1084" s="578"/>
      <c r="BD1084" s="578"/>
      <c r="BE1084"/>
      <c r="BF1084"/>
      <c r="BG1084"/>
      <c r="BH1084"/>
      <c r="BI1084"/>
      <c r="BJ1084"/>
      <c r="BK1084"/>
    </row>
    <row r="1085" spans="40:63" ht="12.75">
      <c r="AN1085"/>
      <c r="AO1085" s="293"/>
      <c r="AP1085"/>
      <c r="AQ1085" s="145"/>
      <c r="AR1085"/>
      <c r="AS1085"/>
      <c r="AT1085"/>
      <c r="AU1085"/>
      <c r="AV1085"/>
      <c r="AW1085"/>
      <c r="AX1085"/>
      <c r="AY1085"/>
      <c r="AZ1085"/>
      <c r="BA1085"/>
      <c r="BB1085"/>
      <c r="BC1085" s="578"/>
      <c r="BD1085" s="578"/>
      <c r="BE1085"/>
      <c r="BF1085"/>
      <c r="BG1085"/>
      <c r="BH1085"/>
      <c r="BI1085"/>
      <c r="BJ1085"/>
      <c r="BK1085"/>
    </row>
    <row r="1086" spans="40:63" ht="12.75">
      <c r="AN1086"/>
      <c r="AO1086" s="293"/>
      <c r="AP1086"/>
      <c r="AQ1086" s="145"/>
      <c r="AR1086"/>
      <c r="AS1086"/>
      <c r="AT1086"/>
      <c r="AU1086"/>
      <c r="AV1086"/>
      <c r="AW1086"/>
      <c r="AX1086"/>
      <c r="AY1086"/>
      <c r="AZ1086"/>
      <c r="BA1086"/>
      <c r="BB1086"/>
      <c r="BC1086" s="578"/>
      <c r="BD1086" s="578"/>
      <c r="BE1086"/>
      <c r="BF1086"/>
      <c r="BG1086"/>
      <c r="BH1086"/>
      <c r="BI1086"/>
      <c r="BJ1086"/>
      <c r="BK1086"/>
    </row>
    <row r="1087" spans="40:63" ht="12.75">
      <c r="AN1087"/>
      <c r="AO1087" s="293"/>
      <c r="AP1087"/>
      <c r="AQ1087" s="145"/>
      <c r="AR1087"/>
      <c r="AS1087"/>
      <c r="AT1087"/>
      <c r="AU1087"/>
      <c r="AV1087"/>
      <c r="AW1087"/>
      <c r="AX1087"/>
      <c r="AY1087"/>
      <c r="AZ1087"/>
      <c r="BA1087"/>
      <c r="BB1087"/>
      <c r="BC1087" s="578"/>
      <c r="BD1087" s="578"/>
      <c r="BE1087"/>
      <c r="BF1087"/>
      <c r="BG1087"/>
      <c r="BH1087"/>
      <c r="BI1087"/>
      <c r="BJ1087"/>
      <c r="BK1087"/>
    </row>
    <row r="1088" spans="40:63" ht="12.75">
      <c r="AN1088"/>
      <c r="AO1088" s="293"/>
      <c r="AP1088"/>
      <c r="AQ1088" s="145"/>
      <c r="AR1088"/>
      <c r="AS1088"/>
      <c r="AT1088"/>
      <c r="AU1088"/>
      <c r="AV1088"/>
      <c r="AW1088"/>
      <c r="AX1088"/>
      <c r="AY1088"/>
      <c r="AZ1088"/>
      <c r="BA1088"/>
      <c r="BB1088"/>
      <c r="BC1088" s="578"/>
      <c r="BD1088" s="578"/>
      <c r="BE1088"/>
      <c r="BF1088"/>
      <c r="BG1088"/>
      <c r="BH1088"/>
      <c r="BI1088"/>
      <c r="BJ1088"/>
      <c r="BK1088"/>
    </row>
    <row r="1089" spans="40:63" ht="12.75">
      <c r="AN1089"/>
      <c r="AO1089" s="293"/>
      <c r="AP1089"/>
      <c r="AQ1089" s="145"/>
      <c r="AR1089"/>
      <c r="AS1089"/>
      <c r="AT1089"/>
      <c r="AU1089"/>
      <c r="AV1089"/>
      <c r="AW1089"/>
      <c r="AX1089"/>
      <c r="AY1089"/>
      <c r="AZ1089"/>
      <c r="BA1089"/>
      <c r="BB1089"/>
      <c r="BC1089" s="578"/>
      <c r="BD1089" s="578"/>
      <c r="BE1089"/>
      <c r="BF1089"/>
      <c r="BG1089"/>
      <c r="BH1089"/>
      <c r="BI1089"/>
      <c r="BJ1089"/>
      <c r="BK1089"/>
    </row>
    <row r="1090" spans="40:63" ht="12.75">
      <c r="AN1090"/>
      <c r="AO1090" s="293"/>
      <c r="AP1090"/>
      <c r="AQ1090" s="145"/>
      <c r="AR1090"/>
      <c r="AS1090"/>
      <c r="AT1090"/>
      <c r="AU1090"/>
      <c r="AV1090"/>
      <c r="AW1090"/>
      <c r="AX1090"/>
      <c r="AY1090"/>
      <c r="AZ1090"/>
      <c r="BA1090"/>
      <c r="BB1090"/>
      <c r="BC1090" s="578"/>
      <c r="BD1090" s="578"/>
      <c r="BE1090"/>
      <c r="BF1090"/>
      <c r="BG1090"/>
      <c r="BH1090"/>
      <c r="BI1090"/>
      <c r="BJ1090"/>
      <c r="BK1090"/>
    </row>
    <row r="1091" spans="40:63" ht="12.75">
      <c r="AN1091"/>
      <c r="AO1091" s="293"/>
      <c r="AP1091"/>
      <c r="AQ1091" s="145"/>
      <c r="AR1091"/>
      <c r="AS1091"/>
      <c r="AT1091"/>
      <c r="AU1091"/>
      <c r="AV1091"/>
      <c r="AW1091"/>
      <c r="AX1091"/>
      <c r="AY1091"/>
      <c r="AZ1091"/>
      <c r="BA1091"/>
      <c r="BB1091"/>
      <c r="BC1091" s="578"/>
      <c r="BD1091" s="578"/>
      <c r="BE1091"/>
      <c r="BF1091"/>
      <c r="BG1091"/>
      <c r="BH1091"/>
      <c r="BI1091"/>
      <c r="BJ1091"/>
      <c r="BK1091"/>
    </row>
    <row r="1092" spans="40:63" ht="12.75">
      <c r="AN1092"/>
      <c r="AO1092" s="293"/>
      <c r="AP1092"/>
      <c r="AQ1092" s="145"/>
      <c r="AR1092"/>
      <c r="AS1092"/>
      <c r="AT1092"/>
      <c r="AU1092"/>
      <c r="AV1092"/>
      <c r="AW1092"/>
      <c r="AX1092"/>
      <c r="AY1092"/>
      <c r="AZ1092"/>
      <c r="BA1092"/>
      <c r="BB1092"/>
      <c r="BC1092" s="578"/>
      <c r="BD1092" s="578"/>
      <c r="BE1092"/>
      <c r="BF1092"/>
      <c r="BG1092"/>
      <c r="BH1092"/>
      <c r="BI1092"/>
      <c r="BJ1092"/>
      <c r="BK1092"/>
    </row>
    <row r="1093" spans="40:63" ht="12.75">
      <c r="AN1093"/>
      <c r="AO1093" s="293"/>
      <c r="AP1093"/>
      <c r="AQ1093" s="145"/>
      <c r="AR1093"/>
      <c r="AS1093"/>
      <c r="AT1093"/>
      <c r="AU1093"/>
      <c r="AV1093"/>
      <c r="AW1093"/>
      <c r="AX1093"/>
      <c r="AY1093"/>
      <c r="AZ1093"/>
      <c r="BA1093"/>
      <c r="BB1093"/>
      <c r="BC1093" s="578"/>
      <c r="BD1093" s="578"/>
      <c r="BE1093"/>
      <c r="BF1093"/>
      <c r="BG1093"/>
      <c r="BH1093"/>
      <c r="BI1093"/>
      <c r="BJ1093"/>
      <c r="BK1093"/>
    </row>
    <row r="1094" spans="40:63" ht="12.75">
      <c r="AN1094"/>
      <c r="AO1094" s="293"/>
      <c r="AP1094"/>
      <c r="AQ1094" s="145"/>
      <c r="AR1094"/>
      <c r="AS1094"/>
      <c r="AT1094"/>
      <c r="AU1094"/>
      <c r="AV1094"/>
      <c r="AW1094"/>
      <c r="AX1094"/>
      <c r="AY1094"/>
      <c r="AZ1094"/>
      <c r="BA1094"/>
      <c r="BB1094"/>
      <c r="BC1094" s="578"/>
      <c r="BD1094" s="578"/>
      <c r="BE1094"/>
      <c r="BF1094"/>
      <c r="BG1094"/>
      <c r="BH1094"/>
      <c r="BI1094"/>
      <c r="BJ1094"/>
      <c r="BK1094"/>
    </row>
    <row r="1095" spans="40:63" ht="12.75">
      <c r="AN1095"/>
      <c r="AO1095" s="293"/>
      <c r="AP1095"/>
      <c r="AQ1095" s="145"/>
      <c r="AR1095"/>
      <c r="AS1095"/>
      <c r="AT1095"/>
      <c r="AU1095"/>
      <c r="AV1095"/>
      <c r="AW1095"/>
      <c r="AX1095"/>
      <c r="AY1095"/>
      <c r="AZ1095"/>
      <c r="BA1095"/>
      <c r="BB1095"/>
      <c r="BC1095" s="578"/>
      <c r="BD1095" s="578"/>
      <c r="BE1095"/>
      <c r="BF1095"/>
      <c r="BG1095"/>
      <c r="BH1095"/>
      <c r="BI1095"/>
      <c r="BJ1095"/>
      <c r="BK1095"/>
    </row>
    <row r="1096" spans="40:63" ht="12.75">
      <c r="AN1096"/>
      <c r="AO1096" s="293"/>
      <c r="AP1096"/>
      <c r="AQ1096" s="145"/>
      <c r="AR1096"/>
      <c r="AS1096"/>
      <c r="AT1096"/>
      <c r="AU1096"/>
      <c r="AV1096"/>
      <c r="AW1096"/>
      <c r="AX1096"/>
      <c r="AY1096"/>
      <c r="AZ1096"/>
      <c r="BA1096"/>
      <c r="BB1096"/>
      <c r="BC1096" s="578"/>
      <c r="BD1096" s="578"/>
      <c r="BE1096"/>
      <c r="BF1096"/>
      <c r="BG1096"/>
      <c r="BH1096"/>
      <c r="BI1096"/>
      <c r="BJ1096"/>
      <c r="BK1096"/>
    </row>
    <row r="1097" spans="40:63" ht="12.75">
      <c r="AN1097"/>
      <c r="AO1097" s="293"/>
      <c r="AP1097"/>
      <c r="AQ1097" s="145"/>
      <c r="AR1097"/>
      <c r="AS1097"/>
      <c r="AT1097"/>
      <c r="AU1097"/>
      <c r="AV1097"/>
      <c r="AW1097"/>
      <c r="AX1097"/>
      <c r="AY1097"/>
      <c r="AZ1097"/>
      <c r="BA1097"/>
      <c r="BB1097"/>
      <c r="BC1097" s="578"/>
      <c r="BD1097" s="578"/>
      <c r="BE1097"/>
      <c r="BF1097"/>
      <c r="BG1097"/>
      <c r="BH1097"/>
      <c r="BI1097"/>
      <c r="BJ1097"/>
      <c r="BK1097"/>
    </row>
    <row r="1098" spans="40:63" ht="12.75">
      <c r="AN1098"/>
      <c r="AO1098" s="293"/>
      <c r="AP1098"/>
      <c r="AQ1098" s="145"/>
      <c r="AR1098"/>
      <c r="AS1098"/>
      <c r="AT1098"/>
      <c r="AU1098"/>
      <c r="AV1098"/>
      <c r="AW1098"/>
      <c r="AX1098"/>
      <c r="AY1098"/>
      <c r="AZ1098"/>
      <c r="BA1098"/>
      <c r="BB1098"/>
      <c r="BC1098" s="578"/>
      <c r="BD1098" s="578"/>
      <c r="BE1098"/>
      <c r="BF1098"/>
      <c r="BG1098"/>
      <c r="BH1098"/>
      <c r="BI1098"/>
      <c r="BJ1098"/>
      <c r="BK1098"/>
    </row>
    <row r="1099" spans="40:63" ht="12.75">
      <c r="AN1099"/>
      <c r="AO1099" s="293"/>
      <c r="AP1099"/>
      <c r="AQ1099" s="145"/>
      <c r="AR1099"/>
      <c r="AS1099"/>
      <c r="AT1099"/>
      <c r="AU1099"/>
      <c r="AV1099"/>
      <c r="AW1099"/>
      <c r="AX1099"/>
      <c r="AY1099"/>
      <c r="AZ1099"/>
      <c r="BA1099"/>
      <c r="BB1099"/>
      <c r="BC1099" s="578"/>
      <c r="BD1099" s="578"/>
      <c r="BE1099"/>
      <c r="BF1099"/>
      <c r="BG1099"/>
      <c r="BH1099"/>
      <c r="BI1099"/>
      <c r="BJ1099"/>
      <c r="BK1099"/>
    </row>
    <row r="1100" spans="40:63" ht="12.75">
      <c r="AN1100"/>
      <c r="AO1100" s="293"/>
      <c r="AP1100"/>
      <c r="AQ1100" s="145"/>
      <c r="AR1100"/>
      <c r="AS1100"/>
      <c r="AT1100"/>
      <c r="AU1100"/>
      <c r="AV1100"/>
      <c r="AW1100"/>
      <c r="AX1100"/>
      <c r="AY1100"/>
      <c r="AZ1100"/>
      <c r="BA1100"/>
      <c r="BB1100"/>
      <c r="BC1100" s="578"/>
      <c r="BD1100" s="578"/>
      <c r="BE1100"/>
      <c r="BF1100"/>
      <c r="BG1100"/>
      <c r="BH1100"/>
      <c r="BI1100"/>
      <c r="BJ1100"/>
      <c r="BK1100"/>
    </row>
    <row r="1101" spans="40:63" ht="12.75">
      <c r="AN1101"/>
      <c r="AO1101" s="293"/>
      <c r="AP1101"/>
      <c r="AQ1101" s="145"/>
      <c r="AR1101"/>
      <c r="AS1101"/>
      <c r="AT1101"/>
      <c r="AU1101"/>
      <c r="AV1101"/>
      <c r="AW1101"/>
      <c r="AX1101"/>
      <c r="AY1101"/>
      <c r="AZ1101"/>
      <c r="BA1101"/>
      <c r="BB1101"/>
      <c r="BC1101" s="578"/>
      <c r="BD1101" s="578"/>
      <c r="BE1101"/>
      <c r="BF1101"/>
      <c r="BG1101"/>
      <c r="BH1101"/>
      <c r="BI1101"/>
      <c r="BJ1101"/>
      <c r="BK1101"/>
    </row>
    <row r="1102" spans="40:63" ht="12.75">
      <c r="AN1102"/>
      <c r="AO1102" s="293"/>
      <c r="AP1102"/>
      <c r="AQ1102" s="145"/>
      <c r="AR1102"/>
      <c r="AS1102"/>
      <c r="AT1102"/>
      <c r="AU1102"/>
      <c r="AV1102"/>
      <c r="AW1102"/>
      <c r="AX1102"/>
      <c r="AY1102"/>
      <c r="AZ1102"/>
      <c r="BA1102"/>
      <c r="BB1102"/>
      <c r="BC1102" s="578"/>
      <c r="BD1102" s="578"/>
      <c r="BE1102"/>
      <c r="BF1102"/>
      <c r="BG1102"/>
      <c r="BH1102"/>
      <c r="BI1102"/>
      <c r="BJ1102"/>
      <c r="BK1102"/>
    </row>
    <row r="1103" spans="40:63" ht="12.75">
      <c r="AN1103"/>
      <c r="AO1103" s="293"/>
      <c r="AP1103"/>
      <c r="AQ1103" s="145"/>
      <c r="AR1103"/>
      <c r="AS1103"/>
      <c r="AT1103"/>
      <c r="AU1103"/>
      <c r="AV1103"/>
      <c r="AW1103"/>
      <c r="AX1103"/>
      <c r="AY1103"/>
      <c r="AZ1103"/>
      <c r="BA1103"/>
      <c r="BB1103"/>
      <c r="BC1103" s="578"/>
      <c r="BD1103" s="578"/>
      <c r="BE1103"/>
      <c r="BF1103"/>
      <c r="BG1103"/>
      <c r="BH1103"/>
      <c r="BI1103"/>
      <c r="BJ1103"/>
      <c r="BK1103"/>
    </row>
    <row r="1104" spans="40:63" ht="12.75">
      <c r="AN1104"/>
      <c r="AO1104" s="293"/>
      <c r="AP1104"/>
      <c r="AQ1104" s="145"/>
      <c r="AR1104"/>
      <c r="AS1104"/>
      <c r="AT1104"/>
      <c r="AU1104"/>
      <c r="AV1104"/>
      <c r="AW1104"/>
      <c r="AX1104"/>
      <c r="AY1104"/>
      <c r="AZ1104"/>
      <c r="BA1104"/>
      <c r="BB1104"/>
      <c r="BC1104" s="578"/>
      <c r="BD1104" s="578"/>
      <c r="BE1104"/>
      <c r="BF1104"/>
      <c r="BG1104"/>
      <c r="BH1104"/>
      <c r="BI1104"/>
      <c r="BJ1104"/>
      <c r="BK1104"/>
    </row>
    <row r="1105" spans="40:63" ht="12.75">
      <c r="AN1105"/>
      <c r="AO1105" s="293"/>
      <c r="AP1105"/>
      <c r="AQ1105" s="145"/>
      <c r="AR1105"/>
      <c r="AS1105"/>
      <c r="AT1105"/>
      <c r="AU1105"/>
      <c r="AV1105"/>
      <c r="AW1105"/>
      <c r="AX1105"/>
      <c r="AY1105"/>
      <c r="AZ1105"/>
      <c r="BA1105"/>
      <c r="BB1105"/>
      <c r="BC1105" s="578"/>
      <c r="BD1105" s="578"/>
      <c r="BE1105"/>
      <c r="BF1105"/>
      <c r="BG1105"/>
      <c r="BH1105"/>
      <c r="BI1105"/>
      <c r="BJ1105"/>
      <c r="BK1105"/>
    </row>
    <row r="1106" spans="40:63" ht="12.75">
      <c r="AN1106"/>
      <c r="AO1106" s="293"/>
      <c r="AP1106"/>
      <c r="AQ1106" s="145"/>
      <c r="AR1106"/>
      <c r="AS1106"/>
      <c r="AT1106"/>
      <c r="AU1106"/>
      <c r="AV1106"/>
      <c r="AW1106"/>
      <c r="AX1106"/>
      <c r="AY1106"/>
      <c r="AZ1106"/>
      <c r="BA1106"/>
      <c r="BB1106"/>
      <c r="BC1106" s="578"/>
      <c r="BD1106" s="578"/>
      <c r="BE1106"/>
      <c r="BF1106"/>
      <c r="BG1106"/>
      <c r="BH1106"/>
      <c r="BI1106"/>
      <c r="BJ1106"/>
      <c r="BK1106"/>
    </row>
    <row r="1107" spans="40:63" ht="12.75">
      <c r="AN1107"/>
      <c r="AO1107" s="293"/>
      <c r="AP1107"/>
      <c r="AQ1107" s="145"/>
      <c r="AR1107"/>
      <c r="AS1107"/>
      <c r="AT1107"/>
      <c r="AU1107"/>
      <c r="AV1107"/>
      <c r="AW1107"/>
      <c r="AX1107"/>
      <c r="AY1107"/>
      <c r="AZ1107"/>
      <c r="BA1107"/>
      <c r="BB1107"/>
      <c r="BC1107" s="578"/>
      <c r="BD1107" s="578"/>
      <c r="BE1107"/>
      <c r="BF1107"/>
      <c r="BG1107"/>
      <c r="BH1107"/>
      <c r="BI1107"/>
      <c r="BJ1107"/>
      <c r="BK1107"/>
    </row>
    <row r="1108" spans="40:63" ht="12.75">
      <c r="AN1108"/>
      <c r="AO1108" s="293"/>
      <c r="AP1108"/>
      <c r="AQ1108" s="145"/>
      <c r="AR1108"/>
      <c r="AS1108"/>
      <c r="AT1108"/>
      <c r="AU1108"/>
      <c r="AV1108"/>
      <c r="AW1108"/>
      <c r="AX1108"/>
      <c r="AY1108"/>
      <c r="AZ1108"/>
      <c r="BA1108"/>
      <c r="BB1108"/>
      <c r="BC1108" s="578"/>
      <c r="BD1108" s="578"/>
      <c r="BE1108"/>
      <c r="BF1108"/>
      <c r="BG1108"/>
      <c r="BH1108"/>
      <c r="BI1108"/>
      <c r="BJ1108"/>
      <c r="BK1108"/>
    </row>
    <row r="1109" spans="40:63" ht="12.75">
      <c r="AN1109"/>
      <c r="AO1109" s="293"/>
      <c r="AP1109"/>
      <c r="AQ1109" s="145"/>
      <c r="AR1109"/>
      <c r="AS1109"/>
      <c r="AT1109"/>
      <c r="AU1109"/>
      <c r="AV1109"/>
      <c r="AW1109"/>
      <c r="AX1109"/>
      <c r="AY1109"/>
      <c r="AZ1109"/>
      <c r="BA1109"/>
      <c r="BB1109"/>
      <c r="BC1109" s="578"/>
      <c r="BD1109" s="578"/>
      <c r="BE1109"/>
      <c r="BF1109"/>
      <c r="BG1109"/>
      <c r="BH1109"/>
      <c r="BI1109"/>
      <c r="BJ1109"/>
      <c r="BK1109"/>
    </row>
    <row r="1110" spans="40:63" ht="12.75">
      <c r="AN1110"/>
      <c r="AO1110" s="293"/>
      <c r="AP1110"/>
      <c r="AQ1110" s="145"/>
      <c r="AR1110"/>
      <c r="AS1110"/>
      <c r="AT1110"/>
      <c r="AU1110"/>
      <c r="AV1110"/>
      <c r="AW1110"/>
      <c r="AX1110"/>
      <c r="AY1110"/>
      <c r="AZ1110"/>
      <c r="BA1110"/>
      <c r="BB1110"/>
      <c r="BC1110" s="578"/>
      <c r="BD1110" s="578"/>
      <c r="BE1110"/>
      <c r="BF1110"/>
      <c r="BG1110"/>
      <c r="BH1110"/>
      <c r="BI1110"/>
      <c r="BJ1110"/>
      <c r="BK1110"/>
    </row>
    <row r="1111" spans="40:63" ht="12.75">
      <c r="AN1111"/>
      <c r="AO1111" s="293"/>
      <c r="AP1111"/>
      <c r="AQ1111" s="145"/>
      <c r="AR1111"/>
      <c r="AS1111"/>
      <c r="AT1111"/>
      <c r="AU1111"/>
      <c r="AV1111"/>
      <c r="AW1111"/>
      <c r="AX1111"/>
      <c r="AY1111"/>
      <c r="AZ1111"/>
      <c r="BA1111"/>
      <c r="BB1111"/>
      <c r="BC1111" s="578"/>
      <c r="BD1111" s="578"/>
      <c r="BE1111"/>
      <c r="BF1111"/>
      <c r="BG1111"/>
      <c r="BH1111"/>
      <c r="BI1111"/>
      <c r="BJ1111"/>
      <c r="BK1111"/>
    </row>
    <row r="1112" spans="40:63" ht="12.75">
      <c r="AN1112"/>
      <c r="AO1112" s="293"/>
      <c r="AP1112"/>
      <c r="AQ1112" s="145"/>
      <c r="AR1112"/>
      <c r="AS1112"/>
      <c r="AT1112"/>
      <c r="AU1112"/>
      <c r="AV1112"/>
      <c r="AW1112"/>
      <c r="AX1112"/>
      <c r="AY1112"/>
      <c r="AZ1112"/>
      <c r="BA1112"/>
      <c r="BB1112"/>
      <c r="BC1112" s="578"/>
      <c r="BD1112" s="578"/>
      <c r="BE1112"/>
      <c r="BF1112"/>
      <c r="BG1112"/>
      <c r="BH1112"/>
      <c r="BI1112"/>
      <c r="BJ1112"/>
      <c r="BK1112"/>
    </row>
    <row r="1113" spans="40:63" ht="12.75">
      <c r="AN1113"/>
      <c r="AO1113" s="293"/>
      <c r="AP1113"/>
      <c r="AQ1113" s="145"/>
      <c r="AR1113"/>
      <c r="AS1113"/>
      <c r="AT1113"/>
      <c r="AU1113"/>
      <c r="AV1113"/>
      <c r="AW1113"/>
      <c r="AX1113"/>
      <c r="AY1113"/>
      <c r="AZ1113"/>
      <c r="BA1113"/>
      <c r="BB1113"/>
      <c r="BC1113" s="578"/>
      <c r="BD1113" s="578"/>
      <c r="BE1113"/>
      <c r="BF1113"/>
      <c r="BG1113"/>
      <c r="BH1113"/>
      <c r="BI1113"/>
      <c r="BJ1113"/>
      <c r="BK1113"/>
    </row>
    <row r="1114" spans="40:63" ht="12.75">
      <c r="AN1114"/>
      <c r="AO1114" s="293"/>
      <c r="AP1114"/>
      <c r="AQ1114" s="145"/>
      <c r="AR1114"/>
      <c r="AS1114"/>
      <c r="AT1114"/>
      <c r="AU1114"/>
      <c r="AV1114"/>
      <c r="AW1114"/>
      <c r="AX1114"/>
      <c r="AY1114"/>
      <c r="AZ1114"/>
      <c r="BA1114"/>
      <c r="BB1114"/>
      <c r="BC1114" s="578"/>
      <c r="BD1114" s="578"/>
      <c r="BE1114"/>
      <c r="BF1114"/>
      <c r="BG1114"/>
      <c r="BH1114"/>
      <c r="BI1114"/>
      <c r="BJ1114"/>
      <c r="BK1114"/>
    </row>
    <row r="1115" spans="40:63" ht="12.75">
      <c r="AN1115"/>
      <c r="AO1115" s="293"/>
      <c r="AP1115"/>
      <c r="AQ1115" s="145"/>
      <c r="AR1115"/>
      <c r="AS1115"/>
      <c r="AT1115"/>
      <c r="AU1115"/>
      <c r="AV1115"/>
      <c r="AW1115"/>
      <c r="AX1115"/>
      <c r="AY1115"/>
      <c r="AZ1115"/>
      <c r="BA1115"/>
      <c r="BB1115"/>
      <c r="BC1115" s="578"/>
      <c r="BD1115" s="578"/>
      <c r="BE1115"/>
      <c r="BF1115"/>
      <c r="BG1115"/>
      <c r="BH1115"/>
      <c r="BI1115"/>
      <c r="BJ1115"/>
      <c r="BK1115"/>
    </row>
    <row r="1116" spans="40:63" ht="12.75">
      <c r="AN1116"/>
      <c r="AO1116" s="293"/>
      <c r="AP1116"/>
      <c r="AQ1116" s="145"/>
      <c r="AR1116"/>
      <c r="AS1116"/>
      <c r="AT1116"/>
      <c r="AU1116"/>
      <c r="AV1116"/>
      <c r="AW1116"/>
      <c r="AX1116"/>
      <c r="AY1116"/>
      <c r="AZ1116"/>
      <c r="BA1116"/>
      <c r="BB1116"/>
      <c r="BC1116" s="578"/>
      <c r="BD1116" s="578"/>
      <c r="BE1116"/>
      <c r="BF1116"/>
      <c r="BG1116"/>
      <c r="BH1116"/>
      <c r="BI1116"/>
      <c r="BJ1116"/>
      <c r="BK1116"/>
    </row>
    <row r="1117" spans="40:63" ht="12.75">
      <c r="AN1117"/>
      <c r="AO1117" s="293"/>
      <c r="AP1117"/>
      <c r="AQ1117" s="145"/>
      <c r="AR1117"/>
      <c r="AS1117"/>
      <c r="AT1117"/>
      <c r="AU1117"/>
      <c r="AV1117"/>
      <c r="AW1117"/>
      <c r="AX1117"/>
      <c r="AY1117"/>
      <c r="AZ1117"/>
      <c r="BA1117"/>
      <c r="BB1117"/>
      <c r="BC1117" s="578"/>
      <c r="BD1117" s="578"/>
      <c r="BE1117"/>
      <c r="BF1117"/>
      <c r="BG1117"/>
      <c r="BH1117"/>
      <c r="BI1117"/>
      <c r="BJ1117"/>
      <c r="BK1117"/>
    </row>
    <row r="1118" spans="40:63" ht="12.75">
      <c r="AN1118"/>
      <c r="AO1118" s="293"/>
      <c r="AP1118"/>
      <c r="AQ1118" s="145"/>
      <c r="AR1118"/>
      <c r="AS1118"/>
      <c r="AT1118"/>
      <c r="AU1118"/>
      <c r="AV1118"/>
      <c r="AW1118"/>
      <c r="AX1118"/>
      <c r="AY1118"/>
      <c r="AZ1118"/>
      <c r="BA1118"/>
      <c r="BB1118"/>
      <c r="BC1118" s="578"/>
      <c r="BD1118" s="578"/>
      <c r="BE1118"/>
      <c r="BF1118"/>
      <c r="BG1118"/>
      <c r="BH1118"/>
      <c r="BI1118"/>
      <c r="BJ1118"/>
      <c r="BK1118"/>
    </row>
    <row r="1119" spans="40:63" ht="12.75">
      <c r="AN1119"/>
      <c r="AO1119" s="293"/>
      <c r="AP1119"/>
      <c r="AQ1119" s="145"/>
      <c r="AR1119"/>
      <c r="AS1119"/>
      <c r="AT1119"/>
      <c r="AU1119"/>
      <c r="AV1119"/>
      <c r="AW1119"/>
      <c r="AX1119"/>
      <c r="AY1119"/>
      <c r="AZ1119"/>
      <c r="BA1119"/>
      <c r="BB1119"/>
      <c r="BC1119" s="578"/>
      <c r="BD1119" s="578"/>
      <c r="BE1119"/>
      <c r="BF1119"/>
      <c r="BG1119"/>
      <c r="BH1119"/>
      <c r="BI1119"/>
      <c r="BJ1119"/>
      <c r="BK1119"/>
    </row>
    <row r="1120" spans="40:63" ht="12.75">
      <c r="AN1120"/>
      <c r="AO1120" s="293"/>
      <c r="AP1120"/>
      <c r="AQ1120" s="145"/>
      <c r="AR1120"/>
      <c r="AS1120"/>
      <c r="AT1120"/>
      <c r="AU1120"/>
      <c r="AV1120"/>
      <c r="AW1120"/>
      <c r="AX1120"/>
      <c r="AY1120"/>
      <c r="AZ1120"/>
      <c r="BA1120"/>
      <c r="BB1120"/>
      <c r="BC1120" s="578"/>
      <c r="BD1120" s="578"/>
      <c r="BE1120"/>
      <c r="BF1120"/>
      <c r="BG1120"/>
      <c r="BH1120"/>
      <c r="BI1120"/>
      <c r="BJ1120"/>
      <c r="BK1120"/>
    </row>
    <row r="1121" spans="40:63" ht="12.75">
      <c r="AN1121"/>
      <c r="AO1121" s="293"/>
      <c r="AP1121"/>
      <c r="AQ1121" s="145"/>
      <c r="AR1121"/>
      <c r="AS1121"/>
      <c r="AT1121"/>
      <c r="AU1121"/>
      <c r="AV1121"/>
      <c r="AW1121"/>
      <c r="AX1121"/>
      <c r="AY1121"/>
      <c r="AZ1121"/>
      <c r="BA1121"/>
      <c r="BB1121"/>
      <c r="BC1121" s="578"/>
      <c r="BD1121" s="578"/>
      <c r="BE1121"/>
      <c r="BF1121"/>
      <c r="BG1121"/>
      <c r="BH1121"/>
      <c r="BI1121"/>
      <c r="BJ1121"/>
      <c r="BK1121"/>
    </row>
    <row r="1122" spans="40:63" ht="12.75">
      <c r="AN1122"/>
      <c r="AO1122" s="293"/>
      <c r="AP1122"/>
      <c r="AQ1122" s="145"/>
      <c r="AR1122"/>
      <c r="AS1122"/>
      <c r="AT1122"/>
      <c r="AU1122"/>
      <c r="AV1122"/>
      <c r="AW1122"/>
      <c r="AX1122"/>
      <c r="AY1122"/>
      <c r="AZ1122"/>
      <c r="BA1122"/>
      <c r="BB1122"/>
      <c r="BC1122" s="578"/>
      <c r="BD1122" s="578"/>
      <c r="BE1122"/>
      <c r="BF1122"/>
      <c r="BG1122"/>
      <c r="BH1122"/>
      <c r="BI1122"/>
      <c r="BJ1122"/>
      <c r="BK1122"/>
    </row>
    <row r="1123" spans="40:63" ht="12.75">
      <c r="AN1123"/>
      <c r="AO1123" s="293"/>
      <c r="AP1123"/>
      <c r="AQ1123" s="145"/>
      <c r="AR1123"/>
      <c r="AS1123"/>
      <c r="AT1123"/>
      <c r="AU1123"/>
      <c r="AV1123"/>
      <c r="AW1123"/>
      <c r="AX1123"/>
      <c r="AY1123"/>
      <c r="AZ1123"/>
      <c r="BA1123"/>
      <c r="BB1123"/>
      <c r="BC1123" s="578"/>
      <c r="BD1123" s="578"/>
      <c r="BE1123"/>
      <c r="BF1123"/>
      <c r="BG1123"/>
      <c r="BH1123"/>
      <c r="BI1123"/>
      <c r="BJ1123"/>
      <c r="BK1123"/>
    </row>
    <row r="1124" spans="40:63" ht="12.75">
      <c r="AN1124"/>
      <c r="AO1124" s="293"/>
      <c r="AP1124"/>
      <c r="AQ1124" s="145"/>
      <c r="AR1124"/>
      <c r="AS1124"/>
      <c r="AT1124"/>
      <c r="AU1124"/>
      <c r="AV1124"/>
      <c r="AW1124"/>
      <c r="AX1124"/>
      <c r="AY1124"/>
      <c r="AZ1124"/>
      <c r="BA1124"/>
      <c r="BB1124"/>
      <c r="BC1124" s="578"/>
      <c r="BD1124" s="578"/>
      <c r="BE1124"/>
      <c r="BF1124"/>
      <c r="BG1124"/>
      <c r="BH1124"/>
      <c r="BI1124"/>
      <c r="BJ1124"/>
      <c r="BK1124"/>
    </row>
    <row r="1125" spans="40:63" ht="12.75">
      <c r="AN1125"/>
      <c r="AO1125" s="293"/>
      <c r="AP1125"/>
      <c r="AQ1125" s="145"/>
      <c r="AR1125"/>
      <c r="AS1125"/>
      <c r="AT1125"/>
      <c r="AU1125"/>
      <c r="AV1125"/>
      <c r="AW1125"/>
      <c r="AX1125"/>
      <c r="AY1125"/>
      <c r="AZ1125"/>
      <c r="BA1125"/>
      <c r="BB1125"/>
      <c r="BC1125" s="578"/>
      <c r="BD1125" s="578"/>
      <c r="BE1125"/>
      <c r="BF1125"/>
      <c r="BG1125"/>
      <c r="BH1125"/>
      <c r="BI1125"/>
      <c r="BJ1125"/>
      <c r="BK1125"/>
    </row>
    <row r="1126" spans="40:63" ht="12.75">
      <c r="AN1126"/>
      <c r="AO1126" s="293"/>
      <c r="AP1126"/>
      <c r="AQ1126" s="145"/>
      <c r="AR1126"/>
      <c r="AS1126"/>
      <c r="AT1126"/>
      <c r="AU1126"/>
      <c r="AV1126"/>
      <c r="AW1126"/>
      <c r="AX1126"/>
      <c r="AY1126"/>
      <c r="AZ1126"/>
      <c r="BA1126"/>
      <c r="BB1126"/>
      <c r="BC1126" s="578"/>
      <c r="BD1126" s="578"/>
      <c r="BE1126"/>
      <c r="BF1126"/>
      <c r="BG1126"/>
      <c r="BH1126"/>
      <c r="BI1126"/>
      <c r="BJ1126"/>
      <c r="BK1126"/>
    </row>
    <row r="1127" spans="40:63" ht="12.75">
      <c r="AN1127"/>
      <c r="AO1127" s="293"/>
      <c r="AP1127"/>
      <c r="AQ1127" s="145"/>
      <c r="AR1127"/>
      <c r="AS1127"/>
      <c r="AT1127"/>
      <c r="AU1127"/>
      <c r="AV1127"/>
      <c r="AW1127"/>
      <c r="AX1127"/>
      <c r="AY1127"/>
      <c r="AZ1127"/>
      <c r="BA1127"/>
      <c r="BB1127"/>
      <c r="BC1127" s="578"/>
      <c r="BD1127" s="578"/>
      <c r="BE1127"/>
      <c r="BF1127"/>
      <c r="BG1127"/>
      <c r="BH1127"/>
      <c r="BI1127"/>
      <c r="BJ1127"/>
      <c r="BK1127"/>
    </row>
    <row r="1128" spans="40:63" ht="12.75">
      <c r="AN1128"/>
      <c r="AO1128" s="293"/>
      <c r="AP1128"/>
      <c r="AQ1128" s="145"/>
      <c r="AR1128"/>
      <c r="AS1128"/>
      <c r="AT1128"/>
      <c r="AU1128"/>
      <c r="AV1128"/>
      <c r="AW1128"/>
      <c r="AX1128"/>
      <c r="AY1128"/>
      <c r="AZ1128"/>
      <c r="BA1128"/>
      <c r="BB1128"/>
      <c r="BC1128" s="578"/>
      <c r="BD1128" s="578"/>
      <c r="BE1128"/>
      <c r="BF1128"/>
      <c r="BG1128"/>
      <c r="BH1128"/>
      <c r="BI1128"/>
      <c r="BJ1128"/>
      <c r="BK1128"/>
    </row>
    <row r="1129" spans="40:63" ht="12.75">
      <c r="AN1129"/>
      <c r="AO1129" s="293"/>
      <c r="AP1129"/>
      <c r="AQ1129" s="145"/>
      <c r="AR1129"/>
      <c r="AS1129"/>
      <c r="AT1129"/>
      <c r="AU1129"/>
      <c r="AV1129"/>
      <c r="AW1129"/>
      <c r="AX1129"/>
      <c r="AY1129"/>
      <c r="AZ1129"/>
      <c r="BA1129"/>
      <c r="BB1129"/>
      <c r="BC1129" s="578"/>
      <c r="BD1129" s="578"/>
      <c r="BE1129"/>
      <c r="BF1129"/>
      <c r="BG1129"/>
      <c r="BH1129"/>
      <c r="BI1129"/>
      <c r="BJ1129"/>
      <c r="BK1129"/>
    </row>
    <row r="1130" spans="40:63" ht="12.75">
      <c r="AN1130"/>
      <c r="AO1130" s="293"/>
      <c r="AP1130"/>
      <c r="AQ1130" s="145"/>
      <c r="AR1130"/>
      <c r="AS1130"/>
      <c r="AT1130"/>
      <c r="AU1130"/>
      <c r="AV1130"/>
      <c r="AW1130"/>
      <c r="AX1130"/>
      <c r="AY1130"/>
      <c r="AZ1130"/>
      <c r="BA1130"/>
      <c r="BB1130"/>
      <c r="BC1130" s="578"/>
      <c r="BD1130" s="578"/>
      <c r="BE1130"/>
      <c r="BF1130"/>
      <c r="BG1130"/>
      <c r="BH1130"/>
      <c r="BI1130"/>
      <c r="BJ1130"/>
      <c r="BK1130"/>
    </row>
    <row r="1131" spans="40:63" ht="12.75">
      <c r="AN1131"/>
      <c r="AO1131" s="293"/>
      <c r="AP1131"/>
      <c r="AQ1131" s="145"/>
      <c r="AR1131"/>
      <c r="AS1131"/>
      <c r="AT1131"/>
      <c r="AU1131"/>
      <c r="AV1131"/>
      <c r="AW1131"/>
      <c r="AX1131"/>
      <c r="AY1131"/>
      <c r="AZ1131"/>
      <c r="BA1131"/>
      <c r="BB1131"/>
      <c r="BC1131" s="578"/>
      <c r="BD1131" s="578"/>
      <c r="BE1131"/>
      <c r="BF1131"/>
      <c r="BG1131"/>
      <c r="BH1131"/>
      <c r="BI1131"/>
      <c r="BJ1131"/>
      <c r="BK1131"/>
    </row>
    <row r="1132" spans="40:63" ht="12.75">
      <c r="AN1132"/>
      <c r="AO1132" s="293"/>
      <c r="AP1132"/>
      <c r="AQ1132" s="145"/>
      <c r="AR1132"/>
      <c r="AS1132"/>
      <c r="AT1132"/>
      <c r="AU1132"/>
      <c r="AV1132"/>
      <c r="AW1132"/>
      <c r="AX1132"/>
      <c r="AY1132"/>
      <c r="AZ1132"/>
      <c r="BA1132"/>
      <c r="BB1132"/>
      <c r="BC1132" s="578"/>
      <c r="BD1132" s="578"/>
      <c r="BE1132"/>
      <c r="BF1132"/>
      <c r="BG1132"/>
      <c r="BH1132"/>
      <c r="BI1132"/>
      <c r="BJ1132"/>
      <c r="BK1132"/>
    </row>
    <row r="1133" spans="40:63" ht="12.75">
      <c r="AN1133"/>
      <c r="AO1133" s="293"/>
      <c r="AP1133"/>
      <c r="AQ1133" s="145"/>
      <c r="AR1133"/>
      <c r="AS1133"/>
      <c r="AT1133"/>
      <c r="AU1133"/>
      <c r="AV1133"/>
      <c r="AW1133"/>
      <c r="AX1133"/>
      <c r="AY1133"/>
      <c r="AZ1133"/>
      <c r="BA1133"/>
      <c r="BB1133"/>
      <c r="BC1133" s="578"/>
      <c r="BD1133" s="578"/>
      <c r="BE1133"/>
      <c r="BF1133"/>
      <c r="BG1133"/>
      <c r="BH1133"/>
      <c r="BI1133"/>
      <c r="BJ1133"/>
      <c r="BK1133"/>
    </row>
    <row r="1134" spans="40:63" ht="12.75">
      <c r="AN1134"/>
      <c r="AO1134" s="293"/>
      <c r="AP1134"/>
      <c r="AQ1134" s="145"/>
      <c r="AR1134"/>
      <c r="AS1134"/>
      <c r="AT1134"/>
      <c r="AU1134"/>
      <c r="AV1134"/>
      <c r="AW1134"/>
      <c r="AX1134"/>
      <c r="AY1134"/>
      <c r="AZ1134"/>
      <c r="BA1134"/>
      <c r="BB1134"/>
      <c r="BC1134" s="578"/>
      <c r="BD1134" s="578"/>
      <c r="BE1134"/>
      <c r="BF1134"/>
      <c r="BG1134"/>
      <c r="BH1134"/>
      <c r="BI1134"/>
      <c r="BJ1134"/>
      <c r="BK1134"/>
    </row>
    <row r="1135" spans="40:63" ht="12.75">
      <c r="AN1135"/>
      <c r="AO1135" s="293"/>
      <c r="AP1135"/>
      <c r="AQ1135" s="145"/>
      <c r="AR1135"/>
      <c r="AS1135"/>
      <c r="AT1135"/>
      <c r="AU1135"/>
      <c r="AV1135"/>
      <c r="AW1135"/>
      <c r="AX1135"/>
      <c r="AY1135"/>
      <c r="AZ1135"/>
      <c r="BA1135"/>
      <c r="BB1135"/>
      <c r="BC1135" s="578"/>
      <c r="BD1135" s="578"/>
      <c r="BE1135"/>
      <c r="BF1135"/>
      <c r="BG1135"/>
      <c r="BH1135"/>
      <c r="BI1135"/>
      <c r="BJ1135"/>
      <c r="BK1135"/>
    </row>
    <row r="1136" spans="40:63" ht="12.75">
      <c r="AN1136"/>
      <c r="AO1136" s="293"/>
      <c r="AP1136"/>
      <c r="AQ1136" s="145"/>
      <c r="AR1136"/>
      <c r="AS1136"/>
      <c r="AT1136"/>
      <c r="AU1136"/>
      <c r="AV1136"/>
      <c r="AW1136"/>
      <c r="AX1136"/>
      <c r="AY1136"/>
      <c r="AZ1136"/>
      <c r="BA1136"/>
      <c r="BB1136"/>
      <c r="BC1136" s="578"/>
      <c r="BD1136" s="578"/>
      <c r="BE1136"/>
      <c r="BF1136"/>
      <c r="BG1136"/>
      <c r="BH1136"/>
      <c r="BI1136"/>
      <c r="BJ1136"/>
      <c r="BK1136"/>
    </row>
    <row r="1137" spans="40:63" ht="12.75">
      <c r="AN1137"/>
      <c r="AO1137" s="293"/>
      <c r="AP1137"/>
      <c r="AQ1137" s="145"/>
      <c r="AR1137"/>
      <c r="AS1137"/>
      <c r="AT1137"/>
      <c r="AU1137"/>
      <c r="AV1137"/>
      <c r="AW1137"/>
      <c r="AX1137"/>
      <c r="AY1137"/>
      <c r="AZ1137"/>
      <c r="BA1137"/>
      <c r="BB1137"/>
      <c r="BC1137" s="578"/>
      <c r="BD1137" s="578"/>
      <c r="BE1137"/>
      <c r="BF1137"/>
      <c r="BG1137"/>
      <c r="BH1137"/>
      <c r="BI1137"/>
      <c r="BJ1137"/>
      <c r="BK1137"/>
    </row>
    <row r="1138" spans="40:63" ht="12.75">
      <c r="AN1138"/>
      <c r="AO1138" s="293"/>
      <c r="AP1138"/>
      <c r="AQ1138" s="145"/>
      <c r="AR1138"/>
      <c r="AS1138"/>
      <c r="AT1138"/>
      <c r="AU1138"/>
      <c r="AV1138"/>
      <c r="AW1138"/>
      <c r="AX1138"/>
      <c r="AY1138"/>
      <c r="AZ1138"/>
      <c r="BA1138"/>
      <c r="BB1138"/>
      <c r="BC1138" s="578"/>
      <c r="BD1138" s="578"/>
      <c r="BE1138"/>
      <c r="BF1138"/>
      <c r="BG1138"/>
      <c r="BH1138"/>
      <c r="BI1138"/>
      <c r="BJ1138"/>
      <c r="BK1138"/>
    </row>
    <row r="1139" spans="40:63" ht="12.75">
      <c r="AN1139"/>
      <c r="AO1139" s="293"/>
      <c r="AP1139"/>
      <c r="AQ1139" s="145"/>
      <c r="AR1139"/>
      <c r="AS1139"/>
      <c r="AT1139"/>
      <c r="AU1139"/>
      <c r="AV1139"/>
      <c r="AW1139"/>
      <c r="AX1139"/>
      <c r="AY1139"/>
      <c r="AZ1139"/>
      <c r="BA1139"/>
      <c r="BB1139"/>
      <c r="BC1139" s="578"/>
      <c r="BD1139" s="578"/>
      <c r="BE1139"/>
      <c r="BF1139"/>
      <c r="BG1139"/>
      <c r="BH1139"/>
      <c r="BI1139"/>
      <c r="BJ1139"/>
      <c r="BK1139"/>
    </row>
    <row r="1140" spans="40:63" ht="12.75">
      <c r="AN1140"/>
      <c r="AO1140" s="293"/>
      <c r="AP1140"/>
      <c r="AQ1140" s="145"/>
      <c r="AR1140"/>
      <c r="AS1140"/>
      <c r="AT1140"/>
      <c r="AU1140"/>
      <c r="AV1140"/>
      <c r="AW1140"/>
      <c r="AX1140"/>
      <c r="AY1140"/>
      <c r="AZ1140"/>
      <c r="BA1140"/>
      <c r="BB1140"/>
      <c r="BC1140" s="578"/>
      <c r="BD1140" s="578"/>
      <c r="BE1140"/>
      <c r="BF1140"/>
      <c r="BG1140"/>
      <c r="BH1140"/>
      <c r="BI1140"/>
      <c r="BJ1140"/>
      <c r="BK1140"/>
    </row>
    <row r="1141" spans="40:63" ht="12.75">
      <c r="AN1141"/>
      <c r="AO1141" s="293"/>
      <c r="AP1141"/>
      <c r="AQ1141" s="145"/>
      <c r="AR1141"/>
      <c r="AS1141"/>
      <c r="AT1141"/>
      <c r="AU1141"/>
      <c r="AV1141"/>
      <c r="AW1141"/>
      <c r="AX1141"/>
      <c r="AY1141"/>
      <c r="AZ1141"/>
      <c r="BA1141"/>
      <c r="BB1141"/>
      <c r="BC1141" s="578"/>
      <c r="BD1141" s="578"/>
      <c r="BE1141"/>
      <c r="BF1141"/>
      <c r="BG1141"/>
      <c r="BH1141"/>
      <c r="BI1141"/>
      <c r="BJ1141"/>
      <c r="BK1141"/>
    </row>
    <row r="1142" spans="40:63" ht="12.75">
      <c r="AN1142"/>
      <c r="AO1142" s="293"/>
      <c r="AP1142"/>
      <c r="AQ1142" s="145"/>
      <c r="AR1142"/>
      <c r="AS1142"/>
      <c r="AT1142"/>
      <c r="AU1142"/>
      <c r="AV1142"/>
      <c r="AW1142"/>
      <c r="AX1142"/>
      <c r="AY1142"/>
      <c r="AZ1142"/>
      <c r="BA1142"/>
      <c r="BB1142"/>
      <c r="BC1142" s="578"/>
      <c r="BD1142" s="578"/>
      <c r="BE1142"/>
      <c r="BF1142"/>
      <c r="BG1142"/>
      <c r="BH1142"/>
      <c r="BI1142"/>
      <c r="BJ1142"/>
      <c r="BK1142"/>
    </row>
    <row r="1143" spans="40:63" ht="12.75">
      <c r="AN1143"/>
      <c r="AO1143" s="293"/>
      <c r="AP1143"/>
      <c r="AQ1143" s="145"/>
      <c r="AR1143"/>
      <c r="AS1143"/>
      <c r="AT1143"/>
      <c r="AU1143"/>
      <c r="AV1143"/>
      <c r="AW1143"/>
      <c r="AX1143"/>
      <c r="AY1143"/>
      <c r="AZ1143"/>
      <c r="BA1143"/>
      <c r="BB1143"/>
      <c r="BC1143" s="578"/>
      <c r="BD1143" s="578"/>
      <c r="BE1143"/>
      <c r="BF1143"/>
      <c r="BG1143"/>
      <c r="BH1143"/>
      <c r="BI1143"/>
      <c r="BJ1143"/>
      <c r="BK1143"/>
    </row>
    <row r="1144" spans="40:63" ht="12.75">
      <c r="AN1144"/>
      <c r="AO1144" s="293"/>
      <c r="AP1144"/>
      <c r="AQ1144" s="145"/>
      <c r="AR1144"/>
      <c r="AS1144"/>
      <c r="AT1144"/>
      <c r="AU1144"/>
      <c r="AV1144"/>
      <c r="AW1144"/>
      <c r="AX1144"/>
      <c r="AY1144"/>
      <c r="AZ1144"/>
      <c r="BA1144"/>
      <c r="BB1144"/>
      <c r="BC1144" s="578"/>
      <c r="BD1144" s="578"/>
      <c r="BE1144"/>
      <c r="BF1144"/>
      <c r="BG1144"/>
      <c r="BH1144"/>
      <c r="BI1144"/>
      <c r="BJ1144"/>
      <c r="BK1144"/>
    </row>
    <row r="1145" spans="40:63" ht="12.75">
      <c r="AN1145"/>
      <c r="AO1145" s="293"/>
      <c r="AP1145"/>
      <c r="AQ1145" s="145"/>
      <c r="AR1145"/>
      <c r="AS1145"/>
      <c r="AT1145"/>
      <c r="AU1145"/>
      <c r="AV1145"/>
      <c r="AW1145"/>
      <c r="AX1145"/>
      <c r="AY1145"/>
      <c r="AZ1145"/>
      <c r="BA1145"/>
      <c r="BB1145"/>
      <c r="BC1145" s="578"/>
      <c r="BD1145" s="578"/>
      <c r="BE1145"/>
      <c r="BF1145"/>
      <c r="BG1145"/>
      <c r="BH1145"/>
      <c r="BI1145"/>
      <c r="BJ1145"/>
      <c r="BK1145"/>
    </row>
    <row r="1146" spans="40:63" ht="12.75">
      <c r="AN1146"/>
      <c r="AO1146" s="293"/>
      <c r="AP1146"/>
      <c r="AQ1146" s="145"/>
      <c r="AR1146"/>
      <c r="AS1146"/>
      <c r="AT1146"/>
      <c r="AU1146"/>
      <c r="AV1146"/>
      <c r="AW1146"/>
      <c r="AX1146"/>
      <c r="AY1146"/>
      <c r="AZ1146"/>
      <c r="BA1146"/>
      <c r="BB1146"/>
      <c r="BC1146" s="578"/>
      <c r="BD1146" s="578"/>
      <c r="BE1146"/>
      <c r="BF1146"/>
      <c r="BG1146"/>
      <c r="BH1146"/>
      <c r="BI1146"/>
      <c r="BJ1146"/>
      <c r="BK1146"/>
    </row>
    <row r="1147" spans="40:63" ht="12.75">
      <c r="AN1147"/>
      <c r="AO1147" s="293"/>
      <c r="AP1147"/>
      <c r="AQ1147" s="145"/>
      <c r="AR1147"/>
      <c r="AS1147"/>
      <c r="AT1147"/>
      <c r="AU1147"/>
      <c r="AV1147"/>
      <c r="AW1147"/>
      <c r="AX1147"/>
      <c r="AY1147"/>
      <c r="AZ1147"/>
      <c r="BA1147"/>
      <c r="BB1147"/>
      <c r="BC1147" s="578"/>
      <c r="BD1147" s="578"/>
      <c r="BE1147"/>
      <c r="BF1147"/>
      <c r="BG1147"/>
      <c r="BH1147"/>
      <c r="BI1147"/>
      <c r="BJ1147"/>
      <c r="BK1147"/>
    </row>
    <row r="1148" spans="40:63" ht="12.75">
      <c r="AN1148"/>
      <c r="AO1148" s="293"/>
      <c r="AP1148"/>
      <c r="AQ1148" s="145"/>
      <c r="AR1148"/>
      <c r="AS1148"/>
      <c r="AT1148"/>
      <c r="AU1148"/>
      <c r="AV1148"/>
      <c r="AW1148"/>
      <c r="AX1148"/>
      <c r="AY1148"/>
      <c r="AZ1148"/>
      <c r="BA1148"/>
      <c r="BB1148"/>
      <c r="BC1148" s="578"/>
      <c r="BD1148" s="578"/>
      <c r="BE1148"/>
      <c r="BF1148"/>
      <c r="BG1148"/>
      <c r="BH1148"/>
      <c r="BI1148"/>
      <c r="BJ1148"/>
      <c r="BK1148"/>
    </row>
    <row r="1149" spans="40:63" ht="12.75">
      <c r="AN1149"/>
      <c r="AO1149" s="293"/>
      <c r="AP1149"/>
      <c r="AQ1149" s="145"/>
      <c r="AR1149"/>
      <c r="AS1149"/>
      <c r="AT1149"/>
      <c r="AU1149"/>
      <c r="AV1149"/>
      <c r="AW1149"/>
      <c r="AX1149"/>
      <c r="AY1149"/>
      <c r="AZ1149"/>
      <c r="BA1149"/>
      <c r="BB1149"/>
      <c r="BC1149" s="578"/>
      <c r="BD1149" s="578"/>
      <c r="BE1149"/>
      <c r="BF1149"/>
      <c r="BG1149"/>
      <c r="BH1149"/>
      <c r="BI1149"/>
      <c r="BJ1149"/>
      <c r="BK1149"/>
    </row>
    <row r="1150" spans="40:63" ht="12.75">
      <c r="AN1150"/>
      <c r="AO1150" s="293"/>
      <c r="AP1150"/>
      <c r="AQ1150" s="145"/>
      <c r="AR1150"/>
      <c r="AS1150"/>
      <c r="AT1150"/>
      <c r="AU1150"/>
      <c r="AV1150"/>
      <c r="AW1150"/>
      <c r="AX1150"/>
      <c r="AY1150"/>
      <c r="AZ1150"/>
      <c r="BA1150"/>
      <c r="BB1150"/>
      <c r="BC1150" s="578"/>
      <c r="BD1150" s="578"/>
      <c r="BE1150"/>
      <c r="BF1150"/>
      <c r="BG1150"/>
      <c r="BH1150"/>
      <c r="BI1150"/>
      <c r="BJ1150"/>
      <c r="BK1150"/>
    </row>
    <row r="1151" spans="40:63" ht="12.75">
      <c r="AN1151"/>
      <c r="AO1151" s="293"/>
      <c r="AP1151"/>
      <c r="AQ1151" s="145"/>
      <c r="AR1151"/>
      <c r="AS1151"/>
      <c r="AT1151"/>
      <c r="AU1151"/>
      <c r="AV1151"/>
      <c r="AW1151"/>
      <c r="AX1151"/>
      <c r="AY1151"/>
      <c r="AZ1151"/>
      <c r="BA1151"/>
      <c r="BB1151"/>
      <c r="BC1151" s="578"/>
      <c r="BD1151" s="578"/>
      <c r="BE1151"/>
      <c r="BF1151"/>
      <c r="BG1151"/>
      <c r="BH1151"/>
      <c r="BI1151"/>
      <c r="BJ1151"/>
      <c r="BK1151"/>
    </row>
    <row r="1152" spans="40:63" ht="12.75">
      <c r="AN1152"/>
      <c r="AO1152" s="293"/>
      <c r="AP1152"/>
      <c r="AQ1152" s="145"/>
      <c r="AR1152"/>
      <c r="AS1152"/>
      <c r="AT1152"/>
      <c r="AU1152"/>
      <c r="AV1152"/>
      <c r="AW1152"/>
      <c r="AX1152"/>
      <c r="AY1152"/>
      <c r="AZ1152"/>
      <c r="BA1152"/>
      <c r="BB1152"/>
      <c r="BC1152" s="578"/>
      <c r="BD1152" s="578"/>
      <c r="BE1152"/>
      <c r="BF1152"/>
      <c r="BG1152"/>
      <c r="BH1152"/>
      <c r="BI1152"/>
      <c r="BJ1152"/>
      <c r="BK1152"/>
    </row>
    <row r="1153" spans="40:63" ht="12.75">
      <c r="AN1153"/>
      <c r="AO1153" s="293"/>
      <c r="AP1153"/>
      <c r="AQ1153" s="145"/>
      <c r="AR1153"/>
      <c r="AS1153"/>
      <c r="AT1153"/>
      <c r="AU1153"/>
      <c r="AV1153"/>
      <c r="AW1153"/>
      <c r="AX1153"/>
      <c r="AY1153"/>
      <c r="AZ1153"/>
      <c r="BA1153"/>
      <c r="BB1153"/>
      <c r="BC1153" s="578"/>
      <c r="BD1153" s="578"/>
      <c r="BE1153"/>
      <c r="BF1153"/>
      <c r="BG1153"/>
      <c r="BH1153"/>
      <c r="BI1153"/>
      <c r="BJ1153"/>
      <c r="BK1153"/>
    </row>
    <row r="1154" spans="40:63" ht="12.75">
      <c r="AN1154"/>
      <c r="AO1154" s="293"/>
      <c r="AP1154"/>
      <c r="AQ1154" s="145"/>
      <c r="AR1154"/>
      <c r="AS1154"/>
      <c r="AT1154"/>
      <c r="AU1154"/>
      <c r="AV1154"/>
      <c r="AW1154"/>
      <c r="AX1154"/>
      <c r="AY1154"/>
      <c r="AZ1154"/>
      <c r="BA1154"/>
      <c r="BB1154"/>
      <c r="BC1154" s="578"/>
      <c r="BD1154" s="578"/>
      <c r="BE1154"/>
      <c r="BF1154"/>
      <c r="BG1154"/>
      <c r="BH1154"/>
      <c r="BI1154"/>
      <c r="BJ1154"/>
      <c r="BK1154"/>
    </row>
    <row r="1155" spans="40:63" ht="12.75">
      <c r="AN1155"/>
      <c r="AO1155" s="293"/>
      <c r="AP1155"/>
      <c r="AQ1155" s="145"/>
      <c r="AR1155"/>
      <c r="AS1155"/>
      <c r="AT1155"/>
      <c r="AU1155"/>
      <c r="AV1155"/>
      <c r="AW1155"/>
      <c r="AX1155"/>
      <c r="AY1155"/>
      <c r="AZ1155"/>
      <c r="BA1155"/>
      <c r="BB1155"/>
      <c r="BC1155" s="578"/>
      <c r="BD1155" s="578"/>
      <c r="BE1155"/>
      <c r="BF1155"/>
      <c r="BG1155"/>
      <c r="BH1155"/>
      <c r="BI1155"/>
      <c r="BJ1155"/>
      <c r="BK1155"/>
    </row>
    <row r="1156" spans="40:63" ht="12.75">
      <c r="AN1156"/>
      <c r="AO1156" s="293"/>
      <c r="AP1156"/>
      <c r="AQ1156" s="145"/>
      <c r="AR1156"/>
      <c r="AS1156"/>
      <c r="AT1156"/>
      <c r="AU1156"/>
      <c r="AV1156"/>
      <c r="AW1156"/>
      <c r="AX1156"/>
      <c r="AY1156"/>
      <c r="AZ1156"/>
      <c r="BA1156"/>
      <c r="BB1156"/>
      <c r="BC1156" s="578"/>
      <c r="BD1156" s="578"/>
      <c r="BE1156"/>
      <c r="BF1156"/>
      <c r="BG1156"/>
      <c r="BH1156"/>
      <c r="BI1156"/>
      <c r="BJ1156"/>
      <c r="BK1156"/>
    </row>
    <row r="1157" spans="40:63" ht="12.75">
      <c r="AN1157"/>
      <c r="AO1157" s="293"/>
      <c r="AP1157"/>
      <c r="AQ1157" s="145"/>
      <c r="AR1157"/>
      <c r="AS1157"/>
      <c r="AT1157"/>
      <c r="AU1157"/>
      <c r="AV1157"/>
      <c r="AW1157"/>
      <c r="AX1157"/>
      <c r="AY1157"/>
      <c r="AZ1157"/>
      <c r="BA1157"/>
      <c r="BB1157"/>
      <c r="BC1157" s="578"/>
      <c r="BD1157" s="578"/>
      <c r="BE1157"/>
      <c r="BF1157"/>
      <c r="BG1157"/>
      <c r="BH1157"/>
      <c r="BI1157"/>
      <c r="BJ1157"/>
      <c r="BK1157"/>
    </row>
    <row r="1158" spans="40:63" ht="12.75">
      <c r="AN1158"/>
      <c r="AO1158" s="293"/>
      <c r="AP1158"/>
      <c r="AQ1158" s="145"/>
      <c r="AR1158"/>
      <c r="AS1158"/>
      <c r="AT1158"/>
      <c r="AU1158"/>
      <c r="AV1158"/>
      <c r="AW1158"/>
      <c r="AX1158"/>
      <c r="AY1158"/>
      <c r="AZ1158"/>
      <c r="BA1158"/>
      <c r="BB1158"/>
      <c r="BC1158" s="578"/>
      <c r="BD1158" s="578"/>
      <c r="BE1158"/>
      <c r="BF1158"/>
      <c r="BG1158"/>
      <c r="BH1158"/>
      <c r="BI1158"/>
      <c r="BJ1158"/>
      <c r="BK1158"/>
    </row>
    <row r="1159" spans="40:63" ht="12.75">
      <c r="AN1159"/>
      <c r="AO1159" s="293"/>
      <c r="AP1159"/>
      <c r="AQ1159" s="145"/>
      <c r="AR1159"/>
      <c r="AS1159"/>
      <c r="AT1159"/>
      <c r="AU1159"/>
      <c r="AV1159"/>
      <c r="AW1159"/>
      <c r="AX1159"/>
      <c r="AY1159"/>
      <c r="AZ1159"/>
      <c r="BA1159"/>
      <c r="BB1159"/>
      <c r="BC1159" s="578"/>
      <c r="BD1159" s="578"/>
      <c r="BE1159"/>
      <c r="BF1159"/>
      <c r="BG1159"/>
      <c r="BH1159"/>
      <c r="BI1159"/>
      <c r="BJ1159"/>
      <c r="BK1159"/>
    </row>
    <row r="1160" spans="40:63" ht="12.75">
      <c r="AN1160"/>
      <c r="AO1160" s="293"/>
      <c r="AP1160"/>
      <c r="AQ1160" s="145"/>
      <c r="AR1160"/>
      <c r="AS1160"/>
      <c r="AT1160"/>
      <c r="AU1160"/>
      <c r="AV1160"/>
      <c r="AW1160"/>
      <c r="AX1160"/>
      <c r="AY1160"/>
      <c r="AZ1160"/>
      <c r="BA1160"/>
      <c r="BB1160"/>
      <c r="BC1160" s="578"/>
      <c r="BD1160" s="578"/>
      <c r="BE1160"/>
      <c r="BF1160"/>
      <c r="BG1160"/>
      <c r="BH1160"/>
      <c r="BI1160"/>
      <c r="BJ1160"/>
      <c r="BK1160"/>
    </row>
    <row r="1161" spans="40:63" ht="12.75">
      <c r="AN1161"/>
      <c r="AO1161" s="293"/>
      <c r="AP1161"/>
      <c r="AQ1161" s="145"/>
      <c r="AR1161"/>
      <c r="AS1161"/>
      <c r="AT1161"/>
      <c r="AU1161"/>
      <c r="AV1161"/>
      <c r="AW1161"/>
      <c r="AX1161"/>
      <c r="AY1161"/>
      <c r="AZ1161"/>
      <c r="BA1161"/>
      <c r="BB1161"/>
      <c r="BC1161" s="578"/>
      <c r="BD1161" s="578"/>
      <c r="BE1161"/>
      <c r="BF1161"/>
      <c r="BG1161"/>
      <c r="BH1161"/>
      <c r="BI1161"/>
      <c r="BJ1161"/>
      <c r="BK1161"/>
    </row>
    <row r="1162" spans="40:63" ht="12.75">
      <c r="AN1162"/>
      <c r="AO1162" s="293"/>
      <c r="AP1162"/>
      <c r="AQ1162" s="145"/>
      <c r="AR1162"/>
      <c r="AS1162"/>
      <c r="AT1162"/>
      <c r="AU1162"/>
      <c r="AV1162"/>
      <c r="AW1162"/>
      <c r="AX1162"/>
      <c r="AY1162"/>
      <c r="AZ1162"/>
      <c r="BA1162"/>
      <c r="BB1162"/>
      <c r="BC1162" s="578"/>
      <c r="BD1162" s="578"/>
      <c r="BE1162"/>
      <c r="BF1162"/>
      <c r="BG1162"/>
      <c r="BH1162"/>
      <c r="BI1162"/>
      <c r="BJ1162"/>
      <c r="BK1162"/>
    </row>
    <row r="1163" spans="40:63" ht="12.75">
      <c r="AN1163"/>
      <c r="AO1163" s="293"/>
      <c r="AP1163"/>
      <c r="AQ1163" s="145"/>
      <c r="AR1163"/>
      <c r="AS1163"/>
      <c r="AT1163"/>
      <c r="AU1163"/>
      <c r="AV1163"/>
      <c r="AW1163"/>
      <c r="AX1163"/>
      <c r="AY1163"/>
      <c r="AZ1163"/>
      <c r="BA1163"/>
      <c r="BB1163"/>
      <c r="BC1163" s="578"/>
      <c r="BD1163" s="578"/>
      <c r="BE1163"/>
      <c r="BF1163"/>
      <c r="BG1163"/>
      <c r="BH1163"/>
      <c r="BI1163"/>
      <c r="BJ1163"/>
      <c r="BK1163"/>
    </row>
    <row r="1164" spans="40:63" ht="12.75">
      <c r="AN1164"/>
      <c r="AO1164" s="293"/>
      <c r="AP1164"/>
      <c r="AQ1164" s="145"/>
      <c r="AR1164"/>
      <c r="AS1164"/>
      <c r="AT1164"/>
      <c r="AU1164"/>
      <c r="AV1164"/>
      <c r="AW1164"/>
      <c r="AX1164"/>
      <c r="AY1164"/>
      <c r="AZ1164"/>
      <c r="BA1164"/>
      <c r="BB1164"/>
      <c r="BC1164" s="578"/>
      <c r="BD1164" s="578"/>
      <c r="BE1164"/>
      <c r="BF1164"/>
      <c r="BG1164"/>
      <c r="BH1164"/>
      <c r="BI1164"/>
      <c r="BJ1164"/>
      <c r="BK1164"/>
    </row>
    <row r="1165" spans="40:63" ht="12.75">
      <c r="AN1165"/>
      <c r="AO1165" s="293"/>
      <c r="AP1165"/>
      <c r="AQ1165" s="145"/>
      <c r="AR1165"/>
      <c r="AS1165"/>
      <c r="AT1165"/>
      <c r="AU1165"/>
      <c r="AV1165"/>
      <c r="AW1165"/>
      <c r="AX1165"/>
      <c r="AY1165"/>
      <c r="AZ1165"/>
      <c r="BA1165"/>
      <c r="BB1165"/>
      <c r="BC1165" s="578"/>
      <c r="BD1165" s="578"/>
      <c r="BE1165"/>
      <c r="BF1165"/>
      <c r="BG1165"/>
      <c r="BH1165"/>
      <c r="BI1165"/>
      <c r="BJ1165"/>
      <c r="BK1165"/>
    </row>
    <row r="1166" spans="40:63" ht="12.75">
      <c r="AN1166"/>
      <c r="AO1166" s="293"/>
      <c r="AP1166"/>
      <c r="AQ1166" s="145"/>
      <c r="AR1166"/>
      <c r="AS1166"/>
      <c r="AT1166"/>
      <c r="AU1166"/>
      <c r="AV1166"/>
      <c r="AW1166"/>
      <c r="AX1166"/>
      <c r="AY1166"/>
      <c r="AZ1166"/>
      <c r="BA1166"/>
      <c r="BB1166"/>
      <c r="BC1166" s="578"/>
      <c r="BD1166" s="578"/>
      <c r="BE1166"/>
      <c r="BF1166"/>
      <c r="BG1166"/>
      <c r="BH1166"/>
      <c r="BI1166"/>
      <c r="BJ1166"/>
      <c r="BK1166"/>
    </row>
    <row r="1167" spans="40:63" ht="12.75">
      <c r="AN1167"/>
      <c r="AO1167" s="293"/>
      <c r="AP1167"/>
      <c r="AQ1167" s="145"/>
      <c r="AR1167"/>
      <c r="AS1167"/>
      <c r="AT1167"/>
      <c r="AU1167"/>
      <c r="AV1167"/>
      <c r="AW1167"/>
      <c r="AX1167"/>
      <c r="AY1167"/>
      <c r="AZ1167"/>
      <c r="BA1167"/>
      <c r="BB1167"/>
      <c r="BC1167" s="578"/>
      <c r="BD1167" s="578"/>
      <c r="BE1167"/>
      <c r="BF1167"/>
      <c r="BG1167"/>
      <c r="BH1167"/>
      <c r="BI1167"/>
      <c r="BJ1167"/>
      <c r="BK1167"/>
    </row>
    <row r="1168" spans="40:63" ht="12.75">
      <c r="AN1168"/>
      <c r="AO1168" s="293"/>
      <c r="AP1168"/>
      <c r="AQ1168" s="145"/>
      <c r="AR1168"/>
      <c r="AS1168"/>
      <c r="AT1168"/>
      <c r="AU1168"/>
      <c r="AV1168"/>
      <c r="AW1168"/>
      <c r="AX1168"/>
      <c r="AY1168"/>
      <c r="AZ1168"/>
      <c r="BA1168"/>
      <c r="BB1168"/>
      <c r="BC1168" s="578"/>
      <c r="BD1168" s="578"/>
      <c r="BE1168"/>
      <c r="BF1168"/>
      <c r="BG1168"/>
      <c r="BH1168"/>
      <c r="BI1168"/>
      <c r="BJ1168"/>
      <c r="BK1168"/>
    </row>
    <row r="1169" spans="40:63" ht="12.75">
      <c r="AN1169"/>
      <c r="AO1169" s="293"/>
      <c r="AP1169"/>
      <c r="AQ1169" s="145"/>
      <c r="AR1169"/>
      <c r="AS1169"/>
      <c r="AT1169"/>
      <c r="AU1169"/>
      <c r="AV1169"/>
      <c r="AW1169"/>
      <c r="AX1169"/>
      <c r="AY1169"/>
      <c r="AZ1169"/>
      <c r="BA1169"/>
      <c r="BB1169"/>
      <c r="BC1169" s="578"/>
      <c r="BD1169" s="578"/>
      <c r="BE1169"/>
      <c r="BF1169"/>
      <c r="BG1169"/>
      <c r="BH1169"/>
      <c r="BI1169"/>
      <c r="BJ1169"/>
      <c r="BK1169"/>
    </row>
    <row r="1170" spans="40:63" ht="12.75">
      <c r="AN1170"/>
      <c r="AO1170" s="293"/>
      <c r="AP1170"/>
      <c r="AQ1170" s="145"/>
      <c r="AR1170"/>
      <c r="AS1170"/>
      <c r="AT1170"/>
      <c r="AU1170"/>
      <c r="AV1170"/>
      <c r="AW1170"/>
      <c r="AX1170"/>
      <c r="AY1170"/>
      <c r="AZ1170"/>
      <c r="BA1170"/>
      <c r="BB1170"/>
      <c r="BC1170" s="578"/>
      <c r="BD1170" s="578"/>
      <c r="BE1170"/>
      <c r="BF1170"/>
      <c r="BG1170"/>
      <c r="BH1170"/>
      <c r="BI1170"/>
      <c r="BJ1170"/>
      <c r="BK1170"/>
    </row>
    <row r="1171" spans="40:63" ht="12.75">
      <c r="AN1171"/>
      <c r="AO1171" s="293"/>
      <c r="AP1171"/>
      <c r="AQ1171" s="145"/>
      <c r="AR1171"/>
      <c r="AS1171"/>
      <c r="AT1171"/>
      <c r="AU1171"/>
      <c r="AV1171"/>
      <c r="AW1171"/>
      <c r="AX1171"/>
      <c r="AY1171"/>
      <c r="AZ1171"/>
      <c r="BA1171"/>
      <c r="BB1171"/>
      <c r="BC1171" s="578"/>
      <c r="BD1171" s="578"/>
      <c r="BE1171"/>
      <c r="BF1171"/>
      <c r="BG1171"/>
      <c r="BH1171"/>
      <c r="BI1171"/>
      <c r="BJ1171"/>
      <c r="BK1171"/>
    </row>
    <row r="1172" spans="40:63" ht="12.75">
      <c r="AN1172"/>
      <c r="AO1172" s="293"/>
      <c r="AP1172"/>
      <c r="AQ1172" s="145"/>
      <c r="AR1172"/>
      <c r="AS1172"/>
      <c r="AT1172"/>
      <c r="AU1172"/>
      <c r="AV1172"/>
      <c r="AW1172"/>
      <c r="AX1172"/>
      <c r="AY1172"/>
      <c r="AZ1172"/>
      <c r="BA1172"/>
      <c r="BB1172"/>
      <c r="BC1172" s="578"/>
      <c r="BD1172" s="578"/>
      <c r="BE1172"/>
      <c r="BF1172"/>
      <c r="BG1172"/>
      <c r="BH1172"/>
      <c r="BI1172"/>
      <c r="BJ1172"/>
      <c r="BK1172"/>
    </row>
    <row r="1173" spans="40:63" ht="12.75">
      <c r="AN1173"/>
      <c r="AO1173" s="293"/>
      <c r="AP1173"/>
      <c r="AQ1173" s="145"/>
      <c r="AR1173"/>
      <c r="AS1173"/>
      <c r="AT1173"/>
      <c r="AU1173"/>
      <c r="AV1173"/>
      <c r="AW1173"/>
      <c r="AX1173"/>
      <c r="AY1173"/>
      <c r="AZ1173"/>
      <c r="BA1173"/>
      <c r="BB1173"/>
      <c r="BC1173" s="578"/>
      <c r="BD1173" s="578"/>
      <c r="BE1173"/>
      <c r="BF1173"/>
      <c r="BG1173"/>
      <c r="BH1173"/>
      <c r="BI1173"/>
      <c r="BJ1173"/>
      <c r="BK1173"/>
    </row>
    <row r="1174" spans="40:63" ht="12.75">
      <c r="AN1174"/>
      <c r="AO1174" s="293"/>
      <c r="AP1174"/>
      <c r="AQ1174" s="145"/>
      <c r="AR1174"/>
      <c r="AS1174"/>
      <c r="AT1174"/>
      <c r="AU1174"/>
      <c r="AV1174"/>
      <c r="AW1174"/>
      <c r="AX1174"/>
      <c r="AY1174"/>
      <c r="AZ1174"/>
      <c r="BA1174"/>
      <c r="BB1174"/>
      <c r="BC1174" s="578"/>
      <c r="BD1174" s="578"/>
      <c r="BE1174"/>
      <c r="BF1174"/>
      <c r="BG1174"/>
      <c r="BH1174"/>
      <c r="BI1174"/>
      <c r="BJ1174"/>
      <c r="BK1174"/>
    </row>
    <row r="1175" spans="40:63" ht="12.75">
      <c r="AN1175"/>
      <c r="AO1175" s="293"/>
      <c r="AP1175"/>
      <c r="AQ1175" s="145"/>
      <c r="AR1175"/>
      <c r="AS1175"/>
      <c r="AT1175"/>
      <c r="AU1175"/>
      <c r="AV1175"/>
      <c r="AW1175"/>
      <c r="AX1175"/>
      <c r="AY1175"/>
      <c r="AZ1175"/>
      <c r="BA1175"/>
      <c r="BB1175"/>
      <c r="BC1175" s="578"/>
      <c r="BD1175" s="578"/>
      <c r="BE1175"/>
      <c r="BF1175"/>
      <c r="BG1175"/>
      <c r="BH1175"/>
      <c r="BI1175"/>
      <c r="BJ1175"/>
      <c r="BK1175"/>
    </row>
    <row r="1176" spans="40:63" ht="12.75">
      <c r="AN1176"/>
      <c r="AO1176" s="293"/>
      <c r="AP1176"/>
      <c r="AQ1176" s="145"/>
      <c r="AR1176"/>
      <c r="AS1176"/>
      <c r="AT1176"/>
      <c r="AU1176"/>
      <c r="AV1176"/>
      <c r="AW1176"/>
      <c r="AX1176"/>
      <c r="AY1176"/>
      <c r="AZ1176"/>
      <c r="BA1176"/>
      <c r="BB1176"/>
      <c r="BC1176" s="578"/>
      <c r="BD1176" s="578"/>
      <c r="BE1176"/>
      <c r="BF1176"/>
      <c r="BG1176"/>
      <c r="BH1176"/>
      <c r="BI1176"/>
      <c r="BJ1176"/>
      <c r="BK1176"/>
    </row>
    <row r="1177" spans="40:63" ht="12.75">
      <c r="AN1177"/>
      <c r="AO1177" s="293"/>
      <c r="AP1177"/>
      <c r="AQ1177" s="145"/>
      <c r="AR1177"/>
      <c r="AS1177"/>
      <c r="AT1177"/>
      <c r="AU1177"/>
      <c r="AV1177"/>
      <c r="AW1177"/>
      <c r="AX1177"/>
      <c r="AY1177"/>
      <c r="AZ1177"/>
      <c r="BA1177"/>
      <c r="BB1177"/>
      <c r="BC1177" s="578"/>
      <c r="BD1177" s="578"/>
      <c r="BE1177"/>
      <c r="BF1177"/>
      <c r="BG1177"/>
      <c r="BH1177"/>
      <c r="BI1177"/>
      <c r="BJ1177"/>
      <c r="BK1177"/>
    </row>
    <row r="1178" spans="40:63" ht="12.75">
      <c r="AN1178"/>
      <c r="AO1178" s="293"/>
      <c r="AP1178"/>
      <c r="AQ1178" s="145"/>
      <c r="AR1178"/>
      <c r="AS1178"/>
      <c r="AT1178"/>
      <c r="AU1178"/>
      <c r="AV1178"/>
      <c r="AW1178"/>
      <c r="AX1178"/>
      <c r="AY1178"/>
      <c r="AZ1178"/>
      <c r="BA1178"/>
      <c r="BB1178"/>
      <c r="BC1178" s="578"/>
      <c r="BD1178" s="578"/>
      <c r="BE1178"/>
      <c r="BF1178"/>
      <c r="BG1178"/>
      <c r="BH1178"/>
      <c r="BI1178"/>
      <c r="BJ1178"/>
      <c r="BK1178"/>
    </row>
    <row r="1179" spans="40:63" ht="12.75">
      <c r="AN1179"/>
      <c r="AO1179" s="293"/>
      <c r="AP1179"/>
      <c r="AQ1179" s="145"/>
      <c r="AR1179"/>
      <c r="AS1179"/>
      <c r="AT1179"/>
      <c r="AU1179"/>
      <c r="AV1179"/>
      <c r="AW1179"/>
      <c r="AX1179"/>
      <c r="AY1179"/>
      <c r="AZ1179"/>
      <c r="BA1179"/>
      <c r="BB1179"/>
      <c r="BC1179" s="578"/>
      <c r="BD1179" s="578"/>
      <c r="BE1179"/>
      <c r="BF1179"/>
      <c r="BG1179"/>
      <c r="BH1179"/>
      <c r="BI1179"/>
      <c r="BJ1179"/>
      <c r="BK1179"/>
    </row>
    <row r="1180" spans="40:63" ht="12.75">
      <c r="AN1180"/>
      <c r="AO1180" s="293"/>
      <c r="AP1180"/>
      <c r="AQ1180" s="145"/>
      <c r="AR1180"/>
      <c r="AS1180"/>
      <c r="AT1180"/>
      <c r="AU1180"/>
      <c r="AV1180"/>
      <c r="AW1180"/>
      <c r="AX1180"/>
      <c r="AY1180"/>
      <c r="AZ1180"/>
      <c r="BA1180"/>
      <c r="BB1180"/>
      <c r="BC1180" s="578"/>
      <c r="BD1180" s="578"/>
      <c r="BE1180"/>
      <c r="BF1180"/>
      <c r="BG1180"/>
      <c r="BH1180"/>
      <c r="BI1180"/>
      <c r="BJ1180"/>
      <c r="BK1180"/>
    </row>
    <row r="1181" spans="40:63" ht="12.75">
      <c r="AN1181"/>
      <c r="AO1181" s="293"/>
      <c r="AP1181"/>
      <c r="AQ1181" s="145"/>
      <c r="AR1181"/>
      <c r="AS1181"/>
      <c r="AT1181"/>
      <c r="AU1181"/>
      <c r="AV1181"/>
      <c r="AW1181"/>
      <c r="AX1181"/>
      <c r="AY1181"/>
      <c r="AZ1181"/>
      <c r="BA1181"/>
      <c r="BB1181"/>
      <c r="BC1181" s="578"/>
      <c r="BD1181" s="578"/>
      <c r="BE1181"/>
      <c r="BF1181"/>
      <c r="BG1181"/>
      <c r="BH1181"/>
      <c r="BI1181"/>
      <c r="BJ1181"/>
      <c r="BK1181"/>
    </row>
    <row r="1182" spans="40:63" ht="12.75">
      <c r="AN1182"/>
      <c r="AO1182" s="293"/>
      <c r="AP1182"/>
      <c r="AQ1182" s="145"/>
      <c r="AR1182"/>
      <c r="AS1182"/>
      <c r="AT1182"/>
      <c r="AU1182"/>
      <c r="AV1182"/>
      <c r="AW1182"/>
      <c r="AX1182"/>
      <c r="AY1182"/>
      <c r="AZ1182"/>
      <c r="BA1182"/>
      <c r="BB1182"/>
      <c r="BC1182" s="578"/>
      <c r="BD1182" s="578"/>
      <c r="BE1182"/>
      <c r="BF1182"/>
      <c r="BG1182"/>
      <c r="BH1182"/>
      <c r="BI1182"/>
      <c r="BJ1182"/>
      <c r="BK1182"/>
    </row>
    <row r="1183" spans="40:63" ht="12.75">
      <c r="AN1183"/>
      <c r="AO1183" s="293"/>
      <c r="AP1183"/>
      <c r="AQ1183" s="145"/>
      <c r="AR1183"/>
      <c r="AS1183"/>
      <c r="AT1183"/>
      <c r="AU1183"/>
      <c r="AV1183"/>
      <c r="AW1183"/>
      <c r="AX1183"/>
      <c r="AY1183"/>
      <c r="AZ1183"/>
      <c r="BA1183"/>
      <c r="BB1183"/>
      <c r="BC1183" s="578"/>
      <c r="BD1183" s="578"/>
      <c r="BE1183"/>
      <c r="BF1183"/>
      <c r="BG1183"/>
      <c r="BH1183"/>
      <c r="BI1183"/>
      <c r="BJ1183"/>
      <c r="BK1183"/>
    </row>
    <row r="1184" spans="40:63" ht="12.75">
      <c r="AN1184"/>
      <c r="AO1184" s="293"/>
      <c r="AP1184"/>
      <c r="AQ1184" s="145"/>
      <c r="AR1184"/>
      <c r="AS1184"/>
      <c r="AT1184"/>
      <c r="AU1184"/>
      <c r="AV1184"/>
      <c r="AW1184"/>
      <c r="AX1184"/>
      <c r="AY1184"/>
      <c r="AZ1184"/>
      <c r="BA1184"/>
      <c r="BB1184"/>
      <c r="BC1184" s="578"/>
      <c r="BD1184" s="578"/>
      <c r="BE1184"/>
      <c r="BF1184"/>
      <c r="BG1184"/>
      <c r="BH1184"/>
      <c r="BI1184"/>
      <c r="BJ1184"/>
      <c r="BK1184"/>
    </row>
    <row r="1185" spans="40:63" ht="12.75">
      <c r="AN1185"/>
      <c r="AO1185" s="293"/>
      <c r="AP1185"/>
      <c r="AQ1185" s="145"/>
      <c r="AR1185"/>
      <c r="AS1185"/>
      <c r="AT1185"/>
      <c r="AU1185"/>
      <c r="AV1185"/>
      <c r="AW1185"/>
      <c r="AX1185"/>
      <c r="AY1185"/>
      <c r="AZ1185"/>
      <c r="BA1185"/>
      <c r="BB1185"/>
      <c r="BC1185" s="578"/>
      <c r="BD1185" s="578"/>
      <c r="BE1185"/>
      <c r="BF1185"/>
      <c r="BG1185"/>
      <c r="BH1185"/>
      <c r="BI1185"/>
      <c r="BJ1185"/>
      <c r="BK1185"/>
    </row>
    <row r="1186" spans="40:63" ht="12.75">
      <c r="AN1186"/>
      <c r="AO1186" s="293"/>
      <c r="AP1186"/>
      <c r="AQ1186" s="145"/>
      <c r="AR1186"/>
      <c r="AS1186"/>
      <c r="AT1186"/>
      <c r="AU1186"/>
      <c r="AV1186"/>
      <c r="AW1186"/>
      <c r="AX1186"/>
      <c r="AY1186"/>
      <c r="AZ1186"/>
      <c r="BA1186"/>
      <c r="BB1186"/>
      <c r="BC1186" s="578"/>
      <c r="BD1186" s="578"/>
      <c r="BE1186"/>
      <c r="BF1186"/>
      <c r="BG1186"/>
      <c r="BH1186"/>
      <c r="BI1186"/>
      <c r="BJ1186"/>
      <c r="BK1186"/>
    </row>
    <row r="1187" spans="40:63" ht="12.75">
      <c r="AN1187"/>
      <c r="AO1187" s="293"/>
      <c r="AP1187"/>
      <c r="AQ1187" s="145"/>
      <c r="AR1187"/>
      <c r="AS1187"/>
      <c r="AT1187"/>
      <c r="AU1187"/>
      <c r="AV1187"/>
      <c r="AW1187"/>
      <c r="AX1187"/>
      <c r="AY1187"/>
      <c r="AZ1187"/>
      <c r="BA1187"/>
      <c r="BB1187"/>
      <c r="BC1187" s="578"/>
      <c r="BD1187" s="578"/>
      <c r="BE1187"/>
      <c r="BF1187"/>
      <c r="BG1187"/>
      <c r="BH1187"/>
      <c r="BI1187"/>
      <c r="BJ1187"/>
      <c r="BK1187"/>
    </row>
    <row r="1188" spans="40:63" ht="12.75">
      <c r="AN1188"/>
      <c r="AO1188" s="293"/>
      <c r="AP1188"/>
      <c r="AQ1188" s="145"/>
      <c r="AR1188"/>
      <c r="AS1188"/>
      <c r="AT1188"/>
      <c r="AU1188"/>
      <c r="AV1188"/>
      <c r="AW1188"/>
      <c r="AX1188"/>
      <c r="AY1188"/>
      <c r="AZ1188"/>
      <c r="BA1188"/>
      <c r="BB1188"/>
      <c r="BC1188" s="578"/>
      <c r="BD1188" s="578"/>
      <c r="BE1188"/>
      <c r="BF1188"/>
      <c r="BG1188"/>
      <c r="BH1188"/>
      <c r="BI1188"/>
      <c r="BJ1188"/>
      <c r="BK1188"/>
    </row>
    <row r="1189" spans="40:63" ht="12.75">
      <c r="AN1189"/>
      <c r="AO1189" s="293"/>
      <c r="AP1189"/>
      <c r="AQ1189" s="145"/>
      <c r="AR1189"/>
      <c r="AS1189"/>
      <c r="AT1189"/>
      <c r="AU1189"/>
      <c r="AV1189"/>
      <c r="AW1189"/>
      <c r="AX1189"/>
      <c r="AY1189"/>
      <c r="AZ1189"/>
      <c r="BA1189"/>
      <c r="BB1189"/>
      <c r="BC1189" s="578"/>
      <c r="BD1189" s="578"/>
      <c r="BE1189"/>
      <c r="BF1189"/>
      <c r="BG1189"/>
      <c r="BH1189"/>
      <c r="BI1189"/>
      <c r="BJ1189"/>
      <c r="BK1189"/>
    </row>
    <row r="1190" spans="40:63" ht="12.75">
      <c r="AN1190"/>
      <c r="AO1190" s="293"/>
      <c r="AP1190"/>
      <c r="AQ1190" s="145"/>
      <c r="AR1190"/>
      <c r="AS1190"/>
      <c r="AT1190"/>
      <c r="AU1190"/>
      <c r="AV1190"/>
      <c r="AW1190"/>
      <c r="AX1190"/>
      <c r="AY1190"/>
      <c r="AZ1190"/>
      <c r="BA1190"/>
      <c r="BB1190"/>
      <c r="BC1190" s="578"/>
      <c r="BD1190" s="578"/>
      <c r="BE1190"/>
      <c r="BF1190"/>
      <c r="BG1190"/>
      <c r="BH1190"/>
      <c r="BI1190"/>
      <c r="BJ1190"/>
      <c r="BK1190"/>
    </row>
    <row r="1191" spans="40:63" ht="12.75">
      <c r="AN1191"/>
      <c r="AO1191" s="293"/>
      <c r="AP1191"/>
      <c r="AQ1191" s="145"/>
      <c r="AR1191"/>
      <c r="AS1191"/>
      <c r="AT1191"/>
      <c r="AU1191"/>
      <c r="AV1191"/>
      <c r="AW1191"/>
      <c r="AX1191"/>
      <c r="AY1191"/>
      <c r="AZ1191"/>
      <c r="BA1191"/>
      <c r="BB1191"/>
      <c r="BC1191" s="578"/>
      <c r="BD1191" s="578"/>
      <c r="BE1191"/>
      <c r="BF1191"/>
      <c r="BG1191"/>
      <c r="BH1191"/>
      <c r="BI1191"/>
      <c r="BJ1191"/>
      <c r="BK1191"/>
    </row>
    <row r="1192" spans="40:63" ht="12.75">
      <c r="AN1192"/>
      <c r="AO1192" s="293"/>
      <c r="AP1192"/>
      <c r="AQ1192" s="145"/>
      <c r="AR1192"/>
      <c r="AS1192"/>
      <c r="AT1192"/>
      <c r="AU1192"/>
      <c r="AV1192"/>
      <c r="AW1192"/>
      <c r="AX1192"/>
      <c r="AY1192"/>
      <c r="AZ1192"/>
      <c r="BA1192"/>
      <c r="BB1192"/>
      <c r="BC1192" s="578"/>
      <c r="BD1192" s="578"/>
      <c r="BE1192"/>
      <c r="BF1192"/>
      <c r="BG1192"/>
      <c r="BH1192"/>
      <c r="BI1192"/>
      <c r="BJ1192"/>
      <c r="BK1192"/>
    </row>
    <row r="1193" spans="40:63" ht="12.75">
      <c r="AN1193"/>
      <c r="AO1193" s="293"/>
      <c r="AP1193"/>
      <c r="AQ1193" s="145"/>
      <c r="AR1193"/>
      <c r="AS1193"/>
      <c r="AT1193"/>
      <c r="AU1193"/>
      <c r="AV1193"/>
      <c r="AW1193"/>
      <c r="AX1193"/>
      <c r="AY1193"/>
      <c r="AZ1193"/>
      <c r="BA1193"/>
      <c r="BB1193"/>
      <c r="BC1193" s="578"/>
      <c r="BD1193" s="578"/>
      <c r="BE1193"/>
      <c r="BF1193"/>
      <c r="BG1193"/>
      <c r="BH1193"/>
      <c r="BI1193"/>
      <c r="BJ1193"/>
      <c r="BK1193"/>
    </row>
    <row r="1194" spans="40:63" ht="12.75">
      <c r="AN1194"/>
      <c r="AO1194" s="293"/>
      <c r="AP1194"/>
      <c r="AQ1194" s="145"/>
      <c r="AR1194"/>
      <c r="AS1194"/>
      <c r="AT1194"/>
      <c r="AU1194"/>
      <c r="AV1194"/>
      <c r="AW1194"/>
      <c r="AX1194"/>
      <c r="AY1194"/>
      <c r="AZ1194"/>
      <c r="BA1194"/>
      <c r="BB1194"/>
      <c r="BC1194" s="578"/>
      <c r="BD1194" s="578"/>
      <c r="BE1194"/>
      <c r="BF1194"/>
      <c r="BG1194"/>
      <c r="BH1194"/>
      <c r="BI1194"/>
      <c r="BJ1194"/>
      <c r="BK1194"/>
    </row>
    <row r="1195" spans="40:63" ht="12.75">
      <c r="AN1195"/>
      <c r="AO1195" s="293"/>
      <c r="AP1195"/>
      <c r="AQ1195" s="145"/>
      <c r="AR1195"/>
      <c r="AS1195"/>
      <c r="AT1195"/>
      <c r="AU1195"/>
      <c r="AV1195"/>
      <c r="AW1195"/>
      <c r="AX1195"/>
      <c r="AY1195"/>
      <c r="AZ1195"/>
      <c r="BA1195"/>
      <c r="BB1195"/>
      <c r="BC1195" s="578"/>
      <c r="BD1195" s="578"/>
      <c r="BE1195"/>
      <c r="BF1195"/>
      <c r="BG1195"/>
      <c r="BH1195"/>
      <c r="BI1195"/>
      <c r="BJ1195"/>
      <c r="BK1195"/>
    </row>
    <row r="1196" spans="40:63" ht="12.75">
      <c r="AN1196"/>
      <c r="AO1196" s="293"/>
      <c r="AP1196"/>
      <c r="AQ1196" s="145"/>
      <c r="AR1196"/>
      <c r="AS1196"/>
      <c r="AT1196"/>
      <c r="AU1196"/>
      <c r="AV1196"/>
      <c r="AW1196"/>
      <c r="AX1196"/>
      <c r="AY1196"/>
      <c r="AZ1196"/>
      <c r="BA1196"/>
      <c r="BB1196"/>
      <c r="BC1196" s="578"/>
      <c r="BD1196" s="578"/>
      <c r="BE1196"/>
      <c r="BF1196"/>
      <c r="BG1196"/>
      <c r="BH1196"/>
      <c r="BI1196"/>
      <c r="BJ1196"/>
      <c r="BK1196"/>
    </row>
    <row r="1197" spans="40:63" ht="12.75">
      <c r="AN1197"/>
      <c r="AO1197" s="293"/>
      <c r="AP1197"/>
      <c r="AQ1197" s="145"/>
      <c r="AR1197"/>
      <c r="AS1197"/>
      <c r="AT1197"/>
      <c r="AU1197"/>
      <c r="AV1197"/>
      <c r="AW1197"/>
      <c r="AX1197"/>
      <c r="AY1197"/>
      <c r="AZ1197"/>
      <c r="BA1197"/>
      <c r="BB1197"/>
      <c r="BC1197" s="578"/>
      <c r="BD1197" s="578"/>
      <c r="BE1197"/>
      <c r="BF1197"/>
      <c r="BG1197"/>
      <c r="BH1197"/>
      <c r="BI1197"/>
      <c r="BJ1197"/>
      <c r="BK1197"/>
    </row>
    <row r="1198" spans="40:63" ht="12.75">
      <c r="AN1198"/>
      <c r="AO1198" s="293"/>
      <c r="AP1198"/>
      <c r="AQ1198" s="145"/>
      <c r="AR1198"/>
      <c r="AS1198"/>
      <c r="AT1198"/>
      <c r="AU1198"/>
      <c r="AV1198"/>
      <c r="AW1198"/>
      <c r="AX1198"/>
      <c r="AY1198"/>
      <c r="AZ1198"/>
      <c r="BA1198"/>
      <c r="BB1198"/>
      <c r="BC1198" s="578"/>
      <c r="BD1198" s="578"/>
      <c r="BE1198"/>
      <c r="BF1198"/>
      <c r="BG1198"/>
      <c r="BH1198"/>
      <c r="BI1198"/>
      <c r="BJ1198"/>
      <c r="BK1198"/>
    </row>
    <row r="1199" spans="40:63" ht="12.75">
      <c r="AN1199"/>
      <c r="AO1199" s="293"/>
      <c r="AP1199"/>
      <c r="AQ1199" s="145"/>
      <c r="AR1199"/>
      <c r="AS1199"/>
      <c r="AT1199"/>
      <c r="AU1199"/>
      <c r="AV1199"/>
      <c r="AW1199"/>
      <c r="AX1199"/>
      <c r="AY1199"/>
      <c r="AZ1199"/>
      <c r="BA1199"/>
      <c r="BB1199"/>
      <c r="BC1199" s="578"/>
      <c r="BD1199" s="578"/>
      <c r="BE1199"/>
      <c r="BF1199"/>
      <c r="BG1199"/>
      <c r="BH1199"/>
      <c r="BI1199"/>
      <c r="BJ1199"/>
      <c r="BK1199"/>
    </row>
    <row r="1200" spans="40:63" ht="12.75">
      <c r="AN1200"/>
      <c r="AO1200" s="293"/>
      <c r="AP1200"/>
      <c r="AQ1200" s="145"/>
      <c r="AR1200"/>
      <c r="AS1200"/>
      <c r="AT1200"/>
      <c r="AU1200"/>
      <c r="AV1200"/>
      <c r="AW1200"/>
      <c r="AX1200"/>
      <c r="AY1200"/>
      <c r="AZ1200"/>
      <c r="BA1200"/>
      <c r="BB1200"/>
      <c r="BC1200" s="578"/>
      <c r="BD1200" s="578"/>
      <c r="BE1200"/>
      <c r="BF1200"/>
      <c r="BG1200"/>
      <c r="BH1200"/>
      <c r="BI1200"/>
      <c r="BJ1200"/>
      <c r="BK1200"/>
    </row>
    <row r="1201" spans="40:63" ht="12.75">
      <c r="AN1201"/>
      <c r="AO1201" s="293"/>
      <c r="AP1201"/>
      <c r="AQ1201" s="145"/>
      <c r="AR1201"/>
      <c r="AS1201"/>
      <c r="AT1201"/>
      <c r="AU1201"/>
      <c r="AV1201"/>
      <c r="AW1201"/>
      <c r="AX1201"/>
      <c r="AY1201"/>
      <c r="AZ1201"/>
      <c r="BA1201"/>
      <c r="BB1201"/>
      <c r="BC1201" s="578"/>
      <c r="BD1201" s="578"/>
      <c r="BE1201"/>
      <c r="BF1201"/>
      <c r="BG1201"/>
      <c r="BH1201"/>
      <c r="BI1201"/>
      <c r="BJ1201"/>
      <c r="BK1201"/>
    </row>
    <row r="1202" spans="40:63" ht="12.75">
      <c r="AN1202"/>
      <c r="AO1202" s="293"/>
      <c r="AP1202"/>
      <c r="AQ1202" s="145"/>
      <c r="AR1202"/>
      <c r="AS1202"/>
      <c r="AT1202"/>
      <c r="AU1202"/>
      <c r="AV1202"/>
      <c r="AW1202"/>
      <c r="AX1202"/>
      <c r="AY1202"/>
      <c r="AZ1202"/>
      <c r="BA1202"/>
      <c r="BB1202"/>
      <c r="BC1202" s="578"/>
      <c r="BD1202" s="578"/>
      <c r="BE1202"/>
      <c r="BF1202"/>
      <c r="BG1202"/>
      <c r="BH1202"/>
      <c r="BI1202"/>
      <c r="BJ1202"/>
      <c r="BK1202"/>
    </row>
    <row r="1203" spans="40:63" ht="12.75">
      <c r="AN1203"/>
      <c r="AO1203" s="293"/>
      <c r="AP1203"/>
      <c r="AQ1203" s="145"/>
      <c r="AR1203"/>
      <c r="AS1203"/>
      <c r="AT1203"/>
      <c r="AU1203"/>
      <c r="AV1203"/>
      <c r="AW1203"/>
      <c r="AX1203"/>
      <c r="AY1203"/>
      <c r="AZ1203"/>
      <c r="BA1203"/>
      <c r="BB1203"/>
      <c r="BC1203" s="578"/>
      <c r="BD1203" s="578"/>
      <c r="BE1203"/>
      <c r="BF1203"/>
      <c r="BG1203"/>
      <c r="BH1203"/>
      <c r="BI1203"/>
      <c r="BJ1203"/>
      <c r="BK1203"/>
    </row>
    <row r="1204" spans="40:63" ht="12.75">
      <c r="AN1204"/>
      <c r="AO1204" s="293"/>
      <c r="AP1204"/>
      <c r="AQ1204" s="145"/>
      <c r="AR1204"/>
      <c r="AS1204"/>
      <c r="AT1204"/>
      <c r="AU1204"/>
      <c r="AV1204"/>
      <c r="AW1204"/>
      <c r="AX1204"/>
      <c r="AY1204"/>
      <c r="AZ1204"/>
      <c r="BA1204"/>
      <c r="BB1204"/>
      <c r="BC1204" s="578"/>
      <c r="BD1204" s="578"/>
      <c r="BE1204"/>
      <c r="BF1204"/>
      <c r="BG1204"/>
      <c r="BH1204"/>
      <c r="BI1204"/>
      <c r="BJ1204"/>
      <c r="BK1204"/>
    </row>
    <row r="1205" spans="40:63" ht="12.75">
      <c r="AN1205"/>
      <c r="AO1205" s="293"/>
      <c r="AP1205"/>
      <c r="AQ1205" s="145"/>
      <c r="AR1205"/>
      <c r="AS1205"/>
      <c r="AT1205"/>
      <c r="AU1205"/>
      <c r="AV1205"/>
      <c r="AW1205"/>
      <c r="AX1205"/>
      <c r="AY1205"/>
      <c r="AZ1205"/>
      <c r="BA1205"/>
      <c r="BB1205"/>
      <c r="BC1205" s="578"/>
      <c r="BD1205" s="578"/>
      <c r="BE1205"/>
      <c r="BF1205"/>
      <c r="BG1205"/>
      <c r="BH1205"/>
      <c r="BI1205"/>
      <c r="BJ1205"/>
      <c r="BK1205"/>
    </row>
    <row r="1206" spans="40:63" ht="12.75">
      <c r="AN1206"/>
      <c r="AO1206" s="293"/>
      <c r="AP1206"/>
      <c r="AQ1206" s="145"/>
      <c r="AR1206"/>
      <c r="AS1206"/>
      <c r="AT1206"/>
      <c r="AU1206"/>
      <c r="AV1206"/>
      <c r="AW1206"/>
      <c r="AX1206"/>
      <c r="AY1206"/>
      <c r="AZ1206"/>
      <c r="BA1206"/>
      <c r="BB1206"/>
      <c r="BC1206" s="578"/>
      <c r="BD1206" s="578"/>
      <c r="BE1206"/>
      <c r="BF1206"/>
      <c r="BG1206"/>
      <c r="BH1206"/>
      <c r="BI1206"/>
      <c r="BJ1206"/>
      <c r="BK1206"/>
    </row>
    <row r="1207" spans="40:63" ht="12.75">
      <c r="AN1207"/>
      <c r="AO1207" s="293"/>
      <c r="AP1207"/>
      <c r="AQ1207" s="145"/>
      <c r="AR1207"/>
      <c r="AS1207"/>
      <c r="AT1207"/>
      <c r="AU1207"/>
      <c r="AV1207"/>
      <c r="AW1207"/>
      <c r="AX1207"/>
      <c r="AY1207"/>
      <c r="AZ1207"/>
      <c r="BA1207"/>
      <c r="BB1207"/>
      <c r="BC1207" s="578"/>
      <c r="BD1207" s="578"/>
      <c r="BE1207"/>
      <c r="BF1207"/>
      <c r="BG1207"/>
      <c r="BH1207"/>
      <c r="BI1207"/>
      <c r="BJ1207"/>
      <c r="BK1207"/>
    </row>
    <row r="1208" spans="40:63" ht="12.75">
      <c r="AN1208"/>
      <c r="AO1208" s="293"/>
      <c r="AP1208"/>
      <c r="AQ1208" s="145"/>
      <c r="AR1208"/>
      <c r="AS1208"/>
      <c r="AT1208"/>
      <c r="AU1208"/>
      <c r="AV1208"/>
      <c r="AW1208"/>
      <c r="AX1208"/>
      <c r="AY1208"/>
      <c r="AZ1208"/>
      <c r="BA1208"/>
      <c r="BB1208"/>
      <c r="BC1208" s="578"/>
      <c r="BD1208" s="578"/>
      <c r="BE1208"/>
      <c r="BF1208"/>
      <c r="BG1208"/>
      <c r="BH1208"/>
      <c r="BI1208"/>
      <c r="BJ1208"/>
      <c r="BK1208"/>
    </row>
    <row r="1209" spans="40:63" ht="12.75">
      <c r="AN1209"/>
      <c r="AO1209" s="293"/>
      <c r="AP1209"/>
      <c r="AQ1209" s="145"/>
      <c r="AR1209"/>
      <c r="AS1209"/>
      <c r="AT1209"/>
      <c r="AU1209"/>
      <c r="AV1209"/>
      <c r="AW1209"/>
      <c r="AX1209"/>
      <c r="AY1209"/>
      <c r="AZ1209"/>
      <c r="BA1209"/>
      <c r="BB1209"/>
      <c r="BC1209" s="578"/>
      <c r="BD1209" s="578"/>
      <c r="BE1209"/>
      <c r="BF1209"/>
      <c r="BG1209"/>
      <c r="BH1209"/>
      <c r="BI1209"/>
      <c r="BJ1209"/>
      <c r="BK1209"/>
    </row>
    <row r="1210" spans="40:63" ht="12.75">
      <c r="AN1210"/>
      <c r="AO1210" s="293"/>
      <c r="AP1210"/>
      <c r="AQ1210" s="145"/>
      <c r="AR1210"/>
      <c r="AS1210"/>
      <c r="AT1210"/>
      <c r="AU1210"/>
      <c r="AV1210"/>
      <c r="AW1210"/>
      <c r="AX1210"/>
      <c r="AY1210"/>
      <c r="AZ1210"/>
      <c r="BA1210"/>
      <c r="BB1210"/>
      <c r="BC1210" s="578"/>
      <c r="BD1210" s="578"/>
      <c r="BE1210"/>
      <c r="BF1210"/>
      <c r="BG1210"/>
      <c r="BH1210"/>
      <c r="BI1210"/>
      <c r="BJ1210"/>
      <c r="BK1210"/>
    </row>
    <row r="1211" spans="40:63" ht="12.75">
      <c r="AN1211"/>
      <c r="AO1211" s="293"/>
      <c r="AP1211"/>
      <c r="AQ1211" s="145"/>
      <c r="AR1211"/>
      <c r="AS1211"/>
      <c r="AT1211"/>
      <c r="AU1211"/>
      <c r="AV1211"/>
      <c r="AW1211"/>
      <c r="AX1211"/>
      <c r="AY1211"/>
      <c r="AZ1211"/>
      <c r="BA1211"/>
      <c r="BB1211"/>
      <c r="BC1211" s="578"/>
      <c r="BD1211" s="578"/>
      <c r="BE1211"/>
      <c r="BF1211"/>
      <c r="BG1211"/>
      <c r="BH1211"/>
      <c r="BI1211"/>
      <c r="BJ1211"/>
      <c r="BK1211"/>
    </row>
    <row r="1212" spans="40:63" ht="12.75">
      <c r="AN1212"/>
      <c r="AO1212" s="293"/>
      <c r="AP1212"/>
      <c r="AQ1212" s="145"/>
      <c r="AR1212"/>
      <c r="AS1212"/>
      <c r="AT1212"/>
      <c r="AU1212"/>
      <c r="AV1212"/>
      <c r="AW1212"/>
      <c r="AX1212"/>
      <c r="AY1212"/>
      <c r="AZ1212"/>
      <c r="BA1212"/>
      <c r="BB1212"/>
      <c r="BC1212" s="578"/>
      <c r="BD1212" s="578"/>
      <c r="BE1212"/>
      <c r="BF1212"/>
      <c r="BG1212"/>
      <c r="BH1212"/>
      <c r="BI1212"/>
      <c r="BJ1212"/>
      <c r="BK1212"/>
    </row>
    <row r="1213" spans="40:63" ht="12.75">
      <c r="AN1213"/>
      <c r="AO1213" s="293"/>
      <c r="AP1213"/>
      <c r="AQ1213" s="145"/>
      <c r="AR1213"/>
      <c r="AS1213"/>
      <c r="AT1213"/>
      <c r="AU1213"/>
      <c r="AV1213"/>
      <c r="AW1213"/>
      <c r="AX1213"/>
      <c r="AY1213"/>
      <c r="AZ1213"/>
      <c r="BA1213"/>
      <c r="BB1213"/>
      <c r="BC1213" s="578"/>
      <c r="BD1213" s="578"/>
      <c r="BE1213"/>
      <c r="BF1213"/>
      <c r="BG1213"/>
      <c r="BH1213"/>
      <c r="BI1213"/>
      <c r="BJ1213"/>
      <c r="BK1213"/>
    </row>
    <row r="1214" spans="40:63" ht="12.75">
      <c r="AN1214"/>
      <c r="AO1214" s="293"/>
      <c r="AP1214"/>
      <c r="AQ1214" s="145"/>
      <c r="AR1214"/>
      <c r="AS1214"/>
      <c r="AT1214"/>
      <c r="AU1214"/>
      <c r="AV1214"/>
      <c r="AW1214"/>
      <c r="AX1214"/>
      <c r="AY1214"/>
      <c r="AZ1214"/>
      <c r="BA1214"/>
      <c r="BB1214"/>
      <c r="BC1214" s="578"/>
      <c r="BD1214" s="578"/>
      <c r="BE1214"/>
      <c r="BF1214"/>
      <c r="BG1214"/>
      <c r="BH1214"/>
      <c r="BI1214"/>
      <c r="BJ1214"/>
      <c r="BK1214"/>
    </row>
    <row r="1215" spans="40:63" ht="12.75">
      <c r="AN1215"/>
      <c r="AO1215" s="293"/>
      <c r="AP1215"/>
      <c r="AQ1215" s="145"/>
      <c r="AR1215"/>
      <c r="AS1215"/>
      <c r="AT1215"/>
      <c r="AU1215"/>
      <c r="AV1215"/>
      <c r="AW1215"/>
      <c r="AX1215"/>
      <c r="AY1215"/>
      <c r="AZ1215"/>
      <c r="BA1215"/>
      <c r="BB1215"/>
      <c r="BC1215" s="578"/>
      <c r="BD1215" s="578"/>
      <c r="BE1215"/>
      <c r="BF1215"/>
      <c r="BG1215"/>
      <c r="BH1215"/>
      <c r="BI1215"/>
      <c r="BJ1215"/>
      <c r="BK1215"/>
    </row>
    <row r="1216" spans="40:63" ht="12.75">
      <c r="AN1216"/>
      <c r="AO1216" s="293"/>
      <c r="AP1216"/>
      <c r="AQ1216" s="145"/>
      <c r="AR1216"/>
      <c r="AS1216"/>
      <c r="AT1216"/>
      <c r="AU1216"/>
      <c r="AV1216"/>
      <c r="AW1216"/>
      <c r="AX1216"/>
      <c r="AY1216"/>
      <c r="AZ1216"/>
      <c r="BA1216"/>
      <c r="BB1216"/>
      <c r="BC1216" s="578"/>
      <c r="BD1216" s="578"/>
      <c r="BE1216"/>
      <c r="BF1216"/>
      <c r="BG1216"/>
      <c r="BH1216"/>
      <c r="BI1216"/>
      <c r="BJ1216"/>
      <c r="BK1216"/>
    </row>
    <row r="1217" spans="40:63" ht="12.75">
      <c r="AN1217"/>
      <c r="AO1217" s="293"/>
      <c r="AP1217"/>
      <c r="AQ1217" s="145"/>
      <c r="AR1217"/>
      <c r="AS1217"/>
      <c r="AT1217"/>
      <c r="AU1217"/>
      <c r="AV1217"/>
      <c r="AW1217"/>
      <c r="AX1217"/>
      <c r="AY1217"/>
      <c r="AZ1217"/>
      <c r="BA1217"/>
      <c r="BB1217"/>
      <c r="BC1217" s="578"/>
      <c r="BD1217" s="578"/>
      <c r="BE1217"/>
      <c r="BF1217"/>
      <c r="BG1217"/>
      <c r="BH1217"/>
      <c r="BI1217"/>
      <c r="BJ1217"/>
      <c r="BK1217"/>
    </row>
    <row r="1218" spans="40:63" ht="12.75">
      <c r="AN1218"/>
      <c r="AO1218" s="293"/>
      <c r="AP1218"/>
      <c r="AQ1218" s="145"/>
      <c r="AR1218"/>
      <c r="AS1218"/>
      <c r="AT1218"/>
      <c r="AU1218"/>
      <c r="AV1218"/>
      <c r="AW1218"/>
      <c r="AX1218"/>
      <c r="AY1218"/>
      <c r="AZ1218"/>
      <c r="BA1218"/>
      <c r="BB1218"/>
      <c r="BC1218" s="578"/>
      <c r="BD1218" s="578"/>
      <c r="BE1218"/>
      <c r="BF1218"/>
      <c r="BG1218"/>
      <c r="BH1218"/>
      <c r="BI1218"/>
      <c r="BJ1218"/>
      <c r="BK1218"/>
    </row>
    <row r="1219" spans="40:63" ht="12.75">
      <c r="AN1219"/>
      <c r="AO1219" s="293"/>
      <c r="AP1219"/>
      <c r="AQ1219" s="145"/>
      <c r="AR1219"/>
      <c r="AS1219"/>
      <c r="AT1219"/>
      <c r="AU1219"/>
      <c r="AV1219"/>
      <c r="AW1219"/>
      <c r="AX1219"/>
      <c r="AY1219"/>
      <c r="AZ1219"/>
      <c r="BA1219"/>
      <c r="BB1219"/>
      <c r="BC1219" s="578"/>
      <c r="BD1219" s="578"/>
      <c r="BE1219"/>
      <c r="BF1219"/>
      <c r="BG1219"/>
      <c r="BH1219"/>
      <c r="BI1219"/>
      <c r="BJ1219"/>
      <c r="BK1219"/>
    </row>
    <row r="1220" spans="40:63" ht="12.75">
      <c r="AN1220"/>
      <c r="AO1220" s="293"/>
      <c r="AP1220"/>
      <c r="AQ1220" s="145"/>
      <c r="AR1220"/>
      <c r="AS1220"/>
      <c r="AT1220"/>
      <c r="AU1220"/>
      <c r="AV1220"/>
      <c r="AW1220"/>
      <c r="AX1220"/>
      <c r="AY1220"/>
      <c r="AZ1220"/>
      <c r="BA1220"/>
      <c r="BB1220"/>
      <c r="BC1220" s="578"/>
      <c r="BD1220" s="578"/>
      <c r="BE1220"/>
      <c r="BF1220"/>
      <c r="BG1220"/>
      <c r="BH1220"/>
      <c r="BI1220"/>
      <c r="BJ1220"/>
      <c r="BK1220"/>
    </row>
    <row r="1221" spans="40:63" ht="12.75">
      <c r="AN1221"/>
      <c r="AO1221" s="293"/>
      <c r="AP1221"/>
      <c r="AQ1221" s="145"/>
      <c r="AR1221"/>
      <c r="AS1221"/>
      <c r="AT1221"/>
      <c r="AU1221"/>
      <c r="AV1221"/>
      <c r="AW1221"/>
      <c r="AX1221"/>
      <c r="AY1221"/>
      <c r="AZ1221"/>
      <c r="BA1221"/>
      <c r="BB1221"/>
      <c r="BC1221" s="578"/>
      <c r="BD1221" s="578"/>
      <c r="BE1221"/>
      <c r="BF1221"/>
      <c r="BG1221"/>
      <c r="BH1221"/>
      <c r="BI1221"/>
      <c r="BJ1221"/>
      <c r="BK1221"/>
    </row>
    <row r="1222" spans="40:63" ht="12.75">
      <c r="AN1222"/>
      <c r="AO1222" s="293"/>
      <c r="AP1222"/>
      <c r="AQ1222" s="145"/>
      <c r="AR1222"/>
      <c r="AS1222"/>
      <c r="AT1222"/>
      <c r="AU1222"/>
      <c r="AV1222"/>
      <c r="AW1222"/>
      <c r="AX1222"/>
      <c r="AY1222"/>
      <c r="AZ1222"/>
      <c r="BA1222"/>
      <c r="BB1222"/>
      <c r="BC1222" s="578"/>
      <c r="BD1222" s="578"/>
      <c r="BE1222"/>
      <c r="BF1222"/>
      <c r="BG1222"/>
      <c r="BH1222"/>
      <c r="BI1222"/>
      <c r="BJ1222"/>
      <c r="BK1222"/>
    </row>
    <row r="1223" spans="40:63" ht="12.75">
      <c r="AN1223"/>
      <c r="AO1223" s="293"/>
      <c r="AP1223"/>
      <c r="AQ1223" s="145"/>
      <c r="AR1223"/>
      <c r="AS1223"/>
      <c r="AT1223"/>
      <c r="AU1223"/>
      <c r="AV1223"/>
      <c r="AW1223"/>
      <c r="AX1223"/>
      <c r="AY1223"/>
      <c r="AZ1223"/>
      <c r="BA1223"/>
      <c r="BB1223"/>
      <c r="BC1223" s="578"/>
      <c r="BD1223" s="578"/>
      <c r="BE1223"/>
      <c r="BF1223"/>
      <c r="BG1223"/>
      <c r="BH1223"/>
      <c r="BI1223"/>
      <c r="BJ1223"/>
      <c r="BK1223"/>
    </row>
    <row r="1224" spans="40:63" ht="12.75">
      <c r="AN1224"/>
      <c r="AO1224" s="293"/>
      <c r="AP1224"/>
      <c r="AQ1224" s="145"/>
      <c r="AR1224"/>
      <c r="AS1224"/>
      <c r="AT1224"/>
      <c r="AU1224"/>
      <c r="AV1224"/>
      <c r="AW1224"/>
      <c r="AX1224"/>
      <c r="AY1224"/>
      <c r="AZ1224"/>
      <c r="BA1224"/>
      <c r="BB1224"/>
      <c r="BC1224" s="578"/>
      <c r="BD1224" s="578"/>
      <c r="BE1224"/>
      <c r="BF1224"/>
      <c r="BG1224"/>
      <c r="BH1224"/>
      <c r="BI1224"/>
      <c r="BJ1224"/>
      <c r="BK1224"/>
    </row>
    <row r="1225" spans="40:63" ht="12.75">
      <c r="AN1225"/>
      <c r="AO1225" s="293"/>
      <c r="AP1225"/>
      <c r="AQ1225" s="145"/>
      <c r="AR1225"/>
      <c r="AS1225"/>
      <c r="AT1225"/>
      <c r="AU1225"/>
      <c r="AV1225"/>
      <c r="AW1225"/>
      <c r="AX1225"/>
      <c r="AY1225"/>
      <c r="AZ1225"/>
      <c r="BA1225"/>
      <c r="BB1225"/>
      <c r="BC1225" s="578"/>
      <c r="BD1225" s="578"/>
      <c r="BE1225"/>
      <c r="BF1225"/>
      <c r="BG1225"/>
      <c r="BH1225"/>
      <c r="BI1225"/>
      <c r="BJ1225"/>
      <c r="BK1225"/>
    </row>
    <row r="1226" spans="40:63" ht="12.75">
      <c r="AN1226"/>
      <c r="AO1226" s="293"/>
      <c r="AP1226"/>
      <c r="AQ1226" s="145"/>
      <c r="AR1226"/>
      <c r="AS1226"/>
      <c r="AT1226"/>
      <c r="AU1226"/>
      <c r="AV1226"/>
      <c r="AW1226"/>
      <c r="AX1226"/>
      <c r="AY1226"/>
      <c r="AZ1226"/>
      <c r="BA1226"/>
      <c r="BB1226"/>
      <c r="BC1226" s="578"/>
      <c r="BD1226" s="578"/>
      <c r="BE1226"/>
      <c r="BF1226"/>
      <c r="BG1226"/>
      <c r="BH1226"/>
      <c r="BI1226"/>
      <c r="BJ1226"/>
      <c r="BK1226"/>
    </row>
    <row r="1227" spans="40:63" ht="12.75">
      <c r="AN1227"/>
      <c r="AO1227" s="293"/>
      <c r="AP1227"/>
      <c r="AQ1227" s="145"/>
      <c r="AR1227"/>
      <c r="AS1227"/>
      <c r="AT1227"/>
      <c r="AU1227"/>
      <c r="AV1227"/>
      <c r="AW1227"/>
      <c r="AX1227"/>
      <c r="AY1227"/>
      <c r="AZ1227"/>
      <c r="BA1227"/>
      <c r="BB1227"/>
      <c r="BC1227" s="578"/>
      <c r="BD1227" s="578"/>
      <c r="BE1227"/>
      <c r="BF1227"/>
      <c r="BG1227"/>
      <c r="BH1227"/>
      <c r="BI1227"/>
      <c r="BJ1227"/>
      <c r="BK1227"/>
    </row>
    <row r="1228" spans="40:63" ht="12.75">
      <c r="AN1228"/>
      <c r="AO1228" s="293"/>
      <c r="AP1228"/>
      <c r="AQ1228" s="145"/>
      <c r="AR1228"/>
      <c r="AS1228"/>
      <c r="AT1228"/>
      <c r="AU1228"/>
      <c r="AV1228"/>
      <c r="AW1228"/>
      <c r="AX1228"/>
      <c r="AY1228"/>
      <c r="AZ1228"/>
      <c r="BA1228"/>
      <c r="BB1228"/>
      <c r="BC1228" s="578"/>
      <c r="BD1228" s="578"/>
      <c r="BE1228"/>
      <c r="BF1228"/>
      <c r="BG1228"/>
      <c r="BH1228"/>
      <c r="BI1228"/>
      <c r="BJ1228"/>
      <c r="BK1228"/>
    </row>
    <row r="1229" spans="40:63" ht="12.75">
      <c r="AN1229"/>
      <c r="AO1229" s="293"/>
      <c r="AP1229"/>
      <c r="AQ1229" s="145"/>
      <c r="AR1229"/>
      <c r="AS1229"/>
      <c r="AT1229"/>
      <c r="AU1229"/>
      <c r="AV1229"/>
      <c r="AW1229"/>
      <c r="AX1229"/>
      <c r="AY1229"/>
      <c r="AZ1229"/>
      <c r="BA1229"/>
      <c r="BB1229"/>
      <c r="BC1229" s="578"/>
      <c r="BD1229" s="578"/>
      <c r="BE1229"/>
      <c r="BF1229"/>
      <c r="BG1229"/>
      <c r="BH1229"/>
      <c r="BI1229"/>
      <c r="BJ1229"/>
      <c r="BK1229"/>
    </row>
    <row r="1230" spans="40:63" ht="12.75">
      <c r="AN1230"/>
      <c r="AO1230" s="293"/>
      <c r="AP1230"/>
      <c r="AQ1230" s="145"/>
      <c r="AR1230"/>
      <c r="AS1230"/>
      <c r="AT1230"/>
      <c r="AU1230"/>
      <c r="AV1230"/>
      <c r="AW1230"/>
      <c r="AX1230"/>
      <c r="AY1230"/>
      <c r="AZ1230"/>
      <c r="BA1230"/>
      <c r="BB1230"/>
      <c r="BC1230" s="578"/>
      <c r="BD1230" s="578"/>
      <c r="BE1230"/>
      <c r="BF1230"/>
      <c r="BG1230"/>
      <c r="BH1230"/>
      <c r="BI1230"/>
      <c r="BJ1230"/>
      <c r="BK1230"/>
    </row>
    <row r="1231" spans="40:63" ht="12.75">
      <c r="AN1231"/>
      <c r="AO1231" s="293"/>
      <c r="AP1231"/>
      <c r="AQ1231" s="145"/>
      <c r="AR1231"/>
      <c r="AS1231"/>
      <c r="AT1231"/>
      <c r="AU1231"/>
      <c r="AV1231"/>
      <c r="AW1231"/>
      <c r="AX1231"/>
      <c r="AY1231"/>
      <c r="AZ1231"/>
      <c r="BA1231"/>
      <c r="BB1231"/>
      <c r="BC1231" s="578"/>
      <c r="BD1231" s="578"/>
      <c r="BE1231"/>
      <c r="BF1231"/>
      <c r="BG1231"/>
      <c r="BH1231"/>
      <c r="BI1231"/>
      <c r="BJ1231"/>
      <c r="BK1231"/>
    </row>
    <row r="1232" spans="40:63" ht="12.75">
      <c r="AN1232"/>
      <c r="AO1232" s="293"/>
      <c r="AP1232"/>
      <c r="AQ1232" s="145"/>
      <c r="AR1232"/>
      <c r="AS1232"/>
      <c r="AT1232"/>
      <c r="AU1232"/>
      <c r="AV1232"/>
      <c r="AW1232"/>
      <c r="AX1232"/>
      <c r="AY1232"/>
      <c r="AZ1232"/>
      <c r="BA1232"/>
      <c r="BB1232"/>
      <c r="BC1232" s="578"/>
      <c r="BD1232" s="578"/>
      <c r="BE1232"/>
      <c r="BF1232"/>
      <c r="BG1232"/>
      <c r="BH1232"/>
      <c r="BI1232"/>
      <c r="BJ1232"/>
      <c r="BK1232"/>
    </row>
    <row r="1233" spans="40:63" ht="12.75">
      <c r="AN1233"/>
      <c r="AO1233" s="293"/>
      <c r="AP1233"/>
      <c r="AQ1233" s="145"/>
      <c r="AR1233"/>
      <c r="AS1233"/>
      <c r="AT1233"/>
      <c r="AU1233"/>
      <c r="AV1233"/>
      <c r="AW1233"/>
      <c r="AX1233"/>
      <c r="AY1233"/>
      <c r="AZ1233"/>
      <c r="BA1233"/>
      <c r="BB1233"/>
      <c r="BC1233" s="578"/>
      <c r="BD1233" s="578"/>
      <c r="BE1233"/>
      <c r="BF1233"/>
      <c r="BG1233"/>
      <c r="BH1233"/>
      <c r="BI1233"/>
      <c r="BJ1233"/>
      <c r="BK1233"/>
    </row>
    <row r="1234" spans="40:63" ht="12.75">
      <c r="AN1234"/>
      <c r="AO1234" s="293"/>
      <c r="AP1234"/>
      <c r="AQ1234" s="145"/>
      <c r="AR1234"/>
      <c r="AS1234"/>
      <c r="AT1234"/>
      <c r="AU1234"/>
      <c r="AV1234"/>
      <c r="AW1234"/>
      <c r="AX1234"/>
      <c r="AY1234"/>
      <c r="AZ1234"/>
      <c r="BA1234"/>
      <c r="BB1234"/>
      <c r="BC1234" s="578"/>
      <c r="BD1234" s="578"/>
      <c r="BE1234"/>
      <c r="BF1234"/>
      <c r="BG1234"/>
      <c r="BH1234"/>
      <c r="BI1234"/>
      <c r="BJ1234"/>
      <c r="BK1234"/>
    </row>
    <row r="1235" spans="40:63" ht="12.75">
      <c r="AN1235"/>
      <c r="AO1235" s="293"/>
      <c r="AP1235"/>
      <c r="AQ1235" s="145"/>
      <c r="AR1235"/>
      <c r="AS1235"/>
      <c r="AT1235"/>
      <c r="AU1235"/>
      <c r="AV1235"/>
      <c r="AW1235"/>
      <c r="AX1235"/>
      <c r="AY1235"/>
      <c r="AZ1235"/>
      <c r="BA1235"/>
      <c r="BB1235"/>
      <c r="BC1235" s="578"/>
      <c r="BD1235" s="578"/>
      <c r="BE1235"/>
      <c r="BF1235"/>
      <c r="BG1235"/>
      <c r="BH1235"/>
      <c r="BI1235"/>
      <c r="BJ1235"/>
      <c r="BK1235"/>
    </row>
    <row r="1236" spans="40:63" ht="12.75">
      <c r="AN1236"/>
      <c r="AO1236" s="293"/>
      <c r="AP1236"/>
      <c r="AQ1236" s="145"/>
      <c r="AR1236"/>
      <c r="AS1236"/>
      <c r="AT1236"/>
      <c r="AU1236"/>
      <c r="AV1236"/>
      <c r="AW1236"/>
      <c r="AX1236"/>
      <c r="AY1236"/>
      <c r="AZ1236"/>
      <c r="BA1236"/>
      <c r="BB1236"/>
      <c r="BC1236" s="578"/>
      <c r="BD1236" s="578"/>
      <c r="BE1236"/>
      <c r="BF1236"/>
      <c r="BG1236"/>
      <c r="BH1236"/>
      <c r="BI1236"/>
      <c r="BJ1236"/>
      <c r="BK1236"/>
    </row>
    <row r="1237" spans="40:63" ht="12.75">
      <c r="AN1237"/>
      <c r="AO1237" s="293"/>
      <c r="AP1237"/>
      <c r="AQ1237" s="145"/>
      <c r="AR1237"/>
      <c r="AS1237"/>
      <c r="AT1237"/>
      <c r="AU1237"/>
      <c r="AV1237"/>
      <c r="AW1237"/>
      <c r="AX1237"/>
      <c r="AY1237"/>
      <c r="AZ1237"/>
      <c r="BA1237"/>
      <c r="BB1237"/>
      <c r="BC1237" s="578"/>
      <c r="BD1237" s="578"/>
      <c r="BE1237"/>
      <c r="BF1237"/>
      <c r="BG1237"/>
      <c r="BH1237"/>
      <c r="BI1237"/>
      <c r="BJ1237"/>
      <c r="BK1237"/>
    </row>
    <row r="1238" spans="40:63" ht="12.75">
      <c r="AN1238"/>
      <c r="AO1238" s="293"/>
      <c r="AP1238"/>
      <c r="AQ1238" s="145"/>
      <c r="AR1238"/>
      <c r="AS1238"/>
      <c r="AT1238"/>
      <c r="AU1238"/>
      <c r="AV1238"/>
      <c r="AW1238"/>
      <c r="AX1238"/>
      <c r="AY1238"/>
      <c r="AZ1238"/>
      <c r="BA1238"/>
      <c r="BB1238"/>
      <c r="BC1238" s="578"/>
      <c r="BD1238" s="578"/>
      <c r="BE1238"/>
      <c r="BF1238"/>
      <c r="BG1238"/>
      <c r="BH1238"/>
      <c r="BI1238"/>
      <c r="BJ1238"/>
      <c r="BK1238"/>
    </row>
    <row r="1239" spans="40:63" ht="12.75">
      <c r="AN1239"/>
      <c r="AO1239" s="293"/>
      <c r="AP1239"/>
      <c r="AQ1239" s="145"/>
      <c r="AR1239"/>
      <c r="AS1239"/>
      <c r="AT1239"/>
      <c r="AU1239"/>
      <c r="AV1239"/>
      <c r="AW1239"/>
      <c r="AX1239"/>
      <c r="AY1239"/>
      <c r="AZ1239"/>
      <c r="BA1239"/>
      <c r="BB1239"/>
      <c r="BC1239" s="578"/>
      <c r="BD1239" s="578"/>
      <c r="BE1239"/>
      <c r="BF1239"/>
      <c r="BG1239"/>
      <c r="BH1239"/>
      <c r="BI1239"/>
      <c r="BJ1239"/>
      <c r="BK1239"/>
    </row>
    <row r="1240" spans="40:63" ht="12.75">
      <c r="AN1240"/>
      <c r="AO1240" s="293"/>
      <c r="AP1240"/>
      <c r="AQ1240" s="145"/>
      <c r="AR1240"/>
      <c r="AS1240"/>
      <c r="AT1240"/>
      <c r="AU1240"/>
      <c r="AV1240"/>
      <c r="AW1240"/>
      <c r="AX1240"/>
      <c r="AY1240"/>
      <c r="AZ1240"/>
      <c r="BA1240"/>
      <c r="BB1240"/>
      <c r="BC1240" s="578"/>
      <c r="BD1240" s="578"/>
      <c r="BE1240"/>
      <c r="BF1240"/>
      <c r="BG1240"/>
      <c r="BH1240"/>
      <c r="BI1240"/>
      <c r="BJ1240"/>
      <c r="BK1240"/>
    </row>
    <row r="1241" spans="40:63" ht="12.75">
      <c r="AN1241"/>
      <c r="AO1241" s="293"/>
      <c r="AP1241"/>
      <c r="AQ1241" s="145"/>
      <c r="AR1241"/>
      <c r="AS1241"/>
      <c r="AT1241"/>
      <c r="AU1241"/>
      <c r="AV1241"/>
      <c r="AW1241"/>
      <c r="AX1241"/>
      <c r="AY1241"/>
      <c r="AZ1241"/>
      <c r="BA1241"/>
      <c r="BB1241"/>
      <c r="BC1241" s="578"/>
      <c r="BD1241" s="578"/>
      <c r="BE1241"/>
      <c r="BF1241"/>
      <c r="BG1241"/>
      <c r="BH1241"/>
      <c r="BI1241"/>
      <c r="BJ1241"/>
      <c r="BK1241"/>
    </row>
    <row r="1242" spans="40:63" ht="12.75">
      <c r="AN1242"/>
      <c r="AO1242" s="293"/>
      <c r="AP1242"/>
      <c r="AQ1242" s="145"/>
      <c r="AR1242"/>
      <c r="AS1242"/>
      <c r="AT1242"/>
      <c r="AU1242"/>
      <c r="AV1242"/>
      <c r="AW1242"/>
      <c r="AX1242"/>
      <c r="AY1242"/>
      <c r="AZ1242"/>
      <c r="BA1242"/>
      <c r="BB1242"/>
      <c r="BC1242" s="578"/>
      <c r="BD1242" s="578"/>
      <c r="BE1242"/>
      <c r="BF1242"/>
      <c r="BG1242"/>
      <c r="BH1242"/>
      <c r="BI1242"/>
      <c r="BJ1242"/>
      <c r="BK1242"/>
    </row>
    <row r="1243" spans="40:63" ht="12.75">
      <c r="AN1243"/>
      <c r="AO1243" s="293"/>
      <c r="AP1243"/>
      <c r="AQ1243" s="145"/>
      <c r="AR1243"/>
      <c r="AS1243"/>
      <c r="AT1243"/>
      <c r="AU1243"/>
      <c r="AV1243"/>
      <c r="AW1243"/>
      <c r="AX1243"/>
      <c r="AY1243"/>
      <c r="AZ1243"/>
      <c r="BA1243"/>
      <c r="BB1243"/>
      <c r="BC1243" s="578"/>
      <c r="BD1243" s="578"/>
      <c r="BE1243"/>
      <c r="BF1243"/>
      <c r="BG1243"/>
      <c r="BH1243"/>
      <c r="BI1243"/>
      <c r="BJ1243"/>
      <c r="BK1243"/>
    </row>
    <row r="1244" spans="40:63" ht="12.75">
      <c r="AN1244"/>
      <c r="AO1244" s="293"/>
      <c r="AP1244"/>
      <c r="AQ1244" s="145"/>
      <c r="AR1244"/>
      <c r="AS1244"/>
      <c r="AT1244"/>
      <c r="AU1244"/>
      <c r="AV1244"/>
      <c r="AW1244"/>
      <c r="AX1244"/>
      <c r="AY1244"/>
      <c r="AZ1244"/>
      <c r="BA1244"/>
      <c r="BB1244"/>
      <c r="BC1244" s="578"/>
      <c r="BD1244" s="578"/>
      <c r="BE1244"/>
      <c r="BF1244"/>
      <c r="BG1244"/>
      <c r="BH1244"/>
      <c r="BI1244"/>
      <c r="BJ1244"/>
      <c r="BK1244"/>
    </row>
    <row r="1245" spans="40:63" ht="12.75">
      <c r="AN1245"/>
      <c r="AO1245" s="293"/>
      <c r="AP1245"/>
      <c r="AQ1245" s="145"/>
      <c r="AR1245"/>
      <c r="AS1245"/>
      <c r="AT1245"/>
      <c r="AU1245"/>
      <c r="AV1245"/>
      <c r="AW1245"/>
      <c r="AX1245"/>
      <c r="AY1245"/>
      <c r="AZ1245"/>
      <c r="BA1245"/>
      <c r="BB1245"/>
      <c r="BC1245" s="578"/>
      <c r="BD1245" s="578"/>
      <c r="BE1245"/>
      <c r="BF1245"/>
      <c r="BG1245"/>
      <c r="BH1245"/>
      <c r="BI1245"/>
      <c r="BJ1245"/>
      <c r="BK1245"/>
    </row>
    <row r="1246" spans="40:63" ht="12.75">
      <c r="AN1246"/>
      <c r="AO1246" s="293"/>
      <c r="AP1246"/>
      <c r="AQ1246" s="145"/>
      <c r="AR1246"/>
      <c r="AS1246"/>
      <c r="AT1246"/>
      <c r="AU1246"/>
      <c r="AV1246"/>
      <c r="AW1246"/>
      <c r="AX1246"/>
      <c r="AY1246"/>
      <c r="AZ1246"/>
      <c r="BA1246"/>
      <c r="BB1246"/>
      <c r="BC1246" s="578"/>
      <c r="BD1246" s="578"/>
      <c r="BE1246"/>
      <c r="BF1246"/>
      <c r="BG1246"/>
      <c r="BH1246"/>
      <c r="BI1246"/>
      <c r="BJ1246"/>
      <c r="BK1246"/>
    </row>
    <row r="1247" spans="40:63" ht="12.75">
      <c r="AN1247"/>
      <c r="AO1247" s="293"/>
      <c r="AP1247"/>
      <c r="AQ1247" s="145"/>
      <c r="AR1247"/>
      <c r="AS1247"/>
      <c r="AT1247"/>
      <c r="AU1247"/>
      <c r="AV1247"/>
      <c r="AW1247"/>
      <c r="AX1247"/>
      <c r="AY1247"/>
      <c r="AZ1247"/>
      <c r="BA1247"/>
      <c r="BB1247"/>
      <c r="BC1247" s="578"/>
      <c r="BD1247" s="578"/>
      <c r="BE1247"/>
      <c r="BF1247"/>
      <c r="BG1247"/>
      <c r="BH1247"/>
      <c r="BI1247"/>
      <c r="BJ1247"/>
      <c r="BK1247"/>
    </row>
    <row r="1248" spans="40:63" ht="12.75">
      <c r="AN1248"/>
      <c r="AO1248" s="293"/>
      <c r="AP1248"/>
      <c r="AQ1248" s="145"/>
      <c r="AR1248"/>
      <c r="AS1248"/>
      <c r="AT1248"/>
      <c r="AU1248"/>
      <c r="AV1248"/>
      <c r="AW1248"/>
      <c r="AX1248"/>
      <c r="AY1248"/>
      <c r="AZ1248"/>
      <c r="BA1248"/>
      <c r="BB1248"/>
      <c r="BC1248" s="578"/>
      <c r="BD1248" s="578"/>
      <c r="BE1248"/>
      <c r="BF1248"/>
      <c r="BG1248"/>
      <c r="BH1248"/>
      <c r="BI1248"/>
      <c r="BJ1248"/>
      <c r="BK1248"/>
    </row>
    <row r="1249" spans="40:63" ht="12.75">
      <c r="AN1249"/>
      <c r="AO1249" s="293"/>
      <c r="AP1249"/>
      <c r="AQ1249" s="145"/>
      <c r="AR1249"/>
      <c r="AS1249"/>
      <c r="AT1249"/>
      <c r="AU1249"/>
      <c r="AV1249"/>
      <c r="AW1249"/>
      <c r="AX1249"/>
      <c r="AY1249"/>
      <c r="AZ1249"/>
      <c r="BA1249"/>
      <c r="BB1249"/>
      <c r="BC1249" s="578"/>
      <c r="BD1249" s="578"/>
      <c r="BE1249"/>
      <c r="BF1249"/>
      <c r="BG1249"/>
      <c r="BH1249"/>
      <c r="BI1249"/>
      <c r="BJ1249"/>
      <c r="BK1249"/>
    </row>
    <row r="1250" spans="40:63" ht="12.75">
      <c r="AN1250"/>
      <c r="AO1250" s="293"/>
      <c r="AP1250"/>
      <c r="AQ1250" s="145"/>
      <c r="AR1250"/>
      <c r="AS1250"/>
      <c r="AT1250"/>
      <c r="AU1250"/>
      <c r="AV1250"/>
      <c r="AW1250"/>
      <c r="AX1250"/>
      <c r="AY1250"/>
      <c r="AZ1250"/>
      <c r="BA1250"/>
      <c r="BB1250"/>
      <c r="BC1250" s="578"/>
      <c r="BD1250" s="578"/>
      <c r="BE1250"/>
      <c r="BF1250"/>
      <c r="BG1250"/>
      <c r="BH1250"/>
      <c r="BI1250"/>
      <c r="BJ1250"/>
      <c r="BK1250"/>
    </row>
    <row r="1251" spans="40:63" ht="12.75">
      <c r="AN1251"/>
      <c r="AO1251" s="293"/>
      <c r="AP1251"/>
      <c r="AQ1251" s="145"/>
      <c r="AR1251"/>
      <c r="AS1251"/>
      <c r="AT1251"/>
      <c r="AU1251"/>
      <c r="AV1251"/>
      <c r="AW1251"/>
      <c r="AX1251"/>
      <c r="AY1251"/>
      <c r="AZ1251"/>
      <c r="BA1251"/>
      <c r="BB1251"/>
      <c r="BC1251" s="578"/>
      <c r="BD1251" s="578"/>
      <c r="BE1251"/>
      <c r="BF1251"/>
      <c r="BG1251"/>
      <c r="BH1251"/>
      <c r="BI1251"/>
      <c r="BJ1251"/>
      <c r="BK1251"/>
    </row>
    <row r="1252" spans="40:63" ht="12.75">
      <c r="AN1252"/>
      <c r="AO1252" s="293"/>
      <c r="AP1252"/>
      <c r="AQ1252" s="145"/>
      <c r="AR1252"/>
      <c r="AS1252"/>
      <c r="AT1252"/>
      <c r="AU1252"/>
      <c r="AV1252"/>
      <c r="AW1252"/>
      <c r="AX1252"/>
      <c r="AY1252"/>
      <c r="AZ1252"/>
      <c r="BA1252"/>
      <c r="BB1252"/>
      <c r="BC1252" s="578"/>
      <c r="BD1252" s="578"/>
      <c r="BE1252"/>
      <c r="BF1252"/>
      <c r="BG1252"/>
      <c r="BH1252"/>
      <c r="BI1252"/>
      <c r="BJ1252"/>
      <c r="BK1252"/>
    </row>
    <row r="1253" spans="40:63" ht="12.75">
      <c r="AN1253"/>
      <c r="AO1253" s="293"/>
      <c r="AP1253"/>
      <c r="AQ1253" s="145"/>
      <c r="AR1253"/>
      <c r="AS1253"/>
      <c r="AT1253"/>
      <c r="AU1253"/>
      <c r="AV1253"/>
      <c r="AW1253"/>
      <c r="AX1253"/>
      <c r="AY1253"/>
      <c r="AZ1253"/>
      <c r="BA1253"/>
      <c r="BB1253"/>
      <c r="BC1253" s="578"/>
      <c r="BD1253" s="578"/>
      <c r="BE1253"/>
      <c r="BF1253"/>
      <c r="BG1253"/>
      <c r="BH1253"/>
      <c r="BI1253"/>
      <c r="BJ1253"/>
      <c r="BK1253"/>
    </row>
    <row r="1254" spans="40:63" ht="12.75">
      <c r="AN1254"/>
      <c r="AO1254" s="293"/>
      <c r="AP1254"/>
      <c r="AQ1254" s="145"/>
      <c r="AR1254"/>
      <c r="AS1254"/>
      <c r="AT1254"/>
      <c r="AU1254"/>
      <c r="AV1254"/>
      <c r="AW1254"/>
      <c r="AX1254"/>
      <c r="AY1254"/>
      <c r="AZ1254"/>
      <c r="BA1254"/>
      <c r="BB1254"/>
      <c r="BC1254" s="578"/>
      <c r="BD1254" s="578"/>
      <c r="BE1254"/>
      <c r="BF1254"/>
      <c r="BG1254"/>
      <c r="BH1254"/>
      <c r="BI1254"/>
      <c r="BJ1254"/>
      <c r="BK1254"/>
    </row>
    <row r="1255" spans="40:63" ht="12.75">
      <c r="AN1255"/>
      <c r="AO1255" s="293"/>
      <c r="AP1255"/>
      <c r="AQ1255" s="145"/>
      <c r="AR1255"/>
      <c r="AS1255"/>
      <c r="AT1255"/>
      <c r="AU1255"/>
      <c r="AV1255"/>
      <c r="AW1255"/>
      <c r="AX1255"/>
      <c r="AY1255"/>
      <c r="AZ1255"/>
      <c r="BA1255"/>
      <c r="BB1255"/>
      <c r="BC1255" s="578"/>
      <c r="BD1255" s="578"/>
      <c r="BE1255"/>
      <c r="BF1255"/>
      <c r="BG1255"/>
      <c r="BH1255"/>
      <c r="BI1255"/>
      <c r="BJ1255"/>
      <c r="BK1255"/>
    </row>
    <row r="1256" spans="40:63" ht="12.75">
      <c r="AN1256"/>
      <c r="AO1256" s="293"/>
      <c r="AP1256"/>
      <c r="AQ1256" s="145"/>
      <c r="AR1256"/>
      <c r="AS1256"/>
      <c r="AT1256"/>
      <c r="AU1256"/>
      <c r="AV1256"/>
      <c r="AW1256"/>
      <c r="AX1256"/>
      <c r="AY1256"/>
      <c r="AZ1256"/>
      <c r="BA1256"/>
      <c r="BB1256"/>
      <c r="BC1256" s="578"/>
      <c r="BD1256" s="578"/>
      <c r="BE1256"/>
      <c r="BF1256"/>
      <c r="BG1256"/>
      <c r="BH1256"/>
      <c r="BI1256"/>
      <c r="BJ1256"/>
      <c r="BK1256"/>
    </row>
    <row r="1257" spans="40:63" ht="12.75">
      <c r="AN1257"/>
      <c r="AO1257" s="293"/>
      <c r="AP1257"/>
      <c r="AQ1257" s="145"/>
      <c r="AR1257"/>
      <c r="AS1257"/>
      <c r="AT1257"/>
      <c r="AU1257"/>
      <c r="AV1257"/>
      <c r="AW1257"/>
      <c r="AX1257"/>
      <c r="AY1257"/>
      <c r="AZ1257"/>
      <c r="BA1257"/>
      <c r="BB1257"/>
      <c r="BC1257" s="578"/>
      <c r="BD1257" s="578"/>
      <c r="BE1257"/>
      <c r="BF1257"/>
      <c r="BG1257"/>
      <c r="BH1257"/>
      <c r="BI1257"/>
      <c r="BJ1257"/>
      <c r="BK1257"/>
    </row>
    <row r="1258" spans="40:63" ht="12.75">
      <c r="AN1258"/>
      <c r="AO1258" s="293"/>
      <c r="AP1258"/>
      <c r="AQ1258" s="145"/>
      <c r="AR1258"/>
      <c r="AS1258"/>
      <c r="AT1258"/>
      <c r="AU1258"/>
      <c r="AV1258"/>
      <c r="AW1258"/>
      <c r="AX1258"/>
      <c r="AY1258"/>
      <c r="AZ1258"/>
      <c r="BA1258"/>
      <c r="BB1258"/>
      <c r="BC1258" s="578"/>
      <c r="BD1258" s="578"/>
      <c r="BE1258"/>
      <c r="BF1258"/>
      <c r="BG1258"/>
      <c r="BH1258"/>
      <c r="BI1258"/>
      <c r="BJ1258"/>
      <c r="BK1258"/>
    </row>
    <row r="1259" spans="40:63" ht="12.75">
      <c r="AN1259"/>
      <c r="AO1259" s="293"/>
      <c r="AP1259"/>
      <c r="AQ1259" s="145"/>
      <c r="AR1259"/>
      <c r="AS1259"/>
      <c r="AT1259"/>
      <c r="AU1259"/>
      <c r="AV1259"/>
      <c r="AW1259"/>
      <c r="AX1259"/>
      <c r="AY1259"/>
      <c r="AZ1259"/>
      <c r="BA1259"/>
      <c r="BB1259"/>
      <c r="BC1259" s="578"/>
      <c r="BD1259" s="578"/>
      <c r="BE1259"/>
      <c r="BF1259"/>
      <c r="BG1259"/>
      <c r="BH1259"/>
      <c r="BI1259"/>
      <c r="BJ1259"/>
      <c r="BK1259"/>
    </row>
    <row r="1260" spans="40:63" ht="12.75">
      <c r="AN1260"/>
      <c r="AO1260" s="293"/>
      <c r="AP1260"/>
      <c r="AQ1260" s="145"/>
      <c r="AR1260"/>
      <c r="AS1260"/>
      <c r="AT1260"/>
      <c r="AU1260"/>
      <c r="AV1260"/>
      <c r="AW1260"/>
      <c r="AX1260"/>
      <c r="AY1260"/>
      <c r="AZ1260"/>
      <c r="BA1260"/>
      <c r="BB1260"/>
      <c r="BC1260" s="578"/>
      <c r="BD1260" s="578"/>
      <c r="BE1260"/>
      <c r="BF1260"/>
      <c r="BG1260"/>
      <c r="BH1260"/>
      <c r="BI1260"/>
      <c r="BJ1260"/>
      <c r="BK1260"/>
    </row>
    <row r="1261" spans="40:63" ht="12.75">
      <c r="AN1261"/>
      <c r="AO1261" s="293"/>
      <c r="AP1261"/>
      <c r="AQ1261" s="145"/>
      <c r="AR1261"/>
      <c r="AS1261"/>
      <c r="AT1261"/>
      <c r="AU1261"/>
      <c r="AV1261"/>
      <c r="AW1261"/>
      <c r="AX1261"/>
      <c r="AY1261"/>
      <c r="AZ1261"/>
      <c r="BA1261"/>
      <c r="BB1261"/>
      <c r="BC1261" s="578"/>
      <c r="BD1261" s="578"/>
      <c r="BE1261"/>
      <c r="BF1261"/>
      <c r="BG1261"/>
      <c r="BH1261"/>
      <c r="BI1261"/>
      <c r="BJ1261"/>
      <c r="BK1261"/>
    </row>
    <row r="1262" spans="40:63" ht="12.75">
      <c r="AN1262"/>
      <c r="AO1262" s="293"/>
      <c r="AP1262"/>
      <c r="AQ1262" s="145"/>
      <c r="AR1262"/>
      <c r="AS1262"/>
      <c r="AT1262"/>
      <c r="AU1262"/>
      <c r="AV1262"/>
      <c r="AW1262"/>
      <c r="AX1262"/>
      <c r="AY1262"/>
      <c r="AZ1262"/>
      <c r="BA1262"/>
      <c r="BB1262"/>
      <c r="BC1262" s="578"/>
      <c r="BD1262" s="578"/>
      <c r="BE1262"/>
      <c r="BF1262"/>
      <c r="BG1262"/>
      <c r="BH1262"/>
      <c r="BI1262"/>
      <c r="BJ1262"/>
      <c r="BK1262"/>
    </row>
    <row r="1263" spans="40:63" ht="12.75">
      <c r="AN1263"/>
      <c r="AO1263" s="293"/>
      <c r="AP1263"/>
      <c r="AQ1263" s="145"/>
      <c r="AR1263"/>
      <c r="AS1263"/>
      <c r="AT1263"/>
      <c r="AU1263"/>
      <c r="AV1263"/>
      <c r="AW1263"/>
      <c r="AX1263"/>
      <c r="AY1263"/>
      <c r="AZ1263"/>
      <c r="BA1263"/>
      <c r="BB1263"/>
      <c r="BC1263" s="578"/>
      <c r="BD1263" s="578"/>
      <c r="BE1263"/>
      <c r="BF1263"/>
      <c r="BG1263"/>
      <c r="BH1263"/>
      <c r="BI1263"/>
      <c r="BJ1263"/>
      <c r="BK1263"/>
    </row>
    <row r="1264" spans="40:63" ht="12.75">
      <c r="AN1264"/>
      <c r="AO1264" s="293"/>
      <c r="AP1264"/>
      <c r="AQ1264" s="145"/>
      <c r="AR1264"/>
      <c r="AS1264"/>
      <c r="AT1264"/>
      <c r="AU1264"/>
      <c r="AV1264"/>
      <c r="AW1264"/>
      <c r="AX1264"/>
      <c r="AY1264"/>
      <c r="AZ1264"/>
      <c r="BA1264"/>
      <c r="BB1264"/>
      <c r="BC1264" s="578"/>
      <c r="BD1264" s="578"/>
      <c r="BE1264"/>
      <c r="BF1264"/>
      <c r="BG1264"/>
      <c r="BH1264"/>
      <c r="BI1264"/>
      <c r="BJ1264"/>
      <c r="BK1264"/>
    </row>
    <row r="1265" spans="40:63" ht="12.75">
      <c r="AN1265"/>
      <c r="AO1265" s="293"/>
      <c r="AP1265"/>
      <c r="AQ1265" s="145"/>
      <c r="AR1265"/>
      <c r="AS1265"/>
      <c r="AT1265"/>
      <c r="AU1265"/>
      <c r="AV1265"/>
      <c r="AW1265"/>
      <c r="AX1265"/>
      <c r="AY1265"/>
      <c r="AZ1265"/>
      <c r="BA1265"/>
      <c r="BB1265"/>
      <c r="BC1265" s="578"/>
      <c r="BD1265" s="578"/>
      <c r="BE1265"/>
      <c r="BF1265"/>
      <c r="BG1265"/>
      <c r="BH1265"/>
      <c r="BI1265"/>
      <c r="BJ1265"/>
      <c r="BK1265"/>
    </row>
    <row r="1266" spans="40:63" ht="12.75">
      <c r="AN1266"/>
      <c r="AO1266" s="293"/>
      <c r="AP1266"/>
      <c r="AQ1266" s="145"/>
      <c r="AR1266"/>
      <c r="AS1266"/>
      <c r="AT1266"/>
      <c r="AU1266"/>
      <c r="AV1266"/>
      <c r="AW1266"/>
      <c r="AX1266"/>
      <c r="AY1266"/>
      <c r="AZ1266"/>
      <c r="BA1266"/>
      <c r="BB1266"/>
      <c r="BC1266" s="578"/>
      <c r="BD1266" s="578"/>
      <c r="BE1266"/>
      <c r="BF1266"/>
      <c r="BG1266"/>
      <c r="BH1266"/>
      <c r="BI1266"/>
      <c r="BJ1266"/>
      <c r="BK1266"/>
    </row>
    <row r="1267" spans="40:63" ht="12.75">
      <c r="AN1267"/>
      <c r="AO1267" s="293"/>
      <c r="AP1267"/>
      <c r="AQ1267" s="145"/>
      <c r="AR1267"/>
      <c r="AS1267"/>
      <c r="AT1267"/>
      <c r="AU1267"/>
      <c r="AV1267"/>
      <c r="AW1267"/>
      <c r="AX1267"/>
      <c r="AY1267"/>
      <c r="AZ1267"/>
      <c r="BA1267"/>
      <c r="BB1267"/>
      <c r="BC1267" s="578"/>
      <c r="BD1267" s="578"/>
      <c r="BE1267"/>
      <c r="BF1267"/>
      <c r="BG1267"/>
      <c r="BH1267"/>
      <c r="BI1267"/>
      <c r="BJ1267"/>
      <c r="BK1267"/>
    </row>
    <row r="1268" spans="40:63" ht="12.75">
      <c r="AN1268"/>
      <c r="AO1268" s="293"/>
      <c r="AP1268"/>
      <c r="AQ1268" s="145"/>
      <c r="AR1268"/>
      <c r="AS1268"/>
      <c r="AT1268"/>
      <c r="AU1268"/>
      <c r="AV1268"/>
      <c r="AW1268"/>
      <c r="AX1268"/>
      <c r="AY1268"/>
      <c r="AZ1268"/>
      <c r="BA1268"/>
      <c r="BB1268"/>
      <c r="BC1268" s="578"/>
      <c r="BD1268" s="578"/>
      <c r="BE1268"/>
      <c r="BF1268"/>
      <c r="BG1268"/>
      <c r="BH1268"/>
      <c r="BI1268"/>
      <c r="BJ1268"/>
      <c r="BK1268"/>
    </row>
    <row r="1269" spans="40:63" ht="12.75">
      <c r="AN1269"/>
      <c r="AO1269" s="293"/>
      <c r="AP1269"/>
      <c r="AQ1269" s="145"/>
      <c r="AR1269"/>
      <c r="AS1269"/>
      <c r="AT1269"/>
      <c r="AU1269"/>
      <c r="AV1269"/>
      <c r="AW1269"/>
      <c r="AX1269"/>
      <c r="AY1269"/>
      <c r="AZ1269"/>
      <c r="BA1269"/>
      <c r="BB1269"/>
      <c r="BC1269" s="578"/>
      <c r="BD1269" s="578"/>
      <c r="BE1269"/>
      <c r="BF1269"/>
      <c r="BG1269"/>
      <c r="BH1269"/>
      <c r="BI1269"/>
      <c r="BJ1269"/>
      <c r="BK1269"/>
    </row>
    <row r="1270" spans="40:63" ht="12.75">
      <c r="AN1270"/>
      <c r="AO1270" s="293"/>
      <c r="AP1270"/>
      <c r="AQ1270" s="145"/>
      <c r="AR1270"/>
      <c r="AS1270"/>
      <c r="AT1270"/>
      <c r="AU1270"/>
      <c r="AV1270"/>
      <c r="AW1270"/>
      <c r="AX1270"/>
      <c r="AY1270"/>
      <c r="AZ1270"/>
      <c r="BA1270"/>
      <c r="BB1270"/>
      <c r="BC1270" s="578"/>
      <c r="BD1270" s="578"/>
      <c r="BE1270"/>
      <c r="BF1270"/>
      <c r="BG1270"/>
      <c r="BH1270"/>
      <c r="BI1270"/>
      <c r="BJ1270"/>
      <c r="BK1270"/>
    </row>
    <row r="1271" spans="40:63" ht="12.75">
      <c r="AN1271"/>
      <c r="AO1271" s="293"/>
      <c r="AP1271"/>
      <c r="AQ1271" s="145"/>
      <c r="AR1271"/>
      <c r="AS1271"/>
      <c r="AT1271"/>
      <c r="AU1271"/>
      <c r="AV1271"/>
      <c r="AW1271"/>
      <c r="AX1271"/>
      <c r="AY1271"/>
      <c r="AZ1271"/>
      <c r="BA1271"/>
      <c r="BB1271"/>
      <c r="BC1271" s="578"/>
      <c r="BD1271" s="578"/>
      <c r="BE1271"/>
      <c r="BF1271"/>
      <c r="BG1271"/>
      <c r="BH1271"/>
      <c r="BI1271"/>
      <c r="BJ1271"/>
      <c r="BK1271"/>
    </row>
    <row r="1272" spans="40:63" ht="12.75">
      <c r="AN1272"/>
      <c r="AO1272" s="293"/>
      <c r="AP1272"/>
      <c r="AQ1272" s="145"/>
      <c r="AR1272"/>
      <c r="AS1272"/>
      <c r="AT1272"/>
      <c r="AU1272"/>
      <c r="AV1272"/>
      <c r="AW1272"/>
      <c r="AX1272"/>
      <c r="AY1272"/>
      <c r="AZ1272"/>
      <c r="BA1272"/>
      <c r="BB1272"/>
      <c r="BC1272" s="578"/>
      <c r="BD1272" s="578"/>
      <c r="BE1272"/>
      <c r="BF1272"/>
      <c r="BG1272"/>
      <c r="BH1272"/>
      <c r="BI1272"/>
      <c r="BJ1272"/>
      <c r="BK1272"/>
    </row>
    <row r="1273" spans="40:63" ht="12.75">
      <c r="AN1273"/>
      <c r="AO1273" s="293"/>
      <c r="AP1273"/>
      <c r="AQ1273" s="145"/>
      <c r="AR1273"/>
      <c r="AS1273"/>
      <c r="AT1273"/>
      <c r="AU1273"/>
      <c r="AV1273"/>
      <c r="AW1273"/>
      <c r="AX1273"/>
      <c r="AY1273"/>
      <c r="AZ1273"/>
      <c r="BA1273"/>
      <c r="BB1273"/>
      <c r="BC1273" s="578"/>
      <c r="BD1273" s="578"/>
      <c r="BE1273"/>
      <c r="BF1273"/>
      <c r="BG1273"/>
      <c r="BH1273"/>
      <c r="BI1273"/>
      <c r="BJ1273"/>
      <c r="BK1273"/>
    </row>
    <row r="1274" spans="40:63" ht="12.75">
      <c r="AN1274"/>
      <c r="AO1274" s="293"/>
      <c r="AP1274"/>
      <c r="AQ1274" s="145"/>
      <c r="AR1274"/>
      <c r="AS1274"/>
      <c r="AT1274"/>
      <c r="AU1274"/>
      <c r="AV1274"/>
      <c r="AW1274"/>
      <c r="AX1274"/>
      <c r="AY1274"/>
      <c r="AZ1274"/>
      <c r="BA1274"/>
      <c r="BB1274"/>
      <c r="BC1274" s="578"/>
      <c r="BD1274" s="578"/>
      <c r="BE1274"/>
      <c r="BF1274"/>
      <c r="BG1274"/>
      <c r="BH1274"/>
      <c r="BI1274"/>
      <c r="BJ1274"/>
      <c r="BK1274"/>
    </row>
    <row r="1275" spans="40:63" ht="12.75">
      <c r="AN1275"/>
      <c r="AO1275" s="293"/>
      <c r="AP1275"/>
      <c r="AQ1275" s="145"/>
      <c r="AR1275"/>
      <c r="AS1275"/>
      <c r="AT1275"/>
      <c r="AU1275"/>
      <c r="AV1275"/>
      <c r="AW1275"/>
      <c r="AX1275"/>
      <c r="AY1275"/>
      <c r="AZ1275"/>
      <c r="BA1275"/>
      <c r="BB1275"/>
      <c r="BC1275" s="578"/>
      <c r="BD1275" s="578"/>
      <c r="BE1275"/>
      <c r="BF1275"/>
      <c r="BG1275"/>
      <c r="BH1275"/>
      <c r="BI1275"/>
      <c r="BJ1275"/>
      <c r="BK1275"/>
    </row>
    <row r="1276" spans="40:63" ht="12.75">
      <c r="AN1276"/>
      <c r="AO1276" s="293"/>
      <c r="AP1276"/>
      <c r="AQ1276" s="145"/>
      <c r="AR1276"/>
      <c r="AS1276"/>
      <c r="AT1276"/>
      <c r="AU1276"/>
      <c r="AV1276"/>
      <c r="AW1276"/>
      <c r="AX1276"/>
      <c r="AY1276"/>
      <c r="AZ1276"/>
      <c r="BA1276"/>
      <c r="BB1276"/>
      <c r="BC1276" s="578"/>
      <c r="BD1276" s="578"/>
      <c r="BE1276"/>
      <c r="BF1276"/>
      <c r="BG1276"/>
      <c r="BH1276"/>
      <c r="BI1276"/>
      <c r="BJ1276"/>
      <c r="BK1276"/>
    </row>
    <row r="1277" spans="40:63" ht="12.75">
      <c r="AN1277"/>
      <c r="AO1277" s="293"/>
      <c r="AP1277"/>
      <c r="AQ1277" s="145"/>
      <c r="AR1277"/>
      <c r="AS1277"/>
      <c r="AT1277"/>
      <c r="AU1277"/>
      <c r="AV1277"/>
      <c r="AW1277"/>
      <c r="AX1277"/>
      <c r="AY1277"/>
      <c r="AZ1277"/>
      <c r="BA1277"/>
      <c r="BB1277"/>
      <c r="BC1277" s="578"/>
      <c r="BD1277" s="578"/>
      <c r="BE1277"/>
      <c r="BF1277"/>
      <c r="BG1277"/>
      <c r="BH1277"/>
      <c r="BI1277"/>
      <c r="BJ1277"/>
      <c r="BK1277"/>
    </row>
    <row r="1278" spans="40:63" ht="12.75">
      <c r="AN1278"/>
      <c r="AO1278" s="293"/>
      <c r="AP1278"/>
      <c r="AQ1278" s="145"/>
      <c r="AR1278"/>
      <c r="AS1278"/>
      <c r="AT1278"/>
      <c r="AU1278"/>
      <c r="AV1278"/>
      <c r="AW1278"/>
      <c r="AX1278"/>
      <c r="AY1278"/>
      <c r="AZ1278"/>
      <c r="BA1278"/>
      <c r="BB1278"/>
      <c r="BC1278" s="578"/>
      <c r="BD1278" s="578"/>
      <c r="BE1278"/>
      <c r="BF1278"/>
      <c r="BG1278"/>
      <c r="BH1278"/>
      <c r="BI1278"/>
      <c r="BJ1278"/>
      <c r="BK1278"/>
    </row>
    <row r="1279" spans="40:63" ht="12.75">
      <c r="AN1279"/>
      <c r="AO1279" s="293"/>
      <c r="AP1279"/>
      <c r="AQ1279" s="145"/>
      <c r="AR1279"/>
      <c r="AS1279"/>
      <c r="AT1279"/>
      <c r="AU1279"/>
      <c r="AV1279"/>
      <c r="AW1279"/>
      <c r="AX1279"/>
      <c r="AY1279"/>
      <c r="AZ1279"/>
      <c r="BA1279"/>
      <c r="BB1279"/>
      <c r="BC1279" s="578"/>
      <c r="BD1279" s="578"/>
      <c r="BE1279"/>
      <c r="BF1279"/>
      <c r="BG1279"/>
      <c r="BH1279"/>
      <c r="BI1279"/>
      <c r="BJ1279"/>
      <c r="BK1279"/>
    </row>
    <row r="1280" spans="40:63" ht="12.75">
      <c r="AN1280"/>
      <c r="AO1280" s="293"/>
      <c r="AP1280"/>
      <c r="AQ1280" s="145"/>
      <c r="AR1280"/>
      <c r="AS1280"/>
      <c r="AT1280"/>
      <c r="AU1280"/>
      <c r="AV1280"/>
      <c r="AW1280"/>
      <c r="AX1280"/>
      <c r="AY1280"/>
      <c r="AZ1280"/>
      <c r="BA1280"/>
      <c r="BB1280"/>
      <c r="BC1280" s="578"/>
      <c r="BD1280" s="578"/>
      <c r="BE1280"/>
      <c r="BF1280"/>
      <c r="BG1280"/>
      <c r="BH1280"/>
      <c r="BI1280"/>
      <c r="BJ1280"/>
      <c r="BK1280"/>
    </row>
    <row r="1281" spans="40:63" ht="12.75">
      <c r="AN1281"/>
      <c r="AO1281" s="293"/>
      <c r="AP1281"/>
      <c r="AQ1281" s="145"/>
      <c r="AR1281"/>
      <c r="AS1281"/>
      <c r="AT1281"/>
      <c r="AU1281"/>
      <c r="AV1281"/>
      <c r="AW1281"/>
      <c r="AX1281"/>
      <c r="AY1281"/>
      <c r="AZ1281"/>
      <c r="BA1281"/>
      <c r="BB1281"/>
      <c r="BC1281" s="578"/>
      <c r="BD1281" s="578"/>
      <c r="BE1281"/>
      <c r="BF1281"/>
      <c r="BG1281"/>
      <c r="BH1281"/>
      <c r="BI1281"/>
      <c r="BJ1281"/>
      <c r="BK1281"/>
    </row>
    <row r="1282" spans="40:63" ht="12.75">
      <c r="AN1282"/>
      <c r="AO1282" s="293"/>
      <c r="AP1282"/>
      <c r="AQ1282" s="145"/>
      <c r="AR1282"/>
      <c r="AS1282"/>
      <c r="AT1282"/>
      <c r="AU1282"/>
      <c r="AV1282"/>
      <c r="AW1282"/>
      <c r="AX1282"/>
      <c r="AY1282"/>
      <c r="AZ1282"/>
      <c r="BA1282"/>
      <c r="BB1282"/>
      <c r="BC1282" s="578"/>
      <c r="BD1282" s="578"/>
      <c r="BE1282"/>
      <c r="BF1282"/>
      <c r="BG1282"/>
      <c r="BH1282"/>
      <c r="BI1282"/>
      <c r="BJ1282"/>
      <c r="BK1282"/>
    </row>
    <row r="1283" spans="40:63" ht="12.75">
      <c r="AN1283"/>
      <c r="AO1283" s="293"/>
      <c r="AP1283"/>
      <c r="AQ1283" s="145"/>
      <c r="AR1283"/>
      <c r="AS1283"/>
      <c r="AT1283"/>
      <c r="AU1283"/>
      <c r="AV1283"/>
      <c r="AW1283"/>
      <c r="AX1283"/>
      <c r="AY1283"/>
      <c r="AZ1283"/>
      <c r="BA1283"/>
      <c r="BB1283"/>
      <c r="BC1283" s="578"/>
      <c r="BD1283" s="578"/>
      <c r="BE1283"/>
      <c r="BF1283"/>
      <c r="BG1283"/>
      <c r="BH1283"/>
      <c r="BI1283"/>
      <c r="BJ1283"/>
      <c r="BK1283"/>
    </row>
    <row r="1284" spans="40:63" ht="12.75">
      <c r="AN1284"/>
      <c r="AO1284" s="293"/>
      <c r="AP1284"/>
      <c r="AQ1284" s="145"/>
      <c r="AR1284"/>
      <c r="AS1284"/>
      <c r="AT1284"/>
      <c r="AU1284"/>
      <c r="AV1284"/>
      <c r="AW1284"/>
      <c r="AX1284"/>
      <c r="AY1284"/>
      <c r="AZ1284"/>
      <c r="BA1284"/>
      <c r="BB1284"/>
      <c r="BC1284" s="578"/>
      <c r="BD1284" s="578"/>
      <c r="BE1284"/>
      <c r="BF1284"/>
      <c r="BG1284"/>
      <c r="BH1284"/>
      <c r="BI1284"/>
      <c r="BJ1284"/>
      <c r="BK1284"/>
    </row>
    <row r="1285" spans="40:63" ht="12.75">
      <c r="AN1285"/>
      <c r="AO1285" s="293"/>
      <c r="AP1285"/>
      <c r="AQ1285" s="145"/>
      <c r="AR1285"/>
      <c r="AS1285"/>
      <c r="AT1285"/>
      <c r="AU1285"/>
      <c r="AV1285"/>
      <c r="AW1285"/>
      <c r="AX1285"/>
      <c r="AY1285"/>
      <c r="AZ1285"/>
      <c r="BA1285"/>
      <c r="BB1285"/>
      <c r="BC1285" s="578"/>
      <c r="BD1285" s="578"/>
      <c r="BE1285"/>
      <c r="BF1285"/>
      <c r="BG1285"/>
      <c r="BH1285"/>
      <c r="BI1285"/>
      <c r="BJ1285"/>
      <c r="BK1285"/>
    </row>
    <row r="1286" spans="40:63" ht="12.75">
      <c r="AN1286"/>
      <c r="AO1286" s="293"/>
      <c r="AP1286"/>
      <c r="AQ1286" s="145"/>
      <c r="AR1286"/>
      <c r="AS1286"/>
      <c r="AT1286"/>
      <c r="AU1286"/>
      <c r="AV1286"/>
      <c r="AW1286"/>
      <c r="AX1286"/>
      <c r="AY1286"/>
      <c r="AZ1286"/>
      <c r="BA1286"/>
      <c r="BB1286"/>
      <c r="BC1286" s="578"/>
      <c r="BD1286" s="578"/>
      <c r="BE1286"/>
      <c r="BF1286"/>
      <c r="BG1286"/>
      <c r="BH1286"/>
      <c r="BI1286"/>
      <c r="BJ1286"/>
      <c r="BK1286"/>
    </row>
    <row r="1287" spans="40:63" ht="12.75">
      <c r="AN1287"/>
      <c r="AO1287" s="293"/>
      <c r="AP1287"/>
      <c r="AQ1287" s="145"/>
      <c r="AR1287"/>
      <c r="AS1287"/>
      <c r="AT1287"/>
      <c r="AU1287"/>
      <c r="AV1287"/>
      <c r="AW1287"/>
      <c r="AX1287"/>
      <c r="AY1287"/>
      <c r="AZ1287"/>
      <c r="BA1287"/>
      <c r="BB1287"/>
      <c r="BC1287" s="578"/>
      <c r="BD1287" s="578"/>
      <c r="BE1287"/>
      <c r="BF1287"/>
      <c r="BG1287"/>
      <c r="BH1287"/>
      <c r="BI1287"/>
      <c r="BJ1287"/>
      <c r="BK1287"/>
    </row>
    <row r="1288" spans="40:63" ht="12.75">
      <c r="AN1288"/>
      <c r="AO1288" s="293"/>
      <c r="AP1288"/>
      <c r="AQ1288" s="145"/>
      <c r="AR1288"/>
      <c r="AS1288"/>
      <c r="AT1288"/>
      <c r="AU1288"/>
      <c r="AV1288"/>
      <c r="AW1288"/>
      <c r="AX1288"/>
      <c r="AY1288"/>
      <c r="AZ1288"/>
      <c r="BA1288"/>
      <c r="BB1288"/>
      <c r="BC1288" s="578"/>
      <c r="BD1288" s="578"/>
      <c r="BE1288"/>
      <c r="BF1288"/>
      <c r="BG1288"/>
      <c r="BH1288"/>
      <c r="BI1288"/>
      <c r="BJ1288"/>
      <c r="BK1288"/>
    </row>
    <row r="1289" spans="40:63" ht="12.75">
      <c r="AN1289"/>
      <c r="AO1289" s="293"/>
      <c r="AP1289"/>
      <c r="AQ1289" s="145"/>
      <c r="AR1289"/>
      <c r="AS1289"/>
      <c r="AT1289"/>
      <c r="AU1289"/>
      <c r="AV1289"/>
      <c r="AW1289"/>
      <c r="AX1289"/>
      <c r="AY1289"/>
      <c r="AZ1289"/>
      <c r="BA1289"/>
      <c r="BB1289"/>
      <c r="BC1289" s="578"/>
      <c r="BD1289" s="578"/>
      <c r="BE1289"/>
      <c r="BF1289"/>
      <c r="BG1289"/>
      <c r="BH1289"/>
      <c r="BI1289"/>
      <c r="BJ1289"/>
      <c r="BK1289"/>
    </row>
    <row r="1290" spans="40:63" ht="12.75">
      <c r="AN1290"/>
      <c r="AO1290" s="293"/>
      <c r="AP1290"/>
      <c r="AQ1290" s="145"/>
      <c r="AR1290"/>
      <c r="AS1290"/>
      <c r="AT1290"/>
      <c r="AU1290"/>
      <c r="AV1290"/>
      <c r="AW1290"/>
      <c r="AX1290"/>
      <c r="AY1290"/>
      <c r="AZ1290"/>
      <c r="BA1290"/>
      <c r="BB1290"/>
      <c r="BC1290" s="578"/>
      <c r="BD1290" s="578"/>
      <c r="BE1290"/>
      <c r="BF1290"/>
      <c r="BG1290"/>
      <c r="BH1290"/>
      <c r="BI1290"/>
      <c r="BJ1290"/>
      <c r="BK1290"/>
    </row>
    <row r="1291" spans="40:63" ht="12.75">
      <c r="AN1291"/>
      <c r="AO1291" s="293"/>
      <c r="AP1291"/>
      <c r="AQ1291" s="145"/>
      <c r="AR1291"/>
      <c r="AS1291"/>
      <c r="AT1291"/>
      <c r="AU1291"/>
      <c r="AV1291"/>
      <c r="AW1291"/>
      <c r="AX1291"/>
      <c r="AY1291"/>
      <c r="AZ1291"/>
      <c r="BA1291"/>
      <c r="BB1291"/>
      <c r="BC1291" s="578"/>
      <c r="BD1291" s="578"/>
      <c r="BE1291"/>
      <c r="BF1291"/>
      <c r="BG1291"/>
      <c r="BH1291"/>
      <c r="BI1291"/>
      <c r="BJ1291"/>
      <c r="BK1291"/>
    </row>
    <row r="1292" spans="40:63" ht="12.75">
      <c r="AN1292"/>
      <c r="AO1292" s="293"/>
      <c r="AP1292"/>
      <c r="AQ1292" s="145"/>
      <c r="AR1292"/>
      <c r="AS1292"/>
      <c r="AT1292"/>
      <c r="AU1292"/>
      <c r="AV1292"/>
      <c r="AW1292"/>
      <c r="AX1292"/>
      <c r="AY1292"/>
      <c r="AZ1292"/>
      <c r="BA1292"/>
      <c r="BB1292"/>
      <c r="BC1292" s="578"/>
      <c r="BD1292" s="578"/>
      <c r="BE1292"/>
      <c r="BF1292"/>
      <c r="BG1292"/>
      <c r="BH1292"/>
      <c r="BI1292"/>
      <c r="BJ1292"/>
      <c r="BK1292"/>
    </row>
    <row r="1293" spans="40:63" ht="12.75">
      <c r="AN1293"/>
      <c r="AO1293" s="293"/>
      <c r="AP1293"/>
      <c r="AQ1293" s="145"/>
      <c r="AR1293"/>
      <c r="AS1293"/>
      <c r="AT1293"/>
      <c r="AU1293"/>
      <c r="AV1293"/>
      <c r="AW1293"/>
      <c r="AX1293"/>
      <c r="AY1293"/>
      <c r="AZ1293"/>
      <c r="BA1293"/>
      <c r="BB1293"/>
      <c r="BC1293" s="578"/>
      <c r="BD1293" s="578"/>
      <c r="BE1293"/>
      <c r="BF1293"/>
      <c r="BG1293"/>
      <c r="BH1293"/>
      <c r="BI1293"/>
      <c r="BJ1293"/>
      <c r="BK1293"/>
    </row>
    <row r="1294" spans="40:63" ht="12.75">
      <c r="AN1294"/>
      <c r="AO1294" s="293"/>
      <c r="AP1294"/>
      <c r="AQ1294" s="145"/>
      <c r="AR1294"/>
      <c r="AS1294"/>
      <c r="AT1294"/>
      <c r="AU1294"/>
      <c r="AV1294"/>
      <c r="AW1294"/>
      <c r="AX1294"/>
      <c r="AY1294"/>
      <c r="AZ1294"/>
      <c r="BA1294"/>
      <c r="BB1294"/>
      <c r="BC1294" s="578"/>
      <c r="BD1294" s="578"/>
      <c r="BE1294"/>
      <c r="BF1294"/>
      <c r="BG1294"/>
      <c r="BH1294"/>
      <c r="BI1294"/>
      <c r="BJ1294"/>
      <c r="BK1294"/>
    </row>
    <row r="1295" spans="40:63" ht="12.75">
      <c r="AN1295"/>
      <c r="AO1295" s="293"/>
      <c r="AP1295"/>
      <c r="AQ1295" s="145"/>
      <c r="AR1295"/>
      <c r="AS1295"/>
      <c r="AT1295"/>
      <c r="AU1295"/>
      <c r="AV1295"/>
      <c r="AW1295"/>
      <c r="AX1295"/>
      <c r="AY1295"/>
      <c r="AZ1295"/>
      <c r="BA1295"/>
      <c r="BB1295"/>
      <c r="BC1295" s="578"/>
      <c r="BD1295" s="578"/>
      <c r="BE1295"/>
      <c r="BF1295"/>
      <c r="BG1295"/>
      <c r="BH1295"/>
      <c r="BI1295"/>
      <c r="BJ1295"/>
      <c r="BK1295"/>
    </row>
    <row r="1296" spans="40:63" ht="12.75">
      <c r="AN1296"/>
      <c r="AO1296" s="293"/>
      <c r="AP1296"/>
      <c r="AQ1296" s="145"/>
      <c r="AR1296"/>
      <c r="AS1296"/>
      <c r="AT1296"/>
      <c r="AU1296"/>
      <c r="AV1296"/>
      <c r="AW1296"/>
      <c r="AX1296"/>
      <c r="AY1296"/>
      <c r="AZ1296"/>
      <c r="BA1296"/>
      <c r="BB1296"/>
      <c r="BC1296" s="578"/>
      <c r="BD1296" s="578"/>
      <c r="BE1296"/>
      <c r="BF1296"/>
      <c r="BG1296"/>
      <c r="BH1296"/>
      <c r="BI1296"/>
      <c r="BJ1296"/>
      <c r="BK1296"/>
    </row>
    <row r="1297" spans="40:63" ht="12.75">
      <c r="AN1297"/>
      <c r="AO1297" s="293"/>
      <c r="AP1297"/>
      <c r="AQ1297" s="145"/>
      <c r="AR1297"/>
      <c r="AS1297"/>
      <c r="AT1297"/>
      <c r="AU1297"/>
      <c r="AV1297"/>
      <c r="AW1297"/>
      <c r="AX1297"/>
      <c r="AY1297"/>
      <c r="AZ1297"/>
      <c r="BA1297"/>
      <c r="BB1297"/>
      <c r="BC1297" s="578"/>
      <c r="BD1297" s="578"/>
      <c r="BE1297"/>
      <c r="BF1297"/>
      <c r="BG1297"/>
      <c r="BH1297"/>
      <c r="BI1297"/>
      <c r="BJ1297"/>
      <c r="BK1297"/>
    </row>
    <row r="1298" spans="40:63" ht="12.75">
      <c r="AN1298"/>
      <c r="AO1298" s="293"/>
      <c r="AP1298"/>
      <c r="AQ1298" s="145"/>
      <c r="AR1298"/>
      <c r="AS1298"/>
      <c r="AT1298"/>
      <c r="AU1298"/>
      <c r="AV1298"/>
      <c r="AW1298"/>
      <c r="AX1298"/>
      <c r="AY1298"/>
      <c r="AZ1298"/>
      <c r="BA1298"/>
      <c r="BB1298"/>
      <c r="BC1298" s="578"/>
      <c r="BD1298" s="578"/>
      <c r="BE1298"/>
      <c r="BF1298"/>
      <c r="BG1298"/>
      <c r="BH1298"/>
      <c r="BI1298"/>
      <c r="BJ1298"/>
      <c r="BK1298"/>
    </row>
    <row r="1299" spans="40:63" ht="12.75">
      <c r="AN1299"/>
      <c r="AO1299" s="293"/>
      <c r="AP1299"/>
      <c r="AQ1299" s="145"/>
      <c r="AR1299"/>
      <c r="AS1299"/>
      <c r="AT1299"/>
      <c r="AU1299"/>
      <c r="AV1299"/>
      <c r="AW1299"/>
      <c r="AX1299"/>
      <c r="AY1299"/>
      <c r="AZ1299"/>
      <c r="BA1299"/>
      <c r="BB1299"/>
      <c r="BC1299" s="578"/>
      <c r="BD1299" s="578"/>
      <c r="BE1299"/>
      <c r="BF1299"/>
      <c r="BG1299"/>
      <c r="BH1299"/>
      <c r="BI1299"/>
      <c r="BJ1299"/>
      <c r="BK1299"/>
    </row>
    <row r="1300" spans="40:63" ht="12.75">
      <c r="AN1300"/>
      <c r="AO1300" s="293"/>
      <c r="AP1300"/>
      <c r="AQ1300" s="145"/>
      <c r="AR1300"/>
      <c r="AS1300"/>
      <c r="AT1300"/>
      <c r="AU1300"/>
      <c r="AV1300"/>
      <c r="AW1300"/>
      <c r="AX1300"/>
      <c r="AY1300"/>
      <c r="AZ1300"/>
      <c r="BA1300"/>
      <c r="BB1300"/>
      <c r="BC1300" s="578"/>
      <c r="BD1300" s="578"/>
      <c r="BE1300"/>
      <c r="BF1300"/>
      <c r="BG1300"/>
      <c r="BH1300"/>
      <c r="BI1300"/>
      <c r="BJ1300"/>
      <c r="BK1300"/>
    </row>
    <row r="1301" spans="40:63" ht="12.75">
      <c r="AN1301"/>
      <c r="AO1301" s="293"/>
      <c r="AP1301"/>
      <c r="AQ1301" s="145"/>
      <c r="AR1301"/>
      <c r="AS1301"/>
      <c r="AT1301"/>
      <c r="AU1301"/>
      <c r="AV1301"/>
      <c r="AW1301"/>
      <c r="AX1301"/>
      <c r="AY1301"/>
      <c r="AZ1301"/>
      <c r="BA1301"/>
      <c r="BB1301"/>
      <c r="BC1301" s="578"/>
      <c r="BD1301" s="578"/>
      <c r="BE1301"/>
      <c r="BF1301"/>
      <c r="BG1301"/>
      <c r="BH1301"/>
      <c r="BI1301"/>
      <c r="BJ1301"/>
      <c r="BK1301"/>
    </row>
    <row r="1302" spans="40:63" ht="12.75">
      <c r="AN1302"/>
      <c r="AO1302" s="293"/>
      <c r="AP1302"/>
      <c r="AQ1302" s="145"/>
      <c r="AR1302"/>
      <c r="AS1302"/>
      <c r="AT1302"/>
      <c r="AU1302"/>
      <c r="AV1302"/>
      <c r="AW1302"/>
      <c r="AX1302"/>
      <c r="AY1302"/>
      <c r="AZ1302"/>
      <c r="BA1302"/>
      <c r="BB1302"/>
      <c r="BC1302" s="578"/>
      <c r="BD1302" s="578"/>
      <c r="BE1302"/>
      <c r="BF1302"/>
      <c r="BG1302"/>
      <c r="BH1302"/>
      <c r="BI1302"/>
      <c r="BJ1302"/>
      <c r="BK1302"/>
    </row>
    <row r="1303" spans="40:63" ht="12.75">
      <c r="AN1303"/>
      <c r="AO1303" s="293"/>
      <c r="AP1303"/>
      <c r="AQ1303" s="145"/>
      <c r="AR1303"/>
      <c r="AS1303"/>
      <c r="AT1303"/>
      <c r="AU1303"/>
      <c r="AV1303"/>
      <c r="AW1303"/>
      <c r="AX1303"/>
      <c r="AY1303"/>
      <c r="AZ1303"/>
      <c r="BA1303"/>
      <c r="BB1303"/>
      <c r="BC1303" s="578"/>
      <c r="BD1303" s="578"/>
      <c r="BE1303"/>
      <c r="BF1303"/>
      <c r="BG1303"/>
      <c r="BH1303"/>
      <c r="BI1303"/>
      <c r="BJ1303"/>
      <c r="BK1303"/>
    </row>
    <row r="1304" spans="40:63" ht="12.75">
      <c r="AN1304"/>
      <c r="AO1304" s="293"/>
      <c r="AP1304"/>
      <c r="AQ1304" s="145"/>
      <c r="AR1304"/>
      <c r="AS1304"/>
      <c r="AT1304"/>
      <c r="AU1304"/>
      <c r="AV1304"/>
      <c r="AW1304"/>
      <c r="AX1304"/>
      <c r="AY1304"/>
      <c r="AZ1304"/>
      <c r="BA1304"/>
      <c r="BB1304"/>
      <c r="BC1304" s="578"/>
      <c r="BD1304" s="578"/>
      <c r="BE1304"/>
      <c r="BF1304"/>
      <c r="BG1304"/>
      <c r="BH1304"/>
      <c r="BI1304"/>
      <c r="BJ1304"/>
      <c r="BK1304"/>
    </row>
    <row r="1305" spans="40:63" ht="12.75">
      <c r="AN1305"/>
      <c r="AO1305" s="293"/>
      <c r="AP1305"/>
      <c r="AQ1305" s="145"/>
      <c r="AR1305"/>
      <c r="AS1305"/>
      <c r="AT1305"/>
      <c r="AU1305"/>
      <c r="AV1305"/>
      <c r="AW1305"/>
      <c r="AX1305"/>
      <c r="AY1305"/>
      <c r="AZ1305"/>
      <c r="BA1305"/>
      <c r="BB1305"/>
      <c r="BC1305" s="578"/>
      <c r="BD1305" s="578"/>
      <c r="BE1305"/>
      <c r="BF1305"/>
      <c r="BG1305"/>
      <c r="BH1305"/>
      <c r="BI1305"/>
      <c r="BJ1305"/>
      <c r="BK1305"/>
    </row>
    <row r="1306" spans="40:63" ht="12.75">
      <c r="AN1306"/>
      <c r="AO1306" s="293"/>
      <c r="AP1306"/>
      <c r="AQ1306" s="145"/>
      <c r="AR1306"/>
      <c r="AS1306"/>
      <c r="AT1306"/>
      <c r="AU1306"/>
      <c r="AV1306"/>
      <c r="AW1306"/>
      <c r="AX1306"/>
      <c r="AY1306"/>
      <c r="AZ1306"/>
      <c r="BA1306"/>
      <c r="BB1306"/>
      <c r="BC1306" s="578"/>
      <c r="BD1306" s="578"/>
      <c r="BE1306"/>
      <c r="BF1306"/>
      <c r="BG1306"/>
      <c r="BH1306"/>
      <c r="BI1306"/>
      <c r="BJ1306"/>
      <c r="BK1306"/>
    </row>
    <row r="1307" spans="40:63" ht="12.75">
      <c r="AN1307"/>
      <c r="AO1307" s="293"/>
      <c r="AP1307"/>
      <c r="AQ1307" s="145"/>
      <c r="AR1307"/>
      <c r="AS1307"/>
      <c r="AT1307"/>
      <c r="AU1307"/>
      <c r="AV1307"/>
      <c r="AW1307"/>
      <c r="AX1307"/>
      <c r="AY1307"/>
      <c r="AZ1307"/>
      <c r="BA1307"/>
      <c r="BB1307"/>
      <c r="BC1307" s="578"/>
      <c r="BD1307" s="578"/>
      <c r="BE1307"/>
      <c r="BF1307"/>
      <c r="BG1307"/>
      <c r="BH1307"/>
      <c r="BI1307"/>
      <c r="BJ1307"/>
      <c r="BK1307"/>
    </row>
    <row r="1308" spans="40:63" ht="12.75">
      <c r="AN1308"/>
      <c r="AO1308" s="293"/>
      <c r="AP1308"/>
      <c r="AQ1308" s="145"/>
      <c r="AR1308"/>
      <c r="AS1308"/>
      <c r="AT1308"/>
      <c r="AU1308"/>
      <c r="AV1308"/>
      <c r="AW1308"/>
      <c r="AX1308"/>
      <c r="AY1308"/>
      <c r="AZ1308"/>
      <c r="BA1308"/>
      <c r="BB1308"/>
      <c r="BC1308" s="578"/>
      <c r="BD1308" s="578"/>
      <c r="BE1308"/>
      <c r="BF1308"/>
      <c r="BG1308"/>
      <c r="BH1308"/>
      <c r="BI1308"/>
      <c r="BJ1308"/>
      <c r="BK1308"/>
    </row>
    <row r="1309" spans="40:63" ht="12.75">
      <c r="AN1309"/>
      <c r="AO1309" s="293"/>
      <c r="AP1309"/>
      <c r="AQ1309" s="145"/>
      <c r="AR1309"/>
      <c r="AS1309"/>
      <c r="AT1309"/>
      <c r="AU1309"/>
      <c r="AV1309"/>
      <c r="AW1309"/>
      <c r="AX1309"/>
      <c r="AY1309"/>
      <c r="AZ1309"/>
      <c r="BA1309"/>
      <c r="BB1309"/>
      <c r="BC1309" s="578"/>
      <c r="BD1309" s="578"/>
      <c r="BE1309"/>
      <c r="BF1309"/>
      <c r="BG1309"/>
      <c r="BH1309"/>
      <c r="BI1309"/>
      <c r="BJ1309"/>
      <c r="BK1309"/>
    </row>
    <row r="1310" spans="40:63" ht="12.75">
      <c r="AN1310"/>
      <c r="AO1310" s="293"/>
      <c r="AP1310"/>
      <c r="AQ1310" s="145"/>
      <c r="AR1310"/>
      <c r="AS1310"/>
      <c r="AT1310"/>
      <c r="AU1310"/>
      <c r="AV1310"/>
      <c r="AW1310"/>
      <c r="AX1310"/>
      <c r="AY1310"/>
      <c r="AZ1310"/>
      <c r="BA1310"/>
      <c r="BB1310"/>
      <c r="BC1310" s="578"/>
      <c r="BD1310" s="578"/>
      <c r="BE1310"/>
      <c r="BF1310"/>
      <c r="BG1310"/>
      <c r="BH1310"/>
      <c r="BI1310"/>
      <c r="BJ1310"/>
      <c r="BK1310"/>
    </row>
    <row r="1311" spans="40:63" ht="12.75">
      <c r="AN1311"/>
      <c r="AO1311" s="293"/>
      <c r="AP1311"/>
      <c r="AQ1311" s="145"/>
      <c r="AR1311"/>
      <c r="AS1311"/>
      <c r="AT1311"/>
      <c r="AU1311"/>
      <c r="AV1311"/>
      <c r="AW1311"/>
      <c r="AX1311"/>
      <c r="AY1311"/>
      <c r="AZ1311"/>
      <c r="BA1311"/>
      <c r="BB1311"/>
      <c r="BC1311" s="578"/>
      <c r="BD1311" s="578"/>
      <c r="BE1311"/>
      <c r="BF1311"/>
      <c r="BG1311"/>
      <c r="BH1311"/>
      <c r="BI1311"/>
      <c r="BJ1311"/>
      <c r="BK1311"/>
    </row>
    <row r="1312" spans="40:63" ht="12.75">
      <c r="AN1312"/>
      <c r="AO1312" s="293"/>
      <c r="AP1312"/>
      <c r="AQ1312" s="145"/>
      <c r="AR1312"/>
      <c r="AS1312"/>
      <c r="AT1312"/>
      <c r="AU1312"/>
      <c r="AV1312"/>
      <c r="AW1312"/>
      <c r="AX1312"/>
      <c r="AY1312"/>
      <c r="AZ1312"/>
      <c r="BA1312"/>
      <c r="BB1312"/>
      <c r="BC1312" s="578"/>
      <c r="BD1312" s="578"/>
      <c r="BE1312"/>
      <c r="BF1312"/>
      <c r="BG1312"/>
      <c r="BH1312"/>
      <c r="BI1312"/>
      <c r="BJ1312"/>
      <c r="BK1312"/>
    </row>
    <row r="1313" spans="40:63" ht="12.75">
      <c r="AN1313"/>
      <c r="AO1313" s="293"/>
      <c r="AP1313"/>
      <c r="AQ1313" s="145"/>
      <c r="AR1313"/>
      <c r="AS1313"/>
      <c r="AT1313"/>
      <c r="AU1313"/>
      <c r="AV1313"/>
      <c r="AW1313"/>
      <c r="AX1313"/>
      <c r="AY1313"/>
      <c r="AZ1313"/>
      <c r="BA1313"/>
      <c r="BB1313"/>
      <c r="BC1313" s="578"/>
      <c r="BD1313" s="578"/>
      <c r="BE1313"/>
      <c r="BF1313"/>
      <c r="BG1313"/>
      <c r="BH1313"/>
      <c r="BI1313"/>
      <c r="BJ1313"/>
      <c r="BK1313"/>
    </row>
    <row r="1314" spans="40:63" ht="12.75">
      <c r="AN1314"/>
      <c r="AO1314" s="293"/>
      <c r="AP1314"/>
      <c r="AQ1314" s="145"/>
      <c r="AR1314"/>
      <c r="AS1314"/>
      <c r="AT1314"/>
      <c r="AU1314"/>
      <c r="AV1314"/>
      <c r="AW1314"/>
      <c r="AX1314"/>
      <c r="AY1314"/>
      <c r="AZ1314"/>
      <c r="BA1314"/>
      <c r="BB1314"/>
      <c r="BC1314" s="578"/>
      <c r="BD1314" s="578"/>
      <c r="BE1314"/>
      <c r="BF1314"/>
      <c r="BG1314"/>
      <c r="BH1314"/>
      <c r="BI1314"/>
      <c r="BJ1314"/>
      <c r="BK1314"/>
    </row>
    <row r="1315" spans="40:63" ht="12.75">
      <c r="AN1315"/>
      <c r="AO1315" s="293"/>
      <c r="AP1315"/>
      <c r="AQ1315" s="145"/>
      <c r="AR1315"/>
      <c r="AS1315"/>
      <c r="AT1315"/>
      <c r="AU1315"/>
      <c r="AV1315"/>
      <c r="AW1315"/>
      <c r="AX1315"/>
      <c r="AY1315"/>
      <c r="AZ1315"/>
      <c r="BA1315"/>
      <c r="BB1315"/>
      <c r="BC1315" s="578"/>
      <c r="BD1315" s="578"/>
      <c r="BE1315"/>
      <c r="BF1315"/>
      <c r="BG1315"/>
      <c r="BH1315"/>
      <c r="BI1315"/>
      <c r="BJ1315"/>
      <c r="BK1315"/>
    </row>
    <row r="1316" spans="40:63" ht="12.75">
      <c r="AN1316"/>
      <c r="AO1316" s="293"/>
      <c r="AP1316"/>
      <c r="AQ1316" s="145"/>
      <c r="AR1316"/>
      <c r="AS1316"/>
      <c r="AT1316"/>
      <c r="AU1316"/>
      <c r="AV1316"/>
      <c r="AW1316"/>
      <c r="AX1316"/>
      <c r="AY1316"/>
      <c r="AZ1316"/>
      <c r="BA1316"/>
      <c r="BB1316"/>
      <c r="BC1316" s="578"/>
      <c r="BD1316" s="578"/>
      <c r="BE1316"/>
      <c r="BF1316"/>
      <c r="BG1316"/>
      <c r="BH1316"/>
      <c r="BI1316"/>
      <c r="BJ1316"/>
      <c r="BK1316"/>
    </row>
    <row r="1317" spans="40:63" ht="12.75">
      <c r="AN1317"/>
      <c r="AO1317" s="293"/>
      <c r="AP1317"/>
      <c r="AQ1317" s="145"/>
      <c r="AR1317"/>
      <c r="AS1317"/>
      <c r="AT1317"/>
      <c r="AU1317"/>
      <c r="AV1317"/>
      <c r="AW1317"/>
      <c r="AX1317"/>
      <c r="AY1317"/>
      <c r="AZ1317"/>
      <c r="BA1317"/>
      <c r="BB1317"/>
      <c r="BC1317" s="578"/>
      <c r="BD1317" s="578"/>
      <c r="BE1317"/>
      <c r="BF1317"/>
      <c r="BG1317"/>
      <c r="BH1317"/>
      <c r="BI1317"/>
      <c r="BJ1317"/>
      <c r="BK1317"/>
    </row>
    <row r="1318" spans="40:63" ht="12.75">
      <c r="AN1318"/>
      <c r="AO1318" s="293"/>
      <c r="AP1318"/>
      <c r="AQ1318" s="145"/>
      <c r="AR1318"/>
      <c r="AS1318"/>
      <c r="AT1318"/>
      <c r="AU1318"/>
      <c r="AV1318"/>
      <c r="AW1318"/>
      <c r="AX1318"/>
      <c r="AY1318"/>
      <c r="AZ1318"/>
      <c r="BA1318"/>
      <c r="BB1318"/>
      <c r="BC1318" s="578"/>
      <c r="BD1318" s="578"/>
      <c r="BE1318"/>
      <c r="BF1318"/>
      <c r="BG1318"/>
      <c r="BH1318"/>
      <c r="BI1318"/>
      <c r="BJ1318"/>
      <c r="BK1318"/>
    </row>
    <row r="1319" spans="40:63" ht="12.75">
      <c r="AN1319"/>
      <c r="AO1319" s="293"/>
      <c r="AP1319"/>
      <c r="AQ1319" s="145"/>
      <c r="AR1319"/>
      <c r="AS1319"/>
      <c r="AT1319"/>
      <c r="AU1319"/>
      <c r="AV1319"/>
      <c r="AW1319"/>
      <c r="AX1319"/>
      <c r="AY1319"/>
      <c r="AZ1319"/>
      <c r="BA1319"/>
      <c r="BB1319"/>
      <c r="BC1319" s="578"/>
      <c r="BD1319" s="578"/>
      <c r="BE1319"/>
      <c r="BF1319"/>
      <c r="BG1319"/>
      <c r="BH1319"/>
      <c r="BI1319"/>
      <c r="BJ1319"/>
      <c r="BK1319"/>
    </row>
    <row r="1320" spans="40:63" ht="12.75">
      <c r="AN1320"/>
      <c r="AO1320" s="293"/>
      <c r="AP1320"/>
      <c r="AQ1320" s="145"/>
      <c r="AR1320"/>
      <c r="AS1320"/>
      <c r="AT1320"/>
      <c r="AU1320"/>
      <c r="AV1320"/>
      <c r="AW1320"/>
      <c r="AX1320"/>
      <c r="AY1320"/>
      <c r="AZ1320"/>
      <c r="BA1320"/>
      <c r="BB1320"/>
      <c r="BC1320" s="578"/>
      <c r="BD1320" s="578"/>
      <c r="BE1320"/>
      <c r="BF1320"/>
      <c r="BG1320"/>
      <c r="BH1320"/>
      <c r="BI1320"/>
      <c r="BJ1320"/>
      <c r="BK1320"/>
    </row>
    <row r="1321" spans="40:63" ht="12.75">
      <c r="AN1321"/>
      <c r="AO1321" s="293"/>
      <c r="AP1321"/>
      <c r="AQ1321" s="145"/>
      <c r="AR1321"/>
      <c r="AS1321"/>
      <c r="AT1321"/>
      <c r="AU1321"/>
      <c r="AV1321"/>
      <c r="AW1321"/>
      <c r="AX1321"/>
      <c r="AY1321"/>
      <c r="AZ1321"/>
      <c r="BA1321"/>
      <c r="BB1321"/>
      <c r="BC1321" s="578"/>
      <c r="BD1321" s="578"/>
      <c r="BE1321"/>
      <c r="BF1321"/>
      <c r="BG1321"/>
      <c r="BH1321"/>
      <c r="BI1321"/>
      <c r="BJ1321"/>
      <c r="BK1321"/>
    </row>
    <row r="1322" spans="40:63" ht="12.75">
      <c r="AN1322"/>
      <c r="AO1322" s="293"/>
      <c r="AP1322"/>
      <c r="AQ1322" s="145"/>
      <c r="AR1322"/>
      <c r="AS1322"/>
      <c r="AT1322"/>
      <c r="AU1322"/>
      <c r="AV1322"/>
      <c r="AW1322"/>
      <c r="AX1322"/>
      <c r="AY1322"/>
      <c r="AZ1322"/>
      <c r="BA1322"/>
      <c r="BB1322"/>
      <c r="BC1322" s="578"/>
      <c r="BD1322" s="578"/>
      <c r="BE1322"/>
      <c r="BF1322"/>
      <c r="BG1322"/>
      <c r="BH1322"/>
      <c r="BI1322"/>
      <c r="BJ1322"/>
      <c r="BK1322"/>
    </row>
    <row r="1323" spans="40:63" ht="12.75">
      <c r="AN1323"/>
      <c r="AO1323" s="293"/>
      <c r="AP1323"/>
      <c r="AQ1323" s="145"/>
      <c r="AR1323"/>
      <c r="AS1323"/>
      <c r="AT1323"/>
      <c r="AU1323"/>
      <c r="AV1323"/>
      <c r="AW1323"/>
      <c r="AX1323"/>
      <c r="AY1323"/>
      <c r="AZ1323"/>
      <c r="BA1323"/>
      <c r="BB1323"/>
      <c r="BC1323" s="578"/>
      <c r="BD1323" s="578"/>
      <c r="BE1323"/>
      <c r="BF1323"/>
      <c r="BG1323"/>
      <c r="BH1323"/>
      <c r="BI1323"/>
      <c r="BJ1323"/>
      <c r="BK1323"/>
    </row>
    <row r="1324" spans="40:63" ht="12.75">
      <c r="AN1324"/>
      <c r="AO1324" s="293"/>
      <c r="AP1324"/>
      <c r="AQ1324" s="145"/>
      <c r="AR1324"/>
      <c r="AS1324"/>
      <c r="AT1324"/>
      <c r="AU1324"/>
      <c r="AV1324"/>
      <c r="AW1324"/>
      <c r="AX1324"/>
      <c r="AY1324"/>
      <c r="AZ1324"/>
      <c r="BA1324"/>
      <c r="BB1324"/>
      <c r="BC1324" s="578"/>
      <c r="BD1324" s="578"/>
      <c r="BE1324"/>
      <c r="BF1324"/>
      <c r="BG1324"/>
      <c r="BH1324"/>
      <c r="BI1324"/>
      <c r="BJ1324"/>
      <c r="BK1324"/>
    </row>
    <row r="1325" spans="40:63" ht="12.75">
      <c r="AN1325"/>
      <c r="AO1325" s="293"/>
      <c r="AP1325"/>
      <c r="AQ1325" s="145"/>
      <c r="AR1325"/>
      <c r="AS1325"/>
      <c r="AT1325"/>
      <c r="AU1325"/>
      <c r="AV1325"/>
      <c r="AW1325"/>
      <c r="AX1325"/>
      <c r="AY1325"/>
      <c r="AZ1325"/>
      <c r="BA1325"/>
      <c r="BB1325"/>
      <c r="BC1325" s="578"/>
      <c r="BD1325" s="578"/>
      <c r="BE1325"/>
      <c r="BF1325"/>
      <c r="BG1325"/>
      <c r="BH1325"/>
      <c r="BI1325"/>
      <c r="BJ1325"/>
      <c r="BK1325"/>
    </row>
    <row r="1326" spans="40:63" ht="12.75">
      <c r="AN1326"/>
      <c r="AO1326" s="293"/>
      <c r="AP1326"/>
      <c r="AQ1326" s="145"/>
      <c r="AR1326"/>
      <c r="AS1326"/>
      <c r="AT1326"/>
      <c r="AU1326"/>
      <c r="AV1326"/>
      <c r="AW1326"/>
      <c r="AX1326"/>
      <c r="AY1326"/>
      <c r="AZ1326"/>
      <c r="BA1326"/>
      <c r="BB1326"/>
      <c r="BC1326" s="578"/>
      <c r="BD1326" s="578"/>
      <c r="BE1326"/>
      <c r="BF1326"/>
      <c r="BG1326"/>
      <c r="BH1326"/>
      <c r="BI1326"/>
      <c r="BJ1326"/>
      <c r="BK1326"/>
    </row>
    <row r="1327" spans="40:63" ht="12.75">
      <c r="AN1327"/>
      <c r="AO1327" s="293"/>
      <c r="AP1327"/>
      <c r="AQ1327" s="145"/>
      <c r="AR1327"/>
      <c r="AS1327"/>
      <c r="AT1327"/>
      <c r="AU1327"/>
      <c r="AV1327"/>
      <c r="AW1327"/>
      <c r="AX1327"/>
      <c r="AY1327"/>
      <c r="AZ1327"/>
      <c r="BA1327"/>
      <c r="BB1327"/>
      <c r="BC1327" s="578"/>
      <c r="BD1327" s="578"/>
      <c r="BE1327"/>
      <c r="BF1327"/>
      <c r="BG1327"/>
      <c r="BH1327"/>
      <c r="BI1327"/>
      <c r="BJ1327"/>
      <c r="BK1327"/>
    </row>
    <row r="1328" spans="40:63" ht="12.75">
      <c r="AN1328"/>
      <c r="AO1328" s="293"/>
      <c r="AP1328"/>
      <c r="AQ1328" s="145"/>
      <c r="AR1328"/>
      <c r="AS1328"/>
      <c r="AT1328"/>
      <c r="AU1328"/>
      <c r="AV1328"/>
      <c r="AW1328"/>
      <c r="AX1328"/>
      <c r="AY1328"/>
      <c r="AZ1328"/>
      <c r="BA1328"/>
      <c r="BB1328"/>
      <c r="BC1328" s="578"/>
      <c r="BD1328" s="578"/>
      <c r="BE1328"/>
      <c r="BF1328"/>
      <c r="BG1328"/>
      <c r="BH1328"/>
      <c r="BI1328"/>
      <c r="BJ1328"/>
      <c r="BK1328"/>
    </row>
    <row r="1329" spans="40:63" ht="12.75">
      <c r="AN1329"/>
      <c r="AO1329" s="293"/>
      <c r="AP1329"/>
      <c r="AQ1329" s="145"/>
      <c r="AR1329"/>
      <c r="AS1329"/>
      <c r="AT1329"/>
      <c r="AU1329"/>
      <c r="AV1329"/>
      <c r="AW1329"/>
      <c r="AX1329"/>
      <c r="AY1329"/>
      <c r="AZ1329"/>
      <c r="BA1329"/>
      <c r="BB1329"/>
      <c r="BC1329" s="578"/>
      <c r="BD1329" s="578"/>
      <c r="BE1329"/>
      <c r="BF1329"/>
      <c r="BG1329"/>
      <c r="BH1329"/>
      <c r="BI1329"/>
      <c r="BJ1329"/>
      <c r="BK1329"/>
    </row>
    <row r="1330" spans="40:63" ht="12.75">
      <c r="AN1330"/>
      <c r="AO1330" s="293"/>
      <c r="AP1330"/>
      <c r="AQ1330" s="145"/>
      <c r="AR1330"/>
      <c r="AS1330"/>
      <c r="AT1330"/>
      <c r="AU1330"/>
      <c r="AV1330"/>
      <c r="AW1330"/>
      <c r="AX1330"/>
      <c r="AY1330"/>
      <c r="AZ1330"/>
      <c r="BA1330"/>
      <c r="BB1330"/>
      <c r="BC1330" s="578"/>
      <c r="BD1330" s="578"/>
      <c r="BE1330"/>
      <c r="BF1330"/>
      <c r="BG1330"/>
      <c r="BH1330"/>
      <c r="BI1330"/>
      <c r="BJ1330"/>
      <c r="BK1330"/>
    </row>
    <row r="1331" spans="40:63" ht="12.75">
      <c r="AN1331"/>
      <c r="AO1331" s="293"/>
      <c r="AP1331"/>
      <c r="AQ1331" s="145"/>
      <c r="AR1331"/>
      <c r="AS1331"/>
      <c r="AT1331"/>
      <c r="AU1331"/>
      <c r="AV1331"/>
      <c r="AW1331"/>
      <c r="AX1331"/>
      <c r="AY1331"/>
      <c r="AZ1331"/>
      <c r="BA1331"/>
      <c r="BB1331"/>
      <c r="BC1331" s="578"/>
      <c r="BD1331" s="578"/>
      <c r="BE1331"/>
      <c r="BF1331"/>
      <c r="BG1331"/>
      <c r="BH1331"/>
      <c r="BI1331"/>
      <c r="BJ1331"/>
      <c r="BK1331"/>
    </row>
    <row r="1332" spans="40:63" ht="12.75">
      <c r="AN1332"/>
      <c r="AO1332" s="293"/>
      <c r="AP1332"/>
      <c r="AQ1332" s="145"/>
      <c r="AR1332"/>
      <c r="AS1332"/>
      <c r="AT1332"/>
      <c r="AU1332"/>
      <c r="AV1332"/>
      <c r="AW1332"/>
      <c r="AX1332"/>
      <c r="AY1332"/>
      <c r="AZ1332"/>
      <c r="BA1332"/>
      <c r="BB1332"/>
      <c r="BC1332" s="578"/>
      <c r="BD1332" s="578"/>
      <c r="BE1332"/>
      <c r="BF1332"/>
      <c r="BG1332"/>
      <c r="BH1332"/>
      <c r="BI1332"/>
      <c r="BJ1332"/>
      <c r="BK1332"/>
    </row>
    <row r="1333" spans="40:63" ht="12.75">
      <c r="AN1333"/>
      <c r="AO1333" s="293"/>
      <c r="AP1333"/>
      <c r="AQ1333" s="145"/>
      <c r="AR1333"/>
      <c r="AS1333"/>
      <c r="AT1333"/>
      <c r="AU1333"/>
      <c r="AV1333"/>
      <c r="AW1333"/>
      <c r="AX1333"/>
      <c r="AY1333"/>
      <c r="AZ1333"/>
      <c r="BA1333"/>
      <c r="BB1333"/>
      <c r="BC1333" s="578"/>
      <c r="BD1333" s="578"/>
      <c r="BE1333"/>
      <c r="BF1333"/>
      <c r="BG1333"/>
      <c r="BH1333"/>
      <c r="BI1333"/>
      <c r="BJ1333"/>
      <c r="BK1333"/>
    </row>
    <row r="1334" spans="40:63" ht="12.75">
      <c r="AN1334"/>
      <c r="AO1334" s="293"/>
      <c r="AP1334"/>
      <c r="AQ1334" s="145"/>
      <c r="AR1334"/>
      <c r="AS1334"/>
      <c r="AT1334"/>
      <c r="AU1334"/>
      <c r="AV1334"/>
      <c r="AW1334"/>
      <c r="AX1334"/>
      <c r="AY1334"/>
      <c r="AZ1334"/>
      <c r="BA1334"/>
      <c r="BB1334"/>
      <c r="BC1334" s="578"/>
      <c r="BD1334" s="578"/>
      <c r="BE1334"/>
      <c r="BF1334"/>
      <c r="BG1334"/>
      <c r="BH1334"/>
      <c r="BI1334"/>
      <c r="BJ1334"/>
      <c r="BK1334"/>
    </row>
    <row r="1335" spans="40:63" ht="12.75">
      <c r="AN1335"/>
      <c r="AO1335" s="293"/>
      <c r="AP1335"/>
      <c r="AQ1335" s="145"/>
      <c r="AR1335"/>
      <c r="AS1335"/>
      <c r="AT1335"/>
      <c r="AU1335"/>
      <c r="AV1335"/>
      <c r="AW1335"/>
      <c r="AX1335"/>
      <c r="AY1335"/>
      <c r="AZ1335"/>
      <c r="BA1335"/>
      <c r="BB1335"/>
      <c r="BC1335" s="578"/>
      <c r="BD1335" s="578"/>
      <c r="BE1335"/>
      <c r="BF1335"/>
      <c r="BG1335"/>
      <c r="BH1335"/>
      <c r="BI1335"/>
      <c r="BJ1335"/>
      <c r="BK1335"/>
    </row>
    <row r="1336" spans="40:63" ht="12.75">
      <c r="AN1336"/>
      <c r="AO1336" s="293"/>
      <c r="AP1336"/>
      <c r="AQ1336" s="145"/>
      <c r="AR1336"/>
      <c r="AS1336"/>
      <c r="AT1336"/>
      <c r="AU1336"/>
      <c r="AV1336"/>
      <c r="AW1336"/>
      <c r="AX1336"/>
      <c r="AY1336"/>
      <c r="AZ1336"/>
      <c r="BA1336"/>
      <c r="BB1336"/>
      <c r="BC1336" s="578"/>
      <c r="BD1336" s="578"/>
      <c r="BE1336"/>
      <c r="BF1336"/>
      <c r="BG1336"/>
      <c r="BH1336"/>
      <c r="BI1336"/>
      <c r="BJ1336"/>
      <c r="BK1336"/>
    </row>
    <row r="1337" spans="40:63" ht="12.75">
      <c r="AN1337"/>
      <c r="AO1337" s="293"/>
      <c r="AP1337"/>
      <c r="AQ1337" s="145"/>
      <c r="AR1337"/>
      <c r="AS1337"/>
      <c r="AT1337"/>
      <c r="AU1337"/>
      <c r="AV1337"/>
      <c r="AW1337"/>
      <c r="AX1337"/>
      <c r="AY1337"/>
      <c r="AZ1337"/>
      <c r="BA1337"/>
      <c r="BB1337"/>
      <c r="BC1337" s="578"/>
      <c r="BD1337" s="578"/>
      <c r="BE1337"/>
      <c r="BF1337"/>
      <c r="BG1337"/>
      <c r="BH1337"/>
      <c r="BI1337"/>
      <c r="BJ1337"/>
      <c r="BK1337"/>
    </row>
    <row r="1338" spans="40:63" ht="12.75">
      <c r="AN1338"/>
      <c r="AO1338" s="293"/>
      <c r="AP1338"/>
      <c r="AQ1338" s="145"/>
      <c r="AR1338"/>
      <c r="AS1338"/>
      <c r="AT1338"/>
      <c r="AU1338"/>
      <c r="AV1338"/>
      <c r="AW1338"/>
      <c r="AX1338"/>
      <c r="AY1338"/>
      <c r="AZ1338"/>
      <c r="BA1338"/>
      <c r="BB1338"/>
      <c r="BC1338" s="578"/>
      <c r="BD1338" s="578"/>
      <c r="BE1338"/>
      <c r="BF1338"/>
      <c r="BG1338"/>
      <c r="BH1338"/>
      <c r="BI1338"/>
      <c r="BJ1338"/>
      <c r="BK1338"/>
    </row>
    <row r="1339" spans="40:63" ht="12.75">
      <c r="AN1339"/>
      <c r="AO1339" s="293"/>
      <c r="AP1339"/>
      <c r="AQ1339" s="145"/>
      <c r="AR1339"/>
      <c r="AS1339"/>
      <c r="AT1339"/>
      <c r="AU1339"/>
      <c r="AV1339"/>
      <c r="AW1339"/>
      <c r="AX1339"/>
      <c r="AY1339"/>
      <c r="AZ1339"/>
      <c r="BA1339"/>
      <c r="BB1339"/>
      <c r="BC1339" s="578"/>
      <c r="BD1339" s="578"/>
      <c r="BE1339"/>
      <c r="BF1339"/>
      <c r="BG1339"/>
      <c r="BH1339"/>
      <c r="BI1339"/>
      <c r="BJ1339"/>
      <c r="BK1339"/>
    </row>
    <row r="1340" spans="40:63" ht="12.75">
      <c r="AN1340"/>
      <c r="AO1340" s="293"/>
      <c r="AP1340"/>
      <c r="AQ1340" s="145"/>
      <c r="AR1340"/>
      <c r="AS1340"/>
      <c r="AT1340"/>
      <c r="AU1340"/>
      <c r="AV1340"/>
      <c r="AW1340"/>
      <c r="AX1340"/>
      <c r="AY1340"/>
      <c r="AZ1340"/>
      <c r="BA1340"/>
      <c r="BB1340"/>
      <c r="BC1340" s="578"/>
      <c r="BD1340" s="578"/>
      <c r="BE1340"/>
      <c r="BF1340"/>
      <c r="BG1340"/>
      <c r="BH1340"/>
      <c r="BI1340"/>
      <c r="BJ1340"/>
      <c r="BK1340"/>
    </row>
    <row r="1341" spans="40:63" ht="12.75">
      <c r="AN1341"/>
      <c r="AO1341" s="293"/>
      <c r="AP1341"/>
      <c r="AQ1341" s="145"/>
      <c r="AR1341"/>
      <c r="AS1341"/>
      <c r="AT1341"/>
      <c r="AU1341"/>
      <c r="AV1341"/>
      <c r="AW1341"/>
      <c r="AX1341"/>
      <c r="AY1341"/>
      <c r="AZ1341"/>
      <c r="BA1341"/>
      <c r="BB1341"/>
      <c r="BC1341" s="578"/>
      <c r="BD1341" s="578"/>
      <c r="BE1341"/>
      <c r="BF1341"/>
      <c r="BG1341"/>
      <c r="BH1341"/>
      <c r="BI1341"/>
      <c r="BJ1341"/>
      <c r="BK1341"/>
    </row>
    <row r="1342" spans="40:63" ht="12.75">
      <c r="AN1342"/>
      <c r="AO1342" s="293"/>
      <c r="AP1342"/>
      <c r="AQ1342" s="145"/>
      <c r="AR1342"/>
      <c r="AS1342"/>
      <c r="AT1342"/>
      <c r="AU1342"/>
      <c r="AV1342"/>
      <c r="AW1342"/>
      <c r="AX1342"/>
      <c r="AY1342"/>
      <c r="AZ1342"/>
      <c r="BA1342"/>
      <c r="BB1342"/>
      <c r="BC1342" s="578"/>
      <c r="BD1342" s="578"/>
      <c r="BE1342"/>
      <c r="BF1342"/>
      <c r="BG1342"/>
      <c r="BH1342"/>
      <c r="BI1342"/>
      <c r="BJ1342"/>
      <c r="BK1342"/>
    </row>
    <row r="1343" spans="40:63" ht="12.75">
      <c r="AN1343"/>
      <c r="AO1343" s="293"/>
      <c r="AP1343"/>
      <c r="AQ1343" s="145"/>
      <c r="AR1343"/>
      <c r="AS1343"/>
      <c r="AT1343"/>
      <c r="AU1343"/>
      <c r="AV1343"/>
      <c r="AW1343"/>
      <c r="AX1343"/>
      <c r="AY1343"/>
      <c r="AZ1343"/>
      <c r="BA1343"/>
      <c r="BB1343"/>
      <c r="BC1343" s="578"/>
      <c r="BD1343" s="578"/>
      <c r="BE1343"/>
      <c r="BF1343"/>
      <c r="BG1343"/>
      <c r="BH1343"/>
      <c r="BI1343"/>
      <c r="BJ1343"/>
      <c r="BK1343"/>
    </row>
    <row r="1344" spans="40:63" ht="12.75">
      <c r="AN1344"/>
      <c r="AO1344" s="293"/>
      <c r="AP1344"/>
      <c r="AQ1344" s="145"/>
      <c r="AR1344"/>
      <c r="AS1344"/>
      <c r="AT1344"/>
      <c r="AU1344"/>
      <c r="AV1344"/>
      <c r="AW1344"/>
      <c r="AX1344"/>
      <c r="AY1344"/>
      <c r="AZ1344"/>
      <c r="BA1344"/>
      <c r="BB1344"/>
      <c r="BC1344" s="578"/>
      <c r="BD1344" s="578"/>
      <c r="BE1344"/>
      <c r="BF1344"/>
      <c r="BG1344"/>
      <c r="BH1344"/>
      <c r="BI1344"/>
      <c r="BJ1344"/>
      <c r="BK1344"/>
    </row>
    <row r="1345" spans="40:63" ht="12.75">
      <c r="AN1345"/>
      <c r="AO1345" s="293"/>
      <c r="AP1345"/>
      <c r="AQ1345" s="145"/>
      <c r="AR1345"/>
      <c r="AS1345"/>
      <c r="AT1345"/>
      <c r="AU1345"/>
      <c r="AV1345"/>
      <c r="AW1345"/>
      <c r="AX1345"/>
      <c r="AY1345"/>
      <c r="AZ1345"/>
      <c r="BA1345"/>
      <c r="BB1345"/>
      <c r="BC1345" s="578"/>
      <c r="BD1345" s="578"/>
      <c r="BE1345"/>
      <c r="BF1345"/>
      <c r="BG1345"/>
      <c r="BH1345"/>
      <c r="BI1345"/>
      <c r="BJ1345"/>
      <c r="BK1345"/>
    </row>
    <row r="1346" spans="40:63" ht="12.75">
      <c r="AN1346"/>
      <c r="AO1346" s="293"/>
      <c r="AP1346"/>
      <c r="AQ1346" s="145"/>
      <c r="AR1346"/>
      <c r="AS1346"/>
      <c r="AT1346"/>
      <c r="AU1346"/>
      <c r="AV1346"/>
      <c r="AW1346"/>
      <c r="AX1346"/>
      <c r="AY1346"/>
      <c r="AZ1346"/>
      <c r="BA1346"/>
      <c r="BB1346"/>
      <c r="BC1346" s="578"/>
      <c r="BD1346" s="578"/>
      <c r="BE1346"/>
      <c r="BF1346"/>
      <c r="BG1346"/>
      <c r="BH1346"/>
      <c r="BI1346"/>
      <c r="BJ1346"/>
      <c r="BK1346"/>
    </row>
    <row r="1347" spans="40:63" ht="12.75">
      <c r="AN1347"/>
      <c r="AO1347" s="293"/>
      <c r="AP1347"/>
      <c r="AQ1347" s="145"/>
      <c r="AR1347"/>
      <c r="AS1347"/>
      <c r="AT1347"/>
      <c r="AU1347"/>
      <c r="AV1347"/>
      <c r="AW1347"/>
      <c r="AX1347"/>
      <c r="AY1347"/>
      <c r="AZ1347"/>
      <c r="BA1347"/>
      <c r="BB1347"/>
      <c r="BC1347" s="578"/>
      <c r="BD1347" s="578"/>
      <c r="BE1347"/>
      <c r="BF1347"/>
      <c r="BG1347"/>
      <c r="BH1347"/>
      <c r="BI1347"/>
      <c r="BJ1347"/>
      <c r="BK1347"/>
    </row>
    <row r="1348" spans="40:63" ht="12.75">
      <c r="AN1348"/>
      <c r="AO1348" s="293"/>
      <c r="AP1348"/>
      <c r="AQ1348" s="145"/>
      <c r="AR1348"/>
      <c r="AS1348"/>
      <c r="AT1348"/>
      <c r="AU1348"/>
      <c r="AV1348"/>
      <c r="AW1348"/>
      <c r="AX1348"/>
      <c r="AY1348"/>
      <c r="AZ1348"/>
      <c r="BA1348"/>
      <c r="BB1348"/>
      <c r="BC1348" s="578"/>
      <c r="BD1348" s="578"/>
      <c r="BE1348"/>
      <c r="BF1348"/>
      <c r="BG1348"/>
      <c r="BH1348"/>
      <c r="BI1348"/>
      <c r="BJ1348"/>
      <c r="BK1348"/>
    </row>
    <row r="1349" spans="40:63" ht="12.75">
      <c r="AN1349"/>
      <c r="AO1349" s="293"/>
      <c r="AP1349"/>
      <c r="AQ1349" s="145"/>
      <c r="AR1349"/>
      <c r="AS1349"/>
      <c r="AT1349"/>
      <c r="AU1349"/>
      <c r="AV1349"/>
      <c r="AW1349"/>
      <c r="AX1349"/>
      <c r="AY1349"/>
      <c r="AZ1349"/>
      <c r="BA1349"/>
      <c r="BB1349"/>
      <c r="BC1349" s="578"/>
      <c r="BD1349" s="578"/>
      <c r="BE1349"/>
      <c r="BF1349"/>
      <c r="BG1349"/>
      <c r="BH1349"/>
      <c r="BI1349"/>
      <c r="BJ1349"/>
      <c r="BK1349"/>
    </row>
    <row r="1350" spans="40:63" ht="12.75">
      <c r="AN1350"/>
      <c r="AO1350" s="293"/>
      <c r="AP1350"/>
      <c r="AQ1350" s="145"/>
      <c r="AR1350"/>
      <c r="AS1350"/>
      <c r="AT1350"/>
      <c r="AU1350"/>
      <c r="AV1350"/>
      <c r="AW1350"/>
      <c r="AX1350"/>
      <c r="AY1350"/>
      <c r="AZ1350"/>
      <c r="BA1350"/>
      <c r="BB1350"/>
      <c r="BC1350" s="578"/>
      <c r="BD1350" s="578"/>
      <c r="BE1350"/>
      <c r="BF1350"/>
      <c r="BG1350"/>
      <c r="BH1350"/>
      <c r="BI1350"/>
      <c r="BJ1350"/>
      <c r="BK1350"/>
    </row>
    <row r="1351" spans="40:63" ht="12.75">
      <c r="AN1351"/>
      <c r="AO1351" s="293"/>
      <c r="AP1351"/>
      <c r="AQ1351" s="145"/>
      <c r="AR1351"/>
      <c r="AS1351"/>
      <c r="AT1351"/>
      <c r="AU1351"/>
      <c r="AV1351"/>
      <c r="AW1351"/>
      <c r="AX1351"/>
      <c r="AY1351"/>
      <c r="AZ1351"/>
      <c r="BA1351"/>
      <c r="BB1351"/>
      <c r="BC1351" s="578"/>
      <c r="BD1351" s="578"/>
      <c r="BE1351"/>
      <c r="BF1351"/>
      <c r="BG1351"/>
      <c r="BH1351"/>
      <c r="BI1351"/>
      <c r="BJ1351"/>
      <c r="BK1351"/>
    </row>
    <row r="1352" spans="40:63" ht="12.75">
      <c r="AN1352"/>
      <c r="AO1352" s="293"/>
      <c r="AP1352"/>
      <c r="AQ1352" s="145"/>
      <c r="AR1352"/>
      <c r="AS1352"/>
      <c r="AT1352"/>
      <c r="AU1352"/>
      <c r="AV1352"/>
      <c r="AW1352"/>
      <c r="AX1352"/>
      <c r="AY1352"/>
      <c r="AZ1352"/>
      <c r="BA1352"/>
      <c r="BB1352"/>
      <c r="BC1352" s="578"/>
      <c r="BD1352" s="578"/>
      <c r="BE1352"/>
      <c r="BF1352"/>
      <c r="BG1352"/>
      <c r="BH1352"/>
      <c r="BI1352"/>
      <c r="BJ1352"/>
      <c r="BK1352"/>
    </row>
    <row r="1353" spans="40:63" ht="12.75">
      <c r="AN1353"/>
      <c r="AO1353" s="293"/>
      <c r="AP1353"/>
      <c r="AQ1353" s="145"/>
      <c r="AR1353"/>
      <c r="AS1353"/>
      <c r="AT1353"/>
      <c r="AU1353"/>
      <c r="AV1353"/>
      <c r="AW1353"/>
      <c r="AX1353"/>
      <c r="AY1353"/>
      <c r="AZ1353"/>
      <c r="BA1353"/>
      <c r="BB1353"/>
      <c r="BC1353" s="578"/>
      <c r="BD1353" s="578"/>
      <c r="BE1353"/>
      <c r="BF1353"/>
      <c r="BG1353"/>
      <c r="BH1353"/>
      <c r="BI1353"/>
      <c r="BJ1353"/>
      <c r="BK1353"/>
    </row>
    <row r="1354" spans="40:63" ht="12.75">
      <c r="AN1354"/>
      <c r="AO1354" s="293"/>
      <c r="AP1354"/>
      <c r="AQ1354" s="145"/>
      <c r="AR1354"/>
      <c r="AS1354"/>
      <c r="AT1354"/>
      <c r="AU1354"/>
      <c r="AV1354"/>
      <c r="AW1354"/>
      <c r="AX1354"/>
      <c r="AY1354"/>
      <c r="AZ1354"/>
      <c r="BA1354"/>
      <c r="BB1354"/>
      <c r="BC1354" s="578"/>
      <c r="BD1354" s="578"/>
      <c r="BE1354"/>
      <c r="BF1354"/>
      <c r="BG1354"/>
      <c r="BH1354"/>
      <c r="BI1354"/>
      <c r="BJ1354"/>
      <c r="BK1354"/>
    </row>
    <row r="1355" spans="40:63" ht="12.75">
      <c r="AN1355"/>
      <c r="AO1355" s="293"/>
      <c r="AP1355"/>
      <c r="AQ1355" s="145"/>
      <c r="AR1355"/>
      <c r="AS1355"/>
      <c r="AT1355"/>
      <c r="AU1355"/>
      <c r="AV1355"/>
      <c r="AW1355"/>
      <c r="AX1355"/>
      <c r="AY1355"/>
      <c r="AZ1355"/>
      <c r="BA1355"/>
      <c r="BB1355"/>
      <c r="BC1355" s="578"/>
      <c r="BD1355" s="578"/>
      <c r="BE1355"/>
      <c r="BF1355"/>
      <c r="BG1355"/>
      <c r="BH1355"/>
      <c r="BI1355"/>
      <c r="BJ1355"/>
      <c r="BK1355"/>
    </row>
    <row r="1356" spans="40:63" ht="12.75">
      <c r="AN1356"/>
      <c r="AO1356" s="293"/>
      <c r="AP1356"/>
      <c r="AQ1356" s="145"/>
      <c r="AR1356"/>
      <c r="AS1356"/>
      <c r="AT1356"/>
      <c r="AU1356"/>
      <c r="AV1356"/>
      <c r="AW1356"/>
      <c r="AX1356"/>
      <c r="AY1356"/>
      <c r="AZ1356"/>
      <c r="BA1356"/>
      <c r="BB1356"/>
      <c r="BC1356" s="578"/>
      <c r="BD1356" s="578"/>
      <c r="BE1356"/>
      <c r="BF1356"/>
      <c r="BG1356"/>
      <c r="BH1356"/>
      <c r="BI1356"/>
      <c r="BJ1356"/>
      <c r="BK1356"/>
    </row>
    <row r="1357" spans="40:63" ht="12.75">
      <c r="AN1357"/>
      <c r="AO1357" s="293"/>
      <c r="AP1357"/>
      <c r="AQ1357" s="145"/>
      <c r="AR1357"/>
      <c r="AS1357"/>
      <c r="AT1357"/>
      <c r="AU1357"/>
      <c r="AV1357"/>
      <c r="AW1357"/>
      <c r="AX1357"/>
      <c r="AY1357"/>
      <c r="AZ1357"/>
      <c r="BA1357"/>
      <c r="BB1357"/>
      <c r="BC1357" s="578"/>
      <c r="BD1357" s="578"/>
      <c r="BE1357"/>
      <c r="BF1357"/>
      <c r="BG1357"/>
      <c r="BH1357"/>
      <c r="BI1357"/>
      <c r="BJ1357"/>
      <c r="BK1357"/>
    </row>
    <row r="1358" spans="40:63" ht="12.75">
      <c r="AN1358"/>
      <c r="AO1358" s="293"/>
      <c r="AP1358"/>
      <c r="AQ1358" s="145"/>
      <c r="AR1358"/>
      <c r="AS1358"/>
      <c r="AT1358"/>
      <c r="AU1358"/>
      <c r="AV1358"/>
      <c r="AW1358"/>
      <c r="AX1358"/>
      <c r="AY1358"/>
      <c r="AZ1358"/>
      <c r="BA1358"/>
      <c r="BB1358"/>
      <c r="BC1358" s="578"/>
      <c r="BD1358" s="578"/>
      <c r="BE1358"/>
      <c r="BF1358"/>
      <c r="BG1358"/>
      <c r="BH1358"/>
      <c r="BI1358"/>
      <c r="BJ1358"/>
      <c r="BK1358"/>
    </row>
    <row r="1359" spans="40:63" ht="12.75">
      <c r="AN1359"/>
      <c r="AO1359" s="293"/>
      <c r="AP1359"/>
      <c r="AQ1359" s="145"/>
      <c r="AR1359"/>
      <c r="AS1359"/>
      <c r="AT1359"/>
      <c r="AU1359"/>
      <c r="AV1359"/>
      <c r="AW1359"/>
      <c r="AX1359"/>
      <c r="AY1359"/>
      <c r="AZ1359"/>
      <c r="BA1359"/>
      <c r="BB1359"/>
      <c r="BC1359" s="578"/>
      <c r="BD1359" s="578"/>
      <c r="BE1359"/>
      <c r="BF1359"/>
      <c r="BG1359"/>
      <c r="BH1359"/>
      <c r="BI1359"/>
      <c r="BJ1359"/>
      <c r="BK1359"/>
    </row>
    <row r="1360" spans="40:63" ht="12.75">
      <c r="AN1360"/>
      <c r="AO1360" s="293"/>
      <c r="AP1360"/>
      <c r="AQ1360" s="145"/>
      <c r="AR1360"/>
      <c r="AS1360"/>
      <c r="AT1360"/>
      <c r="AU1360"/>
      <c r="AV1360"/>
      <c r="AW1360"/>
      <c r="AX1360"/>
      <c r="AY1360"/>
      <c r="AZ1360"/>
      <c r="BA1360"/>
      <c r="BB1360"/>
      <c r="BC1360" s="578"/>
      <c r="BD1360" s="578"/>
      <c r="BE1360"/>
      <c r="BF1360"/>
      <c r="BG1360"/>
      <c r="BH1360"/>
      <c r="BI1360"/>
      <c r="BJ1360"/>
      <c r="BK1360"/>
    </row>
    <row r="1361" spans="40:63" ht="12.75">
      <c r="AN1361"/>
      <c r="AO1361" s="293"/>
      <c r="AP1361"/>
      <c r="AQ1361" s="145"/>
      <c r="AR1361"/>
      <c r="AS1361"/>
      <c r="AT1361"/>
      <c r="AU1361"/>
      <c r="AV1361"/>
      <c r="AW1361"/>
      <c r="AX1361"/>
      <c r="AY1361"/>
      <c r="AZ1361"/>
      <c r="BA1361"/>
      <c r="BB1361"/>
      <c r="BC1361" s="578"/>
      <c r="BD1361" s="578"/>
      <c r="BE1361"/>
      <c r="BF1361"/>
      <c r="BG1361"/>
      <c r="BH1361"/>
      <c r="BI1361"/>
      <c r="BJ1361"/>
      <c r="BK1361"/>
    </row>
    <row r="1362" spans="40:63" ht="12.75">
      <c r="AN1362"/>
      <c r="AO1362" s="293"/>
      <c r="AP1362"/>
      <c r="AQ1362" s="145"/>
      <c r="AR1362"/>
      <c r="AS1362"/>
      <c r="AT1362"/>
      <c r="AU1362"/>
      <c r="AV1362"/>
      <c r="AW1362"/>
      <c r="AX1362"/>
      <c r="AY1362"/>
      <c r="AZ1362"/>
      <c r="BA1362"/>
      <c r="BB1362"/>
      <c r="BC1362" s="578"/>
      <c r="BD1362" s="578"/>
      <c r="BE1362"/>
      <c r="BF1362"/>
      <c r="BG1362"/>
      <c r="BH1362"/>
      <c r="BI1362"/>
      <c r="BJ1362"/>
      <c r="BK1362"/>
    </row>
    <row r="1363" spans="40:63" ht="12.75">
      <c r="AN1363"/>
      <c r="AO1363" s="293"/>
      <c r="AP1363"/>
      <c r="AQ1363" s="145"/>
      <c r="AR1363"/>
      <c r="AS1363"/>
      <c r="AT1363"/>
      <c r="AU1363"/>
      <c r="AV1363"/>
      <c r="AW1363"/>
      <c r="AX1363"/>
      <c r="AY1363"/>
      <c r="AZ1363"/>
      <c r="BA1363"/>
      <c r="BB1363"/>
      <c r="BC1363" s="578"/>
      <c r="BD1363" s="578"/>
      <c r="BE1363"/>
      <c r="BF1363"/>
      <c r="BG1363"/>
      <c r="BH1363"/>
      <c r="BI1363"/>
      <c r="BJ1363"/>
      <c r="BK1363"/>
    </row>
    <row r="1364" spans="40:63" ht="12.75">
      <c r="AN1364"/>
      <c r="AO1364" s="293"/>
      <c r="AP1364"/>
      <c r="AQ1364" s="145"/>
      <c r="AR1364"/>
      <c r="AS1364"/>
      <c r="AT1364"/>
      <c r="AU1364"/>
      <c r="AV1364"/>
      <c r="AW1364"/>
      <c r="AX1364"/>
      <c r="AY1364"/>
      <c r="AZ1364"/>
      <c r="BA1364"/>
      <c r="BB1364"/>
      <c r="BC1364" s="578"/>
      <c r="BD1364" s="578"/>
      <c r="BE1364"/>
      <c r="BF1364"/>
      <c r="BG1364"/>
      <c r="BH1364"/>
      <c r="BI1364"/>
      <c r="BJ1364"/>
      <c r="BK1364"/>
    </row>
    <row r="1365" spans="40:63" ht="12.75">
      <c r="AN1365"/>
      <c r="AO1365" s="293"/>
      <c r="AP1365"/>
      <c r="AQ1365" s="145"/>
      <c r="AR1365"/>
      <c r="AS1365"/>
      <c r="AT1365"/>
      <c r="AU1365"/>
      <c r="AV1365"/>
      <c r="AW1365"/>
      <c r="AX1365"/>
      <c r="AY1365"/>
      <c r="AZ1365"/>
      <c r="BA1365"/>
      <c r="BB1365"/>
      <c r="BC1365" s="578"/>
      <c r="BD1365" s="578"/>
      <c r="BE1365"/>
      <c r="BF1365"/>
      <c r="BG1365"/>
      <c r="BH1365"/>
      <c r="BI1365"/>
      <c r="BJ1365"/>
      <c r="BK1365"/>
    </row>
    <row r="1366" spans="40:63" ht="12.75">
      <c r="AN1366"/>
      <c r="AO1366" s="293"/>
      <c r="AP1366"/>
      <c r="AQ1366" s="145"/>
      <c r="AR1366"/>
      <c r="AS1366"/>
      <c r="AT1366"/>
      <c r="AU1366"/>
      <c r="AV1366"/>
      <c r="AW1366"/>
      <c r="AX1366"/>
      <c r="AY1366"/>
      <c r="AZ1366"/>
      <c r="BA1366"/>
      <c r="BB1366"/>
      <c r="BC1366" s="578"/>
      <c r="BD1366" s="578"/>
      <c r="BE1366"/>
      <c r="BF1366"/>
      <c r="BG1366"/>
      <c r="BH1366"/>
      <c r="BI1366"/>
      <c r="BJ1366"/>
      <c r="BK1366"/>
    </row>
    <row r="1367" spans="40:63" ht="12.75">
      <c r="AN1367"/>
      <c r="AO1367" s="293"/>
      <c r="AP1367"/>
      <c r="AQ1367" s="145"/>
      <c r="AR1367"/>
      <c r="AS1367"/>
      <c r="AT1367"/>
      <c r="AU1367"/>
      <c r="AV1367"/>
      <c r="AW1367"/>
      <c r="AX1367"/>
      <c r="AY1367"/>
      <c r="AZ1367"/>
      <c r="BA1367"/>
      <c r="BB1367"/>
      <c r="BC1367" s="578"/>
      <c r="BD1367" s="578"/>
      <c r="BE1367"/>
      <c r="BF1367"/>
      <c r="BG1367"/>
      <c r="BH1367"/>
      <c r="BI1367"/>
      <c r="BJ1367"/>
      <c r="BK1367"/>
    </row>
    <row r="1368" spans="40:63" ht="12.75">
      <c r="AN1368"/>
      <c r="AO1368" s="293"/>
      <c r="AP1368"/>
      <c r="AQ1368" s="145"/>
      <c r="AR1368"/>
      <c r="AS1368"/>
      <c r="AT1368"/>
      <c r="AU1368"/>
      <c r="AV1368"/>
      <c r="AW1368"/>
      <c r="AX1368"/>
      <c r="AY1368"/>
      <c r="AZ1368"/>
      <c r="BA1368"/>
      <c r="BB1368"/>
      <c r="BC1368" s="578"/>
      <c r="BD1368" s="578"/>
      <c r="BE1368"/>
      <c r="BF1368"/>
      <c r="BG1368"/>
      <c r="BH1368"/>
      <c r="BI1368"/>
      <c r="BJ1368"/>
      <c r="BK1368"/>
    </row>
    <row r="1369" spans="40:63" ht="12.75">
      <c r="AN1369"/>
      <c r="AO1369" s="293"/>
      <c r="AP1369"/>
      <c r="AQ1369" s="145"/>
      <c r="AR1369"/>
      <c r="AS1369"/>
      <c r="AT1369"/>
      <c r="AU1369"/>
      <c r="AV1369"/>
      <c r="AW1369"/>
      <c r="AX1369"/>
      <c r="AY1369"/>
      <c r="AZ1369"/>
      <c r="BA1369"/>
      <c r="BB1369"/>
      <c r="BC1369" s="578"/>
      <c r="BD1369" s="578"/>
      <c r="BE1369"/>
      <c r="BF1369"/>
      <c r="BG1369"/>
      <c r="BH1369"/>
      <c r="BI1369"/>
      <c r="BJ1369"/>
      <c r="BK1369"/>
    </row>
    <row r="1370" spans="40:63" ht="12.75">
      <c r="AN1370"/>
      <c r="AO1370" s="293"/>
      <c r="AP1370"/>
      <c r="AQ1370" s="145"/>
      <c r="AR1370"/>
      <c r="AS1370"/>
      <c r="AT1370"/>
      <c r="AU1370"/>
      <c r="AV1370"/>
      <c r="AW1370"/>
      <c r="AX1370"/>
      <c r="AY1370"/>
      <c r="AZ1370"/>
      <c r="BA1370"/>
      <c r="BB1370"/>
      <c r="BC1370" s="578"/>
      <c r="BD1370" s="578"/>
      <c r="BE1370"/>
      <c r="BF1370"/>
      <c r="BG1370"/>
      <c r="BH1370"/>
      <c r="BI1370"/>
      <c r="BJ1370"/>
      <c r="BK1370"/>
    </row>
    <row r="1371" spans="40:63" ht="12.75">
      <c r="AN1371"/>
      <c r="AO1371" s="293"/>
      <c r="AP1371"/>
      <c r="AQ1371" s="145"/>
      <c r="AR1371"/>
      <c r="AS1371"/>
      <c r="AT1371"/>
      <c r="AU1371"/>
      <c r="AV1371"/>
      <c r="AW1371"/>
      <c r="AX1371"/>
      <c r="AY1371"/>
      <c r="AZ1371"/>
      <c r="BA1371"/>
      <c r="BB1371"/>
      <c r="BC1371" s="578"/>
      <c r="BD1371" s="578"/>
      <c r="BE1371"/>
      <c r="BF1371"/>
      <c r="BG1371"/>
      <c r="BH1371"/>
      <c r="BI1371"/>
      <c r="BJ1371"/>
      <c r="BK1371"/>
    </row>
    <row r="1372" spans="40:63" ht="12.75">
      <c r="AN1372"/>
      <c r="AO1372" s="293"/>
      <c r="AP1372"/>
      <c r="AQ1372" s="145"/>
      <c r="AR1372"/>
      <c r="AS1372"/>
      <c r="AT1372"/>
      <c r="AU1372"/>
      <c r="AV1372"/>
      <c r="AW1372"/>
      <c r="AX1372"/>
      <c r="AY1372"/>
      <c r="AZ1372"/>
      <c r="BA1372"/>
      <c r="BB1372"/>
      <c r="BC1372" s="578"/>
      <c r="BD1372" s="578"/>
      <c r="BE1372"/>
      <c r="BF1372"/>
      <c r="BG1372"/>
      <c r="BH1372"/>
      <c r="BI1372"/>
      <c r="BJ1372"/>
      <c r="BK1372"/>
    </row>
    <row r="1373" spans="40:63" ht="12.75">
      <c r="AN1373"/>
      <c r="AO1373" s="293"/>
      <c r="AP1373"/>
      <c r="AQ1373" s="145"/>
      <c r="AR1373"/>
      <c r="AS1373"/>
      <c r="AT1373"/>
      <c r="AU1373"/>
      <c r="AV1373"/>
      <c r="AW1373"/>
      <c r="AX1373"/>
      <c r="AY1373"/>
      <c r="AZ1373"/>
      <c r="BA1373"/>
      <c r="BB1373"/>
      <c r="BC1373" s="578"/>
      <c r="BD1373" s="578"/>
      <c r="BE1373"/>
      <c r="BF1373"/>
      <c r="BG1373"/>
      <c r="BH1373"/>
      <c r="BI1373"/>
      <c r="BJ1373"/>
      <c r="BK1373"/>
    </row>
    <row r="1374" spans="40:63" ht="12.75">
      <c r="AN1374"/>
      <c r="AO1374" s="293"/>
      <c r="AP1374"/>
      <c r="AQ1374" s="145"/>
      <c r="AR1374"/>
      <c r="AS1374"/>
      <c r="AT1374"/>
      <c r="AU1374"/>
      <c r="AV1374"/>
      <c r="AW1374"/>
      <c r="AX1374"/>
      <c r="AY1374"/>
      <c r="AZ1374"/>
      <c r="BA1374"/>
      <c r="BB1374"/>
      <c r="BC1374" s="578"/>
      <c r="BD1374" s="578"/>
      <c r="BE1374"/>
      <c r="BF1374"/>
      <c r="BG1374"/>
      <c r="BH1374"/>
      <c r="BI1374"/>
      <c r="BJ1374"/>
      <c r="BK1374"/>
    </row>
    <row r="1375" spans="40:63" ht="12.75">
      <c r="AN1375"/>
      <c r="AO1375" s="293"/>
      <c r="AP1375"/>
      <c r="AQ1375" s="145"/>
      <c r="AR1375"/>
      <c r="AS1375"/>
      <c r="AT1375"/>
      <c r="AU1375"/>
      <c r="AV1375"/>
      <c r="AW1375"/>
      <c r="AX1375"/>
      <c r="AY1375"/>
      <c r="AZ1375"/>
      <c r="BA1375"/>
      <c r="BB1375"/>
      <c r="BC1375" s="578"/>
      <c r="BD1375" s="578"/>
      <c r="BE1375"/>
      <c r="BF1375"/>
      <c r="BG1375"/>
      <c r="BH1375"/>
      <c r="BI1375"/>
      <c r="BJ1375"/>
      <c r="BK1375"/>
    </row>
    <row r="1376" spans="40:63" ht="12.75">
      <c r="AN1376"/>
      <c r="AO1376" s="293"/>
      <c r="AP1376"/>
      <c r="AQ1376" s="145"/>
      <c r="AR1376"/>
      <c r="AS1376"/>
      <c r="AT1376"/>
      <c r="AU1376"/>
      <c r="AV1376"/>
      <c r="AW1376"/>
      <c r="AX1376"/>
      <c r="AY1376"/>
      <c r="AZ1376"/>
      <c r="BA1376"/>
      <c r="BB1376"/>
      <c r="BC1376" s="578"/>
      <c r="BD1376" s="578"/>
      <c r="BE1376"/>
      <c r="BF1376"/>
      <c r="BG1376"/>
      <c r="BH1376"/>
      <c r="BI1376"/>
      <c r="BJ1376"/>
      <c r="BK1376"/>
    </row>
    <row r="1377" spans="40:63" ht="12.75">
      <c r="AN1377"/>
      <c r="AO1377" s="293"/>
      <c r="AP1377"/>
      <c r="AQ1377" s="145"/>
      <c r="AR1377"/>
      <c r="AS1377"/>
      <c r="AT1377"/>
      <c r="AU1377"/>
      <c r="AV1377"/>
      <c r="AW1377"/>
      <c r="AX1377"/>
      <c r="AY1377"/>
      <c r="AZ1377"/>
      <c r="BA1377"/>
      <c r="BB1377"/>
      <c r="BC1377" s="578"/>
      <c r="BD1377" s="578"/>
      <c r="BE1377"/>
      <c r="BF1377"/>
      <c r="BG1377"/>
      <c r="BH1377"/>
      <c r="BI1377"/>
      <c r="BJ1377"/>
      <c r="BK1377"/>
    </row>
    <row r="1378" spans="40:63" ht="12.75">
      <c r="AN1378"/>
      <c r="AO1378" s="293"/>
      <c r="AP1378"/>
      <c r="AQ1378" s="145"/>
      <c r="AR1378"/>
      <c r="AS1378"/>
      <c r="AT1378"/>
      <c r="AU1378"/>
      <c r="AV1378"/>
      <c r="AW1378"/>
      <c r="AX1378"/>
      <c r="AY1378"/>
      <c r="AZ1378"/>
      <c r="BA1378"/>
      <c r="BB1378"/>
      <c r="BC1378" s="578"/>
      <c r="BD1378" s="578"/>
      <c r="BE1378"/>
      <c r="BF1378"/>
      <c r="BG1378"/>
      <c r="BH1378"/>
      <c r="BI1378"/>
      <c r="BJ1378"/>
      <c r="BK1378"/>
    </row>
    <row r="1379" spans="40:63" ht="12.75">
      <c r="AN1379"/>
      <c r="AO1379" s="293"/>
      <c r="AP1379"/>
      <c r="AQ1379" s="145"/>
      <c r="AR1379"/>
      <c r="AS1379"/>
      <c r="AT1379"/>
      <c r="AU1379"/>
      <c r="AV1379"/>
      <c r="AW1379"/>
      <c r="AX1379"/>
      <c r="AY1379"/>
      <c r="AZ1379"/>
      <c r="BA1379"/>
      <c r="BB1379"/>
      <c r="BC1379" s="578"/>
      <c r="BD1379" s="578"/>
      <c r="BE1379"/>
      <c r="BF1379"/>
      <c r="BG1379"/>
      <c r="BH1379"/>
      <c r="BI1379"/>
      <c r="BJ1379"/>
      <c r="BK1379"/>
    </row>
    <row r="1380" spans="40:63" ht="12.75">
      <c r="AN1380"/>
      <c r="AO1380" s="293"/>
      <c r="AP1380"/>
      <c r="AQ1380" s="145"/>
      <c r="AR1380"/>
      <c r="AS1380"/>
      <c r="AT1380"/>
      <c r="AU1380"/>
      <c r="AV1380"/>
      <c r="AW1380"/>
      <c r="AX1380"/>
      <c r="AY1380"/>
      <c r="AZ1380"/>
      <c r="BA1380"/>
      <c r="BB1380"/>
      <c r="BC1380" s="578"/>
      <c r="BD1380" s="578"/>
      <c r="BE1380"/>
      <c r="BF1380"/>
      <c r="BG1380"/>
      <c r="BH1380"/>
      <c r="BI1380"/>
      <c r="BJ1380"/>
      <c r="BK1380"/>
    </row>
    <row r="1381" spans="40:63" ht="12.75">
      <c r="AN1381"/>
      <c r="AO1381" s="293"/>
      <c r="AP1381"/>
      <c r="AQ1381" s="145"/>
      <c r="AR1381"/>
      <c r="AS1381"/>
      <c r="AT1381"/>
      <c r="AU1381"/>
      <c r="AV1381"/>
      <c r="AW1381"/>
      <c r="AX1381"/>
      <c r="AY1381"/>
      <c r="AZ1381"/>
      <c r="BA1381"/>
      <c r="BB1381"/>
      <c r="BC1381" s="578"/>
      <c r="BD1381" s="578"/>
      <c r="BE1381"/>
      <c r="BF1381"/>
      <c r="BG1381"/>
      <c r="BH1381"/>
      <c r="BI1381"/>
      <c r="BJ1381"/>
      <c r="BK1381"/>
    </row>
    <row r="1382" spans="40:63" ht="12.75">
      <c r="AN1382"/>
      <c r="AO1382" s="293"/>
      <c r="AP1382"/>
      <c r="AQ1382" s="145"/>
      <c r="AR1382"/>
      <c r="AS1382"/>
      <c r="AT1382"/>
      <c r="AU1382"/>
      <c r="AV1382"/>
      <c r="AW1382"/>
      <c r="AX1382"/>
      <c r="AY1382"/>
      <c r="AZ1382"/>
      <c r="BA1382"/>
      <c r="BB1382"/>
      <c r="BC1382" s="578"/>
      <c r="BD1382" s="578"/>
      <c r="BE1382"/>
      <c r="BF1382"/>
      <c r="BG1382"/>
      <c r="BH1382"/>
      <c r="BI1382"/>
      <c r="BJ1382"/>
      <c r="BK1382"/>
    </row>
    <row r="1383" spans="40:63" ht="12.75">
      <c r="AN1383"/>
      <c r="AO1383" s="293"/>
      <c r="AP1383"/>
      <c r="AQ1383" s="145"/>
      <c r="AR1383"/>
      <c r="AS1383"/>
      <c r="AT1383"/>
      <c r="AU1383"/>
      <c r="AV1383"/>
      <c r="AW1383"/>
      <c r="AX1383"/>
      <c r="AY1383"/>
      <c r="AZ1383"/>
      <c r="BA1383"/>
      <c r="BB1383"/>
      <c r="BC1383" s="578"/>
      <c r="BD1383" s="578"/>
      <c r="BE1383"/>
      <c r="BF1383"/>
      <c r="BG1383"/>
      <c r="BH1383"/>
      <c r="BI1383"/>
      <c r="BJ1383"/>
      <c r="BK1383"/>
    </row>
    <row r="1384" spans="40:63" ht="12.75">
      <c r="AN1384"/>
      <c r="AO1384" s="293"/>
      <c r="AP1384"/>
      <c r="AQ1384" s="145"/>
      <c r="AR1384"/>
      <c r="AS1384"/>
      <c r="AT1384"/>
      <c r="AU1384"/>
      <c r="AV1384"/>
      <c r="AW1384"/>
      <c r="AX1384"/>
      <c r="AY1384"/>
      <c r="AZ1384"/>
      <c r="BA1384"/>
      <c r="BB1384"/>
      <c r="BC1384" s="578"/>
      <c r="BD1384" s="578"/>
      <c r="BE1384"/>
      <c r="BF1384"/>
      <c r="BG1384"/>
      <c r="BH1384"/>
      <c r="BI1384"/>
      <c r="BJ1384"/>
      <c r="BK1384"/>
    </row>
    <row r="1385" spans="40:63" ht="12.75">
      <c r="AN1385"/>
      <c r="AO1385" s="293"/>
      <c r="AP1385"/>
      <c r="AQ1385" s="145"/>
      <c r="AR1385"/>
      <c r="AS1385"/>
      <c r="AT1385"/>
      <c r="AU1385"/>
      <c r="AV1385"/>
      <c r="AW1385"/>
      <c r="AX1385"/>
      <c r="AY1385"/>
      <c r="AZ1385"/>
      <c r="BA1385"/>
      <c r="BB1385"/>
      <c r="BC1385" s="578"/>
      <c r="BD1385" s="578"/>
      <c r="BE1385"/>
      <c r="BF1385"/>
      <c r="BG1385"/>
      <c r="BH1385"/>
      <c r="BI1385"/>
      <c r="BJ1385"/>
      <c r="BK1385"/>
    </row>
    <row r="1386" spans="40:63" ht="12.75">
      <c r="AN1386"/>
      <c r="AO1386" s="293"/>
      <c r="AP1386"/>
      <c r="AQ1386" s="145"/>
      <c r="AR1386"/>
      <c r="AS1386"/>
      <c r="AT1386"/>
      <c r="AU1386"/>
      <c r="AV1386"/>
      <c r="AW1386"/>
      <c r="AX1386"/>
      <c r="AY1386"/>
      <c r="AZ1386"/>
      <c r="BA1386"/>
      <c r="BB1386"/>
      <c r="BC1386" s="578"/>
      <c r="BD1386" s="578"/>
      <c r="BE1386"/>
      <c r="BF1386"/>
      <c r="BG1386"/>
      <c r="BH1386"/>
      <c r="BI1386"/>
      <c r="BJ1386"/>
      <c r="BK1386"/>
    </row>
    <row r="1387" spans="40:63" ht="12.75">
      <c r="AN1387"/>
      <c r="AO1387" s="293"/>
      <c r="AP1387"/>
      <c r="AQ1387" s="145"/>
      <c r="AR1387"/>
      <c r="AS1387"/>
      <c r="AT1387"/>
      <c r="AU1387"/>
      <c r="AV1387"/>
      <c r="AW1387"/>
      <c r="AX1387"/>
      <c r="AY1387"/>
      <c r="AZ1387"/>
      <c r="BA1387"/>
      <c r="BB1387"/>
      <c r="BC1387" s="578"/>
      <c r="BD1387" s="578"/>
      <c r="BE1387"/>
      <c r="BF1387"/>
      <c r="BG1387"/>
      <c r="BH1387"/>
      <c r="BI1387"/>
      <c r="BJ1387"/>
      <c r="BK1387"/>
    </row>
    <row r="1388" spans="40:63" ht="12.75">
      <c r="AN1388"/>
      <c r="AO1388" s="293"/>
      <c r="AP1388"/>
      <c r="AQ1388" s="145"/>
      <c r="AR1388"/>
      <c r="AS1388"/>
      <c r="AT1388"/>
      <c r="AU1388"/>
      <c r="AV1388"/>
      <c r="AW1388"/>
      <c r="AX1388"/>
      <c r="AY1388"/>
      <c r="AZ1388"/>
      <c r="BA1388"/>
      <c r="BB1388"/>
      <c r="BC1388" s="578"/>
      <c r="BD1388" s="578"/>
      <c r="BE1388"/>
      <c r="BF1388"/>
      <c r="BG1388"/>
      <c r="BH1388"/>
      <c r="BI1388"/>
      <c r="BJ1388"/>
      <c r="BK1388"/>
    </row>
    <row r="1389" spans="40:63" ht="12.75">
      <c r="AN1389"/>
      <c r="AO1389" s="293"/>
      <c r="AP1389"/>
      <c r="AQ1389" s="145"/>
      <c r="AR1389"/>
      <c r="AS1389"/>
      <c r="AT1389"/>
      <c r="AU1389"/>
      <c r="AV1389"/>
      <c r="AW1389"/>
      <c r="AX1389"/>
      <c r="AY1389"/>
      <c r="AZ1389"/>
      <c r="BA1389"/>
      <c r="BB1389"/>
      <c r="BC1389" s="578"/>
      <c r="BD1389" s="578"/>
      <c r="BE1389"/>
      <c r="BF1389"/>
      <c r="BG1389"/>
      <c r="BH1389"/>
      <c r="BI1389"/>
      <c r="BJ1389"/>
      <c r="BK1389"/>
    </row>
    <row r="1390" spans="40:63" ht="12.75">
      <c r="AN1390"/>
      <c r="AO1390" s="293"/>
      <c r="AP1390"/>
      <c r="AQ1390" s="145"/>
      <c r="AR1390"/>
      <c r="AS1390"/>
      <c r="AT1390"/>
      <c r="AU1390"/>
      <c r="AV1390"/>
      <c r="AW1390"/>
      <c r="AX1390"/>
      <c r="AY1390"/>
      <c r="AZ1390"/>
      <c r="BA1390"/>
      <c r="BB1390"/>
      <c r="BC1390" s="578"/>
      <c r="BD1390" s="578"/>
      <c r="BE1390"/>
      <c r="BF1390"/>
      <c r="BG1390"/>
      <c r="BH1390"/>
      <c r="BI1390"/>
      <c r="BJ1390"/>
      <c r="BK1390"/>
    </row>
    <row r="1391" spans="40:63" ht="12.75">
      <c r="AN1391"/>
      <c r="AO1391" s="293"/>
      <c r="AP1391"/>
      <c r="AQ1391" s="145"/>
      <c r="AR1391"/>
      <c r="AS1391"/>
      <c r="AT1391"/>
      <c r="AU1391"/>
      <c r="AV1391"/>
      <c r="AW1391"/>
      <c r="AX1391"/>
      <c r="AY1391"/>
      <c r="AZ1391"/>
      <c r="BA1391"/>
      <c r="BB1391"/>
      <c r="BC1391" s="578"/>
      <c r="BD1391" s="578"/>
      <c r="BE1391"/>
      <c r="BF1391"/>
      <c r="BG1391"/>
      <c r="BH1391"/>
      <c r="BI1391"/>
      <c r="BJ1391"/>
      <c r="BK1391"/>
    </row>
    <row r="1392" spans="40:63" ht="12.75">
      <c r="AN1392"/>
      <c r="AO1392" s="293"/>
      <c r="AP1392"/>
      <c r="AQ1392" s="145"/>
      <c r="AR1392"/>
      <c r="AS1392"/>
      <c r="AT1392"/>
      <c r="AU1392"/>
      <c r="AV1392"/>
      <c r="AW1392"/>
      <c r="AX1392"/>
      <c r="AY1392"/>
      <c r="AZ1392"/>
      <c r="BA1392"/>
      <c r="BB1392"/>
      <c r="BC1392" s="578"/>
      <c r="BD1392" s="578"/>
      <c r="BE1392"/>
      <c r="BF1392"/>
      <c r="BG1392"/>
      <c r="BH1392"/>
      <c r="BI1392"/>
      <c r="BJ1392"/>
      <c r="BK1392"/>
    </row>
    <row r="1393" spans="40:63" ht="12.75">
      <c r="AN1393"/>
      <c r="AO1393" s="293"/>
      <c r="AP1393"/>
      <c r="AQ1393" s="145"/>
      <c r="AR1393"/>
      <c r="AS1393"/>
      <c r="AT1393"/>
      <c r="AU1393"/>
      <c r="AV1393"/>
      <c r="AW1393"/>
      <c r="AX1393"/>
      <c r="AY1393"/>
      <c r="AZ1393"/>
      <c r="BA1393"/>
      <c r="BB1393"/>
      <c r="BC1393" s="578"/>
      <c r="BD1393" s="578"/>
      <c r="BE1393"/>
      <c r="BF1393"/>
      <c r="BG1393"/>
      <c r="BH1393"/>
      <c r="BI1393"/>
      <c r="BJ1393"/>
      <c r="BK1393"/>
    </row>
    <row r="1394" spans="40:63" ht="12.75">
      <c r="AN1394"/>
      <c r="AO1394" s="293"/>
      <c r="AP1394"/>
      <c r="AQ1394" s="145"/>
      <c r="AR1394"/>
      <c r="AS1394"/>
      <c r="AT1394"/>
      <c r="AU1394"/>
      <c r="AV1394"/>
      <c r="AW1394"/>
      <c r="AX1394"/>
      <c r="AY1394"/>
      <c r="AZ1394"/>
      <c r="BA1394"/>
      <c r="BB1394"/>
      <c r="BC1394" s="578"/>
      <c r="BD1394" s="578"/>
      <c r="BE1394"/>
      <c r="BF1394"/>
      <c r="BG1394"/>
      <c r="BH1394"/>
      <c r="BI1394"/>
      <c r="BJ1394"/>
      <c r="BK1394"/>
    </row>
    <row r="1395" spans="40:63" ht="12.75">
      <c r="AN1395"/>
      <c r="AO1395" s="293"/>
      <c r="AP1395"/>
      <c r="AQ1395" s="145"/>
      <c r="AR1395"/>
      <c r="AS1395"/>
      <c r="AT1395"/>
      <c r="AU1395"/>
      <c r="AV1395"/>
      <c r="AW1395"/>
      <c r="AX1395"/>
      <c r="AY1395"/>
      <c r="AZ1395"/>
      <c r="BA1395"/>
      <c r="BB1395"/>
      <c r="BC1395" s="578"/>
      <c r="BD1395" s="578"/>
      <c r="BE1395"/>
      <c r="BF1395"/>
      <c r="BG1395"/>
      <c r="BH1395"/>
      <c r="BI1395"/>
      <c r="BJ1395"/>
      <c r="BK1395"/>
    </row>
    <row r="1396" spans="40:63" ht="12.75">
      <c r="AN1396"/>
      <c r="AO1396" s="293"/>
      <c r="AP1396"/>
      <c r="AQ1396" s="145"/>
      <c r="AR1396"/>
      <c r="AS1396"/>
      <c r="AT1396"/>
      <c r="AU1396"/>
      <c r="AV1396"/>
      <c r="AW1396"/>
      <c r="AX1396"/>
      <c r="AY1396"/>
      <c r="AZ1396"/>
      <c r="BA1396"/>
      <c r="BB1396"/>
      <c r="BC1396" s="578"/>
      <c r="BD1396" s="578"/>
      <c r="BE1396"/>
      <c r="BF1396"/>
      <c r="BG1396"/>
      <c r="BH1396"/>
      <c r="BI1396"/>
      <c r="BJ1396"/>
      <c r="BK1396"/>
    </row>
    <row r="1397" spans="40:63" ht="12.75">
      <c r="AN1397"/>
      <c r="AO1397" s="293"/>
      <c r="AP1397"/>
      <c r="AQ1397" s="145"/>
      <c r="AR1397"/>
      <c r="AS1397"/>
      <c r="AT1397"/>
      <c r="AU1397"/>
      <c r="AV1397"/>
      <c r="AW1397"/>
      <c r="AX1397"/>
      <c r="AY1397"/>
      <c r="AZ1397"/>
      <c r="BA1397"/>
      <c r="BB1397"/>
      <c r="BC1397" s="578"/>
      <c r="BD1397" s="578"/>
      <c r="BE1397"/>
      <c r="BF1397"/>
      <c r="BG1397"/>
      <c r="BH1397"/>
      <c r="BI1397"/>
      <c r="BJ1397"/>
      <c r="BK1397"/>
    </row>
    <row r="1398" spans="40:63" ht="12.75">
      <c r="AN1398"/>
      <c r="AO1398" s="293"/>
      <c r="AP1398"/>
      <c r="AQ1398" s="145"/>
      <c r="AR1398"/>
      <c r="AS1398"/>
      <c r="AT1398"/>
      <c r="AU1398"/>
      <c r="AV1398"/>
      <c r="AW1398"/>
      <c r="AX1398"/>
      <c r="AY1398"/>
      <c r="AZ1398"/>
      <c r="BA1398"/>
      <c r="BB1398"/>
      <c r="BC1398" s="578"/>
      <c r="BD1398" s="578"/>
      <c r="BE1398"/>
      <c r="BF1398"/>
      <c r="BG1398"/>
      <c r="BH1398"/>
      <c r="BI1398"/>
      <c r="BJ1398"/>
      <c r="BK1398"/>
    </row>
    <row r="1399" spans="40:63" ht="12.75">
      <c r="AN1399"/>
      <c r="AO1399" s="293"/>
      <c r="AP1399"/>
      <c r="AQ1399" s="145"/>
      <c r="AR1399"/>
      <c r="AS1399"/>
      <c r="AT1399"/>
      <c r="AU1399"/>
      <c r="AV1399"/>
      <c r="AW1399"/>
      <c r="AX1399"/>
      <c r="AY1399"/>
      <c r="AZ1399"/>
      <c r="BA1399"/>
      <c r="BB1399"/>
      <c r="BC1399" s="578"/>
      <c r="BD1399" s="578"/>
      <c r="BE1399"/>
      <c r="BF1399"/>
      <c r="BG1399"/>
      <c r="BH1399"/>
      <c r="BI1399"/>
      <c r="BJ1399"/>
      <c r="BK1399"/>
    </row>
    <row r="1400" spans="40:63" ht="12.75">
      <c r="AN1400"/>
      <c r="AO1400" s="293"/>
      <c r="AP1400"/>
      <c r="AQ1400" s="145"/>
      <c r="AR1400"/>
      <c r="AS1400"/>
      <c r="AT1400"/>
      <c r="AU1400"/>
      <c r="AV1400"/>
      <c r="AW1400"/>
      <c r="AX1400"/>
      <c r="AY1400"/>
      <c r="AZ1400"/>
      <c r="BA1400"/>
      <c r="BB1400"/>
      <c r="BC1400" s="578"/>
      <c r="BD1400" s="578"/>
      <c r="BE1400"/>
      <c r="BF1400"/>
      <c r="BG1400"/>
      <c r="BH1400"/>
      <c r="BI1400"/>
      <c r="BJ1400"/>
      <c r="BK1400"/>
    </row>
    <row r="1401" spans="40:63" ht="12.75">
      <c r="AN1401"/>
      <c r="AO1401" s="293"/>
      <c r="AP1401"/>
      <c r="AQ1401" s="145"/>
      <c r="AR1401"/>
      <c r="AS1401"/>
      <c r="AT1401"/>
      <c r="AU1401"/>
      <c r="AV1401"/>
      <c r="AW1401"/>
      <c r="AX1401"/>
      <c r="AY1401"/>
      <c r="AZ1401"/>
      <c r="BA1401"/>
      <c r="BB1401"/>
      <c r="BC1401" s="578"/>
      <c r="BD1401" s="578"/>
      <c r="BE1401"/>
      <c r="BF1401"/>
      <c r="BG1401"/>
      <c r="BH1401"/>
      <c r="BI1401"/>
      <c r="BJ1401"/>
      <c r="BK1401"/>
    </row>
    <row r="1402" spans="40:63" ht="12.75">
      <c r="AN1402"/>
      <c r="AO1402" s="293"/>
      <c r="AP1402"/>
      <c r="AQ1402" s="145"/>
      <c r="AR1402"/>
      <c r="AS1402"/>
      <c r="AT1402"/>
      <c r="AU1402"/>
      <c r="AV1402"/>
      <c r="AW1402"/>
      <c r="AX1402"/>
      <c r="AY1402"/>
      <c r="AZ1402"/>
      <c r="BA1402"/>
      <c r="BB1402"/>
      <c r="BC1402" s="578"/>
      <c r="BD1402" s="578"/>
      <c r="BE1402"/>
      <c r="BF1402"/>
      <c r="BG1402"/>
      <c r="BH1402"/>
      <c r="BI1402"/>
      <c r="BJ1402"/>
      <c r="BK1402"/>
    </row>
    <row r="1403" spans="40:63" ht="12.75">
      <c r="AN1403"/>
      <c r="AO1403" s="293"/>
      <c r="AP1403"/>
      <c r="AQ1403" s="145"/>
      <c r="AR1403"/>
      <c r="AS1403"/>
      <c r="AT1403"/>
      <c r="AU1403"/>
      <c r="AV1403"/>
      <c r="AW1403"/>
      <c r="AX1403"/>
      <c r="AY1403"/>
      <c r="AZ1403"/>
      <c r="BA1403"/>
      <c r="BB1403"/>
      <c r="BC1403" s="578"/>
      <c r="BD1403" s="578"/>
      <c r="BE1403"/>
      <c r="BF1403"/>
      <c r="BG1403"/>
      <c r="BH1403"/>
      <c r="BI1403"/>
      <c r="BJ1403"/>
      <c r="BK1403"/>
    </row>
    <row r="1404" spans="40:63" ht="12.75">
      <c r="AN1404"/>
      <c r="AO1404" s="293"/>
      <c r="AP1404"/>
      <c r="AQ1404" s="145"/>
      <c r="AR1404"/>
      <c r="AS1404"/>
      <c r="AT1404"/>
      <c r="AU1404"/>
      <c r="AV1404"/>
      <c r="AW1404"/>
      <c r="AX1404"/>
      <c r="AY1404"/>
      <c r="AZ1404"/>
      <c r="BA1404"/>
      <c r="BB1404"/>
      <c r="BC1404" s="578"/>
      <c r="BD1404" s="578"/>
      <c r="BE1404"/>
      <c r="BF1404"/>
      <c r="BG1404"/>
      <c r="BH1404"/>
      <c r="BI1404"/>
      <c r="BJ1404"/>
      <c r="BK1404"/>
    </row>
    <row r="1405" spans="40:63" ht="12.75">
      <c r="AN1405"/>
      <c r="AO1405" s="293"/>
      <c r="AP1405"/>
      <c r="AQ1405" s="145"/>
      <c r="AR1405"/>
      <c r="AS1405"/>
      <c r="AT1405"/>
      <c r="AU1405"/>
      <c r="AV1405"/>
      <c r="AW1405"/>
      <c r="AX1405"/>
      <c r="AY1405"/>
      <c r="AZ1405"/>
      <c r="BA1405"/>
      <c r="BB1405"/>
      <c r="BC1405" s="578"/>
      <c r="BD1405" s="578"/>
      <c r="BE1405"/>
      <c r="BF1405"/>
      <c r="BG1405"/>
      <c r="BH1405"/>
      <c r="BI1405"/>
      <c r="BJ1405"/>
      <c r="BK1405"/>
    </row>
    <row r="1406" spans="40:63" ht="12.75">
      <c r="AN1406"/>
      <c r="AO1406" s="293"/>
      <c r="AP1406"/>
      <c r="AQ1406" s="145"/>
      <c r="AR1406"/>
      <c r="AS1406"/>
      <c r="AT1406"/>
      <c r="AU1406"/>
      <c r="AV1406"/>
      <c r="AW1406"/>
      <c r="AX1406"/>
      <c r="AY1406"/>
      <c r="AZ1406"/>
      <c r="BA1406"/>
      <c r="BB1406"/>
      <c r="BC1406" s="578"/>
      <c r="BD1406" s="578"/>
      <c r="BE1406"/>
      <c r="BF1406"/>
      <c r="BG1406"/>
      <c r="BH1406"/>
      <c r="BI1406"/>
      <c r="BJ1406"/>
      <c r="BK1406"/>
    </row>
    <row r="1407" spans="40:63" ht="12.75">
      <c r="AN1407"/>
      <c r="AO1407" s="293"/>
      <c r="AP1407"/>
      <c r="AQ1407" s="145"/>
      <c r="AR1407"/>
      <c r="AS1407"/>
      <c r="AT1407"/>
      <c r="AU1407"/>
      <c r="AV1407"/>
      <c r="AW1407"/>
      <c r="AX1407"/>
      <c r="AY1407"/>
      <c r="AZ1407"/>
      <c r="BA1407"/>
      <c r="BB1407"/>
      <c r="BC1407" s="578"/>
      <c r="BD1407" s="578"/>
      <c r="BE1407"/>
      <c r="BF1407"/>
      <c r="BG1407"/>
      <c r="BH1407"/>
      <c r="BI1407"/>
      <c r="BJ1407"/>
      <c r="BK1407"/>
    </row>
    <row r="1408" spans="40:63" ht="12.75">
      <c r="AN1408"/>
      <c r="AO1408" s="293"/>
      <c r="AP1408"/>
      <c r="AQ1408" s="145"/>
      <c r="AR1408"/>
      <c r="AS1408"/>
      <c r="AT1408"/>
      <c r="AU1408"/>
      <c r="AV1408"/>
      <c r="AW1408"/>
      <c r="AX1408"/>
      <c r="AY1408"/>
      <c r="AZ1408"/>
      <c r="BA1408"/>
      <c r="BB1408"/>
      <c r="BC1408" s="578"/>
      <c r="BD1408" s="578"/>
      <c r="BE1408"/>
      <c r="BF1408"/>
      <c r="BG1408"/>
      <c r="BH1408"/>
      <c r="BI1408"/>
      <c r="BJ1408"/>
      <c r="BK1408"/>
    </row>
    <row r="1409" spans="40:63" ht="12.75">
      <c r="AN1409"/>
      <c r="AO1409" s="293"/>
      <c r="AP1409"/>
      <c r="AQ1409" s="145"/>
      <c r="AR1409"/>
      <c r="AS1409"/>
      <c r="AT1409"/>
      <c r="AU1409"/>
      <c r="AV1409"/>
      <c r="AW1409"/>
      <c r="AX1409"/>
      <c r="AY1409"/>
      <c r="AZ1409"/>
      <c r="BA1409"/>
      <c r="BB1409"/>
      <c r="BC1409" s="578"/>
      <c r="BD1409" s="578"/>
      <c r="BE1409"/>
      <c r="BF1409"/>
      <c r="BG1409"/>
      <c r="BH1409"/>
      <c r="BI1409"/>
      <c r="BJ1409"/>
      <c r="BK1409"/>
    </row>
    <row r="1410" spans="40:63" ht="12.75">
      <c r="AN1410"/>
      <c r="AO1410" s="293"/>
      <c r="AP1410"/>
      <c r="AQ1410" s="145"/>
      <c r="AR1410"/>
      <c r="AS1410"/>
      <c r="AT1410"/>
      <c r="AU1410"/>
      <c r="AV1410"/>
      <c r="AW1410"/>
      <c r="AX1410"/>
      <c r="AY1410"/>
      <c r="AZ1410"/>
      <c r="BA1410"/>
      <c r="BB1410"/>
      <c r="BC1410" s="578"/>
      <c r="BD1410" s="578"/>
      <c r="BE1410"/>
      <c r="BF1410"/>
      <c r="BG1410"/>
      <c r="BH1410"/>
      <c r="BI1410"/>
      <c r="BJ1410"/>
      <c r="BK1410"/>
    </row>
    <row r="1411" spans="40:63" ht="12.75">
      <c r="AN1411"/>
      <c r="AO1411" s="293"/>
      <c r="AP1411"/>
      <c r="AQ1411" s="145"/>
      <c r="AR1411"/>
      <c r="AS1411"/>
      <c r="AT1411"/>
      <c r="AU1411"/>
      <c r="AV1411"/>
      <c r="AW1411"/>
      <c r="AX1411"/>
      <c r="AY1411"/>
      <c r="AZ1411"/>
      <c r="BA1411"/>
      <c r="BB1411"/>
      <c r="BC1411" s="578"/>
      <c r="BD1411" s="578"/>
      <c r="BE1411"/>
      <c r="BF1411"/>
      <c r="BG1411"/>
      <c r="BH1411"/>
      <c r="BI1411"/>
      <c r="BJ1411"/>
      <c r="BK1411"/>
    </row>
    <row r="1412" spans="40:63" ht="12.75">
      <c r="AN1412"/>
      <c r="AO1412" s="293"/>
      <c r="AP1412"/>
      <c r="AQ1412" s="145"/>
      <c r="AR1412"/>
      <c r="AS1412"/>
      <c r="AT1412"/>
      <c r="AU1412"/>
      <c r="AV1412"/>
      <c r="AW1412"/>
      <c r="AX1412"/>
      <c r="AY1412"/>
      <c r="AZ1412"/>
      <c r="BA1412"/>
      <c r="BB1412"/>
      <c r="BC1412" s="578"/>
      <c r="BD1412" s="578"/>
      <c r="BE1412"/>
      <c r="BF1412"/>
      <c r="BG1412"/>
      <c r="BH1412"/>
      <c r="BI1412"/>
      <c r="BJ1412"/>
      <c r="BK1412"/>
    </row>
    <row r="1413" spans="40:63" ht="12.75">
      <c r="AN1413"/>
      <c r="AO1413" s="293"/>
      <c r="AP1413"/>
      <c r="AQ1413" s="145"/>
      <c r="AR1413"/>
      <c r="AS1413"/>
      <c r="AT1413"/>
      <c r="AU1413"/>
      <c r="AV1413"/>
      <c r="AW1413"/>
      <c r="AX1413"/>
      <c r="AY1413"/>
      <c r="AZ1413"/>
      <c r="BA1413"/>
      <c r="BB1413"/>
      <c r="BC1413" s="578"/>
      <c r="BD1413" s="578"/>
      <c r="BE1413"/>
      <c r="BF1413"/>
      <c r="BG1413"/>
      <c r="BH1413"/>
      <c r="BI1413"/>
      <c r="BJ1413"/>
      <c r="BK1413"/>
    </row>
    <row r="1414" spans="40:63" ht="12.75">
      <c r="AN1414"/>
      <c r="AO1414" s="293"/>
      <c r="AP1414"/>
      <c r="AQ1414" s="145"/>
      <c r="AR1414"/>
      <c r="AS1414"/>
      <c r="AT1414"/>
      <c r="AU1414"/>
      <c r="AV1414"/>
      <c r="AW1414"/>
      <c r="AX1414"/>
      <c r="AY1414"/>
      <c r="AZ1414"/>
      <c r="BA1414"/>
      <c r="BB1414"/>
      <c r="BC1414" s="578"/>
      <c r="BD1414" s="578"/>
      <c r="BE1414"/>
      <c r="BF1414"/>
      <c r="BG1414"/>
      <c r="BH1414"/>
      <c r="BI1414"/>
      <c r="BJ1414"/>
      <c r="BK1414"/>
    </row>
    <row r="1415" spans="40:63" ht="12.75">
      <c r="AN1415"/>
      <c r="AO1415" s="293"/>
      <c r="AP1415"/>
      <c r="AQ1415" s="145"/>
      <c r="AR1415"/>
      <c r="AS1415"/>
      <c r="AT1415"/>
      <c r="AU1415"/>
      <c r="AV1415"/>
      <c r="AW1415"/>
      <c r="AX1415"/>
      <c r="AY1415"/>
      <c r="AZ1415"/>
      <c r="BA1415"/>
      <c r="BB1415"/>
      <c r="BC1415" s="578"/>
      <c r="BD1415" s="578"/>
      <c r="BE1415"/>
      <c r="BF1415"/>
      <c r="BG1415"/>
      <c r="BH1415"/>
      <c r="BI1415"/>
      <c r="BJ1415"/>
      <c r="BK1415"/>
    </row>
    <row r="1416" spans="40:63" ht="12.75">
      <c r="AN1416"/>
      <c r="AO1416" s="293"/>
      <c r="AP1416"/>
      <c r="AQ1416" s="145"/>
      <c r="AR1416"/>
      <c r="AS1416"/>
      <c r="AT1416"/>
      <c r="AU1416"/>
      <c r="AV1416"/>
      <c r="AW1416"/>
      <c r="AX1416"/>
      <c r="AY1416"/>
      <c r="AZ1416"/>
      <c r="BA1416"/>
      <c r="BB1416"/>
      <c r="BC1416" s="578"/>
      <c r="BD1416" s="578"/>
      <c r="BE1416"/>
      <c r="BF1416"/>
      <c r="BG1416"/>
      <c r="BH1416"/>
      <c r="BI1416"/>
      <c r="BJ1416"/>
      <c r="BK1416"/>
    </row>
    <row r="1417" spans="40:63" ht="12.75">
      <c r="AN1417"/>
      <c r="AO1417" s="293"/>
      <c r="AP1417"/>
      <c r="AQ1417" s="145"/>
      <c r="AR1417"/>
      <c r="AS1417"/>
      <c r="AT1417"/>
      <c r="AU1417"/>
      <c r="AV1417"/>
      <c r="AW1417"/>
      <c r="AX1417"/>
      <c r="AY1417"/>
      <c r="AZ1417"/>
      <c r="BA1417"/>
      <c r="BB1417"/>
      <c r="BC1417" s="578"/>
      <c r="BD1417" s="578"/>
      <c r="BE1417"/>
      <c r="BF1417"/>
      <c r="BG1417"/>
      <c r="BH1417"/>
      <c r="BI1417"/>
      <c r="BJ1417"/>
      <c r="BK1417"/>
    </row>
    <row r="1418" spans="40:63" ht="12.75">
      <c r="AN1418"/>
      <c r="AO1418" s="293"/>
      <c r="AP1418"/>
      <c r="AQ1418" s="145"/>
      <c r="AR1418"/>
      <c r="AS1418"/>
      <c r="AT1418"/>
      <c r="AU1418"/>
      <c r="AV1418"/>
      <c r="AW1418"/>
      <c r="AX1418"/>
      <c r="AY1418"/>
      <c r="AZ1418"/>
      <c r="BA1418"/>
      <c r="BB1418"/>
      <c r="BC1418" s="578"/>
      <c r="BD1418" s="578"/>
      <c r="BE1418"/>
      <c r="BF1418"/>
      <c r="BG1418"/>
      <c r="BH1418"/>
      <c r="BI1418"/>
      <c r="BJ1418"/>
      <c r="BK1418"/>
    </row>
    <row r="1419" spans="40:63" ht="12.75">
      <c r="AN1419"/>
      <c r="AO1419" s="293"/>
      <c r="AP1419"/>
      <c r="AQ1419" s="145"/>
      <c r="AR1419"/>
      <c r="AS1419"/>
      <c r="AT1419"/>
      <c r="AU1419"/>
      <c r="AV1419"/>
      <c r="AW1419"/>
      <c r="AX1419"/>
      <c r="AY1419"/>
      <c r="AZ1419"/>
      <c r="BA1419"/>
      <c r="BB1419"/>
      <c r="BC1419" s="578"/>
      <c r="BD1419" s="578"/>
      <c r="BE1419"/>
      <c r="BF1419"/>
      <c r="BG1419"/>
      <c r="BH1419"/>
      <c r="BI1419"/>
      <c r="BJ1419"/>
      <c r="BK1419"/>
    </row>
    <row r="1420" spans="40:63" ht="12.75">
      <c r="AN1420"/>
      <c r="AO1420" s="293"/>
      <c r="AP1420"/>
      <c r="AQ1420" s="145"/>
      <c r="AR1420"/>
      <c r="AS1420"/>
      <c r="AT1420"/>
      <c r="AU1420"/>
      <c r="AV1420"/>
      <c r="AW1420"/>
      <c r="AX1420"/>
      <c r="AY1420"/>
      <c r="AZ1420"/>
      <c r="BA1420"/>
      <c r="BB1420"/>
      <c r="BC1420" s="578"/>
      <c r="BD1420" s="578"/>
      <c r="BE1420"/>
      <c r="BF1420"/>
      <c r="BG1420"/>
      <c r="BH1420"/>
      <c r="BI1420"/>
      <c r="BJ1420"/>
      <c r="BK1420"/>
    </row>
    <row r="1421" spans="40:63" ht="12.75">
      <c r="AN1421"/>
      <c r="AO1421" s="293"/>
      <c r="AP1421"/>
      <c r="AQ1421" s="145"/>
      <c r="AR1421"/>
      <c r="AS1421"/>
      <c r="AT1421"/>
      <c r="AU1421"/>
      <c r="AV1421"/>
      <c r="AW1421"/>
      <c r="AX1421"/>
      <c r="AY1421"/>
      <c r="AZ1421"/>
      <c r="BA1421"/>
      <c r="BB1421"/>
      <c r="BC1421" s="578"/>
      <c r="BD1421" s="578"/>
      <c r="BE1421"/>
      <c r="BF1421"/>
      <c r="BG1421"/>
      <c r="BH1421"/>
      <c r="BI1421"/>
      <c r="BJ1421"/>
      <c r="BK1421"/>
    </row>
    <row r="1422" spans="40:63" ht="12.75">
      <c r="AN1422"/>
      <c r="AO1422" s="293"/>
      <c r="AP1422"/>
      <c r="AQ1422" s="145"/>
      <c r="AR1422"/>
      <c r="AS1422"/>
      <c r="AT1422"/>
      <c r="AU1422"/>
      <c r="AV1422"/>
      <c r="AW1422"/>
      <c r="AX1422"/>
      <c r="AY1422"/>
      <c r="AZ1422"/>
      <c r="BA1422"/>
      <c r="BB1422"/>
      <c r="BC1422" s="578"/>
      <c r="BD1422" s="578"/>
      <c r="BE1422"/>
      <c r="BF1422"/>
      <c r="BG1422"/>
      <c r="BH1422"/>
      <c r="BI1422"/>
      <c r="BJ1422"/>
      <c r="BK1422"/>
    </row>
    <row r="1423" spans="40:63" ht="12.75">
      <c r="AN1423"/>
      <c r="AO1423" s="293"/>
      <c r="AP1423"/>
      <c r="AQ1423" s="145"/>
      <c r="AR1423"/>
      <c r="AS1423"/>
      <c r="AT1423"/>
      <c r="AU1423"/>
      <c r="AV1423"/>
      <c r="AW1423"/>
      <c r="AX1423"/>
      <c r="AY1423"/>
      <c r="AZ1423"/>
      <c r="BA1423"/>
      <c r="BB1423"/>
      <c r="BC1423" s="578"/>
      <c r="BD1423" s="578"/>
      <c r="BE1423"/>
      <c r="BF1423"/>
      <c r="BG1423"/>
      <c r="BH1423"/>
      <c r="BI1423"/>
      <c r="BJ1423"/>
      <c r="BK1423"/>
    </row>
    <row r="1424" spans="40:63" ht="12.75">
      <c r="AN1424"/>
      <c r="AO1424" s="293"/>
      <c r="AP1424"/>
      <c r="AQ1424" s="145"/>
      <c r="AR1424"/>
      <c r="AS1424"/>
      <c r="AT1424"/>
      <c r="AU1424"/>
      <c r="AV1424"/>
      <c r="AW1424"/>
      <c r="AX1424"/>
      <c r="AY1424"/>
      <c r="AZ1424"/>
      <c r="BA1424"/>
      <c r="BB1424"/>
      <c r="BC1424" s="578"/>
      <c r="BD1424" s="578"/>
      <c r="BE1424"/>
      <c r="BF1424"/>
      <c r="BG1424"/>
      <c r="BH1424"/>
      <c r="BI1424"/>
      <c r="BJ1424"/>
      <c r="BK1424"/>
    </row>
    <row r="1425" spans="40:63" ht="12.75">
      <c r="AN1425"/>
      <c r="AO1425" s="293"/>
      <c r="AP1425"/>
      <c r="AQ1425" s="145"/>
      <c r="AR1425"/>
      <c r="AS1425"/>
      <c r="AT1425"/>
      <c r="AU1425"/>
      <c r="AV1425"/>
      <c r="AW1425"/>
      <c r="AX1425"/>
      <c r="AY1425"/>
      <c r="AZ1425"/>
      <c r="BA1425"/>
      <c r="BB1425"/>
      <c r="BC1425" s="578"/>
      <c r="BD1425" s="578"/>
      <c r="BE1425"/>
      <c r="BF1425"/>
      <c r="BG1425"/>
      <c r="BH1425"/>
      <c r="BI1425"/>
      <c r="BJ1425"/>
      <c r="BK1425"/>
    </row>
    <row r="1426" spans="40:63" ht="12.75">
      <c r="AN1426"/>
      <c r="AO1426" s="293"/>
      <c r="AP1426"/>
      <c r="AQ1426" s="145"/>
      <c r="AR1426"/>
      <c r="AS1426"/>
      <c r="AT1426"/>
      <c r="AU1426"/>
      <c r="AV1426"/>
      <c r="AW1426"/>
      <c r="AX1426"/>
      <c r="AY1426"/>
      <c r="AZ1426"/>
      <c r="BA1426"/>
      <c r="BB1426"/>
      <c r="BC1426" s="578"/>
      <c r="BD1426" s="578"/>
      <c r="BE1426"/>
      <c r="BF1426"/>
      <c r="BG1426"/>
      <c r="BH1426"/>
      <c r="BI1426"/>
      <c r="BJ1426"/>
      <c r="BK1426"/>
    </row>
    <row r="1427" spans="40:63" ht="12.75">
      <c r="AN1427"/>
      <c r="AO1427" s="293"/>
      <c r="AP1427"/>
      <c r="AQ1427" s="145"/>
      <c r="AR1427"/>
      <c r="AS1427"/>
      <c r="AT1427"/>
      <c r="AU1427"/>
      <c r="AV1427"/>
      <c r="AW1427"/>
      <c r="AX1427"/>
      <c r="AY1427"/>
      <c r="AZ1427"/>
      <c r="BA1427"/>
      <c r="BB1427"/>
      <c r="BC1427" s="578"/>
      <c r="BD1427" s="578"/>
      <c r="BE1427"/>
      <c r="BF1427"/>
      <c r="BG1427"/>
      <c r="BH1427"/>
      <c r="BI1427"/>
      <c r="BJ1427"/>
      <c r="BK1427"/>
    </row>
    <row r="1428" spans="40:63" ht="12.75">
      <c r="AN1428"/>
      <c r="AO1428" s="293"/>
      <c r="AP1428"/>
      <c r="AQ1428" s="145"/>
      <c r="AR1428"/>
      <c r="AS1428"/>
      <c r="AT1428"/>
      <c r="AU1428"/>
      <c r="AV1428"/>
      <c r="AW1428"/>
      <c r="AX1428"/>
      <c r="AY1428"/>
      <c r="AZ1428"/>
      <c r="BA1428"/>
      <c r="BB1428"/>
      <c r="BC1428" s="578"/>
      <c r="BD1428" s="578"/>
      <c r="BE1428"/>
      <c r="BF1428"/>
      <c r="BG1428"/>
      <c r="BH1428"/>
      <c r="BI1428"/>
      <c r="BJ1428"/>
      <c r="BK1428"/>
    </row>
    <row r="1429" spans="40:63" ht="12.75">
      <c r="AN1429"/>
      <c r="AO1429" s="293"/>
      <c r="AP1429"/>
      <c r="AQ1429" s="145"/>
      <c r="AR1429"/>
      <c r="AS1429"/>
      <c r="AT1429"/>
      <c r="AU1429"/>
      <c r="AV1429"/>
      <c r="AW1429"/>
      <c r="AX1429"/>
      <c r="AY1429"/>
      <c r="AZ1429"/>
      <c r="BA1429"/>
      <c r="BB1429"/>
      <c r="BC1429" s="578"/>
      <c r="BD1429" s="578"/>
      <c r="BE1429"/>
      <c r="BF1429"/>
      <c r="BG1429"/>
      <c r="BH1429"/>
      <c r="BI1429"/>
      <c r="BJ1429"/>
      <c r="BK1429"/>
    </row>
    <row r="1430" spans="40:63" ht="12.75">
      <c r="AN1430"/>
      <c r="AO1430" s="293"/>
      <c r="AP1430"/>
      <c r="AQ1430" s="145"/>
      <c r="AR1430"/>
      <c r="AS1430"/>
      <c r="AT1430"/>
      <c r="AU1430"/>
      <c r="AV1430"/>
      <c r="AW1430"/>
      <c r="AX1430"/>
      <c r="AY1430"/>
      <c r="AZ1430"/>
      <c r="BA1430"/>
      <c r="BB1430"/>
      <c r="BC1430" s="578"/>
      <c r="BD1430" s="578"/>
      <c r="BE1430"/>
      <c r="BF1430"/>
      <c r="BG1430"/>
      <c r="BH1430"/>
      <c r="BI1430"/>
      <c r="BJ1430"/>
      <c r="BK1430"/>
    </row>
    <row r="1431" spans="40:63" ht="12.75">
      <c r="AN1431"/>
      <c r="AO1431" s="293"/>
      <c r="AP1431"/>
      <c r="AQ1431" s="145"/>
      <c r="AR1431"/>
      <c r="AS1431"/>
      <c r="AT1431"/>
      <c r="AU1431"/>
      <c r="AV1431"/>
      <c r="AW1431"/>
      <c r="AX1431"/>
      <c r="AY1431"/>
      <c r="AZ1431"/>
      <c r="BA1431"/>
      <c r="BB1431"/>
      <c r="BC1431" s="578"/>
      <c r="BD1431" s="578"/>
      <c r="BE1431"/>
      <c r="BF1431"/>
      <c r="BG1431"/>
      <c r="BH1431"/>
      <c r="BI1431"/>
      <c r="BJ1431"/>
      <c r="BK1431"/>
    </row>
    <row r="1432" spans="40:63" ht="12.75">
      <c r="AN1432"/>
      <c r="AO1432" s="293"/>
      <c r="AP1432"/>
      <c r="AQ1432" s="145"/>
      <c r="AR1432"/>
      <c r="AS1432"/>
      <c r="AT1432"/>
      <c r="AU1432"/>
      <c r="AV1432"/>
      <c r="AW1432"/>
      <c r="AX1432"/>
      <c r="AY1432"/>
      <c r="AZ1432"/>
      <c r="BA1432"/>
      <c r="BB1432"/>
      <c r="BC1432" s="578"/>
      <c r="BD1432" s="578"/>
      <c r="BE1432"/>
      <c r="BF1432"/>
      <c r="BG1432"/>
      <c r="BH1432"/>
      <c r="BI1432"/>
      <c r="BJ1432"/>
      <c r="BK1432"/>
    </row>
    <row r="1433" spans="40:63" ht="12.75">
      <c r="AN1433"/>
      <c r="AO1433" s="293"/>
      <c r="AP1433"/>
      <c r="AQ1433" s="145"/>
      <c r="AR1433"/>
      <c r="AS1433"/>
      <c r="AT1433"/>
      <c r="AU1433"/>
      <c r="AV1433"/>
      <c r="AW1433"/>
      <c r="AX1433"/>
      <c r="AY1433"/>
      <c r="AZ1433"/>
      <c r="BA1433"/>
      <c r="BB1433"/>
      <c r="BC1433" s="578"/>
      <c r="BD1433" s="578"/>
      <c r="BE1433"/>
      <c r="BF1433"/>
      <c r="BG1433"/>
      <c r="BH1433"/>
      <c r="BI1433"/>
      <c r="BJ1433"/>
      <c r="BK1433"/>
    </row>
    <row r="1434" spans="40:63" ht="12.75">
      <c r="AN1434"/>
      <c r="AO1434" s="293"/>
      <c r="AP1434"/>
      <c r="AQ1434" s="145"/>
      <c r="AR1434"/>
      <c r="AS1434"/>
      <c r="AT1434"/>
      <c r="AU1434"/>
      <c r="AV1434"/>
      <c r="AW1434"/>
      <c r="AX1434"/>
      <c r="AY1434"/>
      <c r="AZ1434"/>
      <c r="BA1434"/>
      <c r="BB1434"/>
      <c r="BC1434" s="578"/>
      <c r="BD1434" s="578"/>
      <c r="BE1434"/>
      <c r="BF1434"/>
      <c r="BG1434"/>
      <c r="BH1434"/>
      <c r="BI1434"/>
      <c r="BJ1434"/>
      <c r="BK1434"/>
    </row>
    <row r="1435" spans="40:63" ht="12.75">
      <c r="AN1435"/>
      <c r="AO1435" s="293"/>
      <c r="AP1435"/>
      <c r="AQ1435" s="145"/>
      <c r="AR1435"/>
      <c r="AS1435"/>
      <c r="AT1435"/>
      <c r="AU1435"/>
      <c r="AV1435"/>
      <c r="AW1435"/>
      <c r="AX1435"/>
      <c r="AY1435"/>
      <c r="AZ1435"/>
      <c r="BA1435"/>
      <c r="BB1435"/>
      <c r="BC1435" s="578"/>
      <c r="BD1435" s="578"/>
      <c r="BE1435"/>
      <c r="BF1435"/>
      <c r="BG1435"/>
      <c r="BH1435"/>
      <c r="BI1435"/>
      <c r="BJ1435"/>
      <c r="BK1435"/>
    </row>
    <row r="1436" spans="40:63" ht="12.75">
      <c r="AN1436"/>
      <c r="AO1436" s="293"/>
      <c r="AP1436"/>
      <c r="AQ1436" s="145"/>
      <c r="AR1436"/>
      <c r="AS1436"/>
      <c r="AT1436"/>
      <c r="AU1436"/>
      <c r="AV1436"/>
      <c r="AW1436"/>
      <c r="AX1436"/>
      <c r="AY1436"/>
      <c r="AZ1436"/>
      <c r="BA1436"/>
      <c r="BB1436"/>
      <c r="BC1436" s="578"/>
      <c r="BD1436" s="578"/>
      <c r="BE1436"/>
      <c r="BF1436"/>
      <c r="BG1436"/>
      <c r="BH1436"/>
      <c r="BI1436"/>
      <c r="BJ1436"/>
      <c r="BK1436"/>
    </row>
    <row r="1437" spans="40:63" ht="12.75">
      <c r="AN1437"/>
      <c r="AO1437" s="293"/>
      <c r="AP1437"/>
      <c r="AQ1437" s="145"/>
      <c r="AR1437"/>
      <c r="AS1437"/>
      <c r="AT1437"/>
      <c r="AU1437"/>
      <c r="AV1437"/>
      <c r="AW1437"/>
      <c r="AX1437"/>
      <c r="AY1437"/>
      <c r="AZ1437"/>
      <c r="BA1437"/>
      <c r="BB1437"/>
      <c r="BC1437" s="578"/>
      <c r="BD1437" s="578"/>
      <c r="BE1437"/>
      <c r="BF1437"/>
      <c r="BG1437"/>
      <c r="BH1437"/>
      <c r="BI1437"/>
      <c r="BJ1437"/>
      <c r="BK1437"/>
    </row>
    <row r="1438" spans="40:63" ht="12.75">
      <c r="AN1438"/>
      <c r="AO1438" s="293"/>
      <c r="AP1438"/>
      <c r="AQ1438" s="145"/>
      <c r="AR1438"/>
      <c r="AS1438"/>
      <c r="AT1438"/>
      <c r="AU1438"/>
      <c r="AV1438"/>
      <c r="AW1438"/>
      <c r="AX1438"/>
      <c r="AY1438"/>
      <c r="AZ1438"/>
      <c r="BA1438"/>
      <c r="BB1438"/>
      <c r="BC1438" s="578"/>
      <c r="BD1438" s="578"/>
      <c r="BE1438"/>
      <c r="BF1438"/>
      <c r="BG1438"/>
      <c r="BH1438"/>
      <c r="BI1438"/>
      <c r="BJ1438"/>
      <c r="BK1438"/>
    </row>
    <row r="1439" spans="40:63" ht="12.75">
      <c r="AN1439"/>
      <c r="AO1439" s="293"/>
      <c r="AP1439"/>
      <c r="AQ1439" s="145"/>
      <c r="AR1439"/>
      <c r="AS1439"/>
      <c r="AT1439"/>
      <c r="AU1439"/>
      <c r="AV1439"/>
      <c r="AW1439"/>
      <c r="AX1439"/>
      <c r="AY1439"/>
      <c r="AZ1439"/>
      <c r="BA1439"/>
      <c r="BB1439"/>
      <c r="BC1439" s="578"/>
      <c r="BD1439" s="578"/>
      <c r="BE1439"/>
      <c r="BF1439"/>
      <c r="BG1439"/>
      <c r="BH1439"/>
      <c r="BI1439"/>
      <c r="BJ1439"/>
      <c r="BK1439"/>
    </row>
    <row r="1440" spans="40:63" ht="12.75">
      <c r="AN1440"/>
      <c r="AO1440" s="293"/>
      <c r="AP1440"/>
      <c r="AQ1440" s="145"/>
      <c r="AR1440"/>
      <c r="AS1440"/>
      <c r="AT1440"/>
      <c r="AU1440"/>
      <c r="AV1440"/>
      <c r="AW1440"/>
      <c r="AX1440"/>
      <c r="AY1440"/>
      <c r="AZ1440"/>
      <c r="BA1440"/>
      <c r="BB1440"/>
      <c r="BC1440" s="578"/>
      <c r="BD1440" s="578"/>
      <c r="BE1440"/>
      <c r="BF1440"/>
      <c r="BG1440"/>
      <c r="BH1440"/>
      <c r="BI1440"/>
      <c r="BJ1440"/>
      <c r="BK1440"/>
    </row>
    <row r="1441" spans="40:63" ht="12.75">
      <c r="AN1441"/>
      <c r="AO1441" s="293"/>
      <c r="AP1441"/>
      <c r="AQ1441" s="145"/>
      <c r="AR1441"/>
      <c r="AS1441"/>
      <c r="AT1441"/>
      <c r="AU1441"/>
      <c r="AV1441"/>
      <c r="AW1441"/>
      <c r="AX1441"/>
      <c r="AY1441"/>
      <c r="AZ1441"/>
      <c r="BA1441"/>
      <c r="BB1441"/>
      <c r="BC1441" s="578"/>
      <c r="BD1441" s="578"/>
      <c r="BE1441"/>
      <c r="BF1441"/>
      <c r="BG1441"/>
      <c r="BH1441"/>
      <c r="BI1441"/>
      <c r="BJ1441"/>
      <c r="BK1441"/>
    </row>
    <row r="1442" spans="40:63" ht="12.75">
      <c r="AN1442"/>
      <c r="AO1442" s="293"/>
      <c r="AP1442"/>
      <c r="AQ1442" s="145"/>
      <c r="AR1442"/>
      <c r="AS1442"/>
      <c r="AT1442"/>
      <c r="AU1442"/>
      <c r="AV1442"/>
      <c r="AW1442"/>
      <c r="AX1442"/>
      <c r="AY1442"/>
      <c r="AZ1442"/>
      <c r="BA1442"/>
      <c r="BB1442"/>
      <c r="BC1442" s="578"/>
      <c r="BD1442" s="578"/>
      <c r="BE1442"/>
      <c r="BF1442"/>
      <c r="BG1442"/>
      <c r="BH1442"/>
      <c r="BI1442"/>
      <c r="BJ1442"/>
      <c r="BK1442"/>
    </row>
    <row r="1443" spans="40:63" ht="12.75">
      <c r="AN1443"/>
      <c r="AO1443" s="293"/>
      <c r="AP1443"/>
      <c r="AQ1443" s="145"/>
      <c r="AR1443"/>
      <c r="AS1443"/>
      <c r="AT1443"/>
      <c r="AU1443"/>
      <c r="AV1443"/>
      <c r="AW1443"/>
      <c r="AX1443"/>
      <c r="AY1443"/>
      <c r="AZ1443"/>
      <c r="BA1443"/>
      <c r="BB1443"/>
      <c r="BC1443" s="578"/>
      <c r="BD1443" s="578"/>
      <c r="BE1443"/>
      <c r="BF1443"/>
      <c r="BG1443"/>
      <c r="BH1443"/>
      <c r="BI1443"/>
      <c r="BJ1443"/>
      <c r="BK1443"/>
    </row>
    <row r="1444" spans="40:63" ht="12.75">
      <c r="AN1444"/>
      <c r="AO1444" s="293"/>
      <c r="AP1444"/>
      <c r="AQ1444" s="145"/>
      <c r="AR1444"/>
      <c r="AS1444"/>
      <c r="AT1444"/>
      <c r="AU1444"/>
      <c r="AV1444"/>
      <c r="AW1444"/>
      <c r="AX1444"/>
      <c r="AY1444"/>
      <c r="AZ1444"/>
      <c r="BA1444"/>
      <c r="BB1444"/>
      <c r="BC1444" s="578"/>
      <c r="BD1444" s="578"/>
      <c r="BE1444"/>
      <c r="BF1444"/>
      <c r="BG1444"/>
      <c r="BH1444"/>
      <c r="BI1444"/>
      <c r="BJ1444"/>
      <c r="BK1444"/>
    </row>
    <row r="1445" spans="40:63" ht="12.75">
      <c r="AN1445"/>
      <c r="AO1445" s="293"/>
      <c r="AP1445"/>
      <c r="AQ1445" s="145"/>
      <c r="AR1445"/>
      <c r="AS1445"/>
      <c r="AT1445"/>
      <c r="AU1445"/>
      <c r="AV1445"/>
      <c r="AW1445"/>
      <c r="AX1445"/>
      <c r="AY1445"/>
      <c r="AZ1445"/>
      <c r="BA1445"/>
      <c r="BB1445"/>
      <c r="BC1445" s="578"/>
      <c r="BD1445" s="578"/>
      <c r="BE1445"/>
      <c r="BF1445"/>
      <c r="BG1445"/>
      <c r="BH1445"/>
      <c r="BI1445"/>
      <c r="BJ1445"/>
      <c r="BK1445"/>
    </row>
    <row r="1446" spans="40:63" ht="12.75">
      <c r="AN1446"/>
      <c r="AO1446" s="293"/>
      <c r="AP1446"/>
      <c r="AQ1446" s="145"/>
      <c r="AR1446"/>
      <c r="AS1446"/>
      <c r="AT1446"/>
      <c r="AU1446"/>
      <c r="AV1446"/>
      <c r="AW1446"/>
      <c r="AX1446"/>
      <c r="AY1446"/>
      <c r="AZ1446"/>
      <c r="BA1446"/>
      <c r="BB1446"/>
      <c r="BC1446" s="578"/>
      <c r="BD1446" s="578"/>
      <c r="BE1446"/>
      <c r="BF1446"/>
      <c r="BG1446"/>
      <c r="BH1446"/>
      <c r="BI1446"/>
      <c r="BJ1446"/>
      <c r="BK1446"/>
    </row>
    <row r="1447" spans="40:63" ht="12.75">
      <c r="AN1447"/>
      <c r="AO1447" s="293"/>
      <c r="AP1447"/>
      <c r="AQ1447" s="145"/>
      <c r="AR1447"/>
      <c r="AS1447"/>
      <c r="AT1447"/>
      <c r="AU1447"/>
      <c r="AV1447"/>
      <c r="AW1447"/>
      <c r="AX1447"/>
      <c r="AY1447"/>
      <c r="AZ1447"/>
      <c r="BA1447"/>
      <c r="BB1447"/>
      <c r="BC1447" s="578"/>
      <c r="BD1447" s="578"/>
      <c r="BE1447"/>
      <c r="BF1447"/>
      <c r="BG1447"/>
      <c r="BH1447"/>
      <c r="BI1447"/>
      <c r="BJ1447"/>
      <c r="BK1447"/>
    </row>
    <row r="1448" spans="40:63" ht="12.75">
      <c r="AN1448"/>
      <c r="AO1448" s="293"/>
      <c r="AP1448"/>
      <c r="AQ1448" s="145"/>
      <c r="AR1448"/>
      <c r="AS1448"/>
      <c r="AT1448"/>
      <c r="AU1448"/>
      <c r="AV1448"/>
      <c r="AW1448"/>
      <c r="AX1448"/>
      <c r="AY1448"/>
      <c r="AZ1448"/>
      <c r="BA1448"/>
      <c r="BB1448"/>
      <c r="BC1448" s="578"/>
      <c r="BD1448" s="578"/>
      <c r="BE1448"/>
      <c r="BF1448"/>
      <c r="BG1448"/>
      <c r="BH1448"/>
      <c r="BI1448"/>
      <c r="BJ1448"/>
      <c r="BK1448"/>
    </row>
    <row r="1449" spans="40:63" ht="12.75">
      <c r="AN1449"/>
      <c r="AO1449" s="293"/>
      <c r="AP1449"/>
      <c r="AQ1449" s="145"/>
      <c r="AR1449"/>
      <c r="AS1449"/>
      <c r="AT1449"/>
      <c r="AU1449"/>
      <c r="AV1449"/>
      <c r="AW1449"/>
      <c r="AX1449"/>
      <c r="AY1449"/>
      <c r="AZ1449"/>
      <c r="BA1449"/>
      <c r="BB1449"/>
      <c r="BC1449" s="578"/>
      <c r="BD1449" s="578"/>
      <c r="BE1449"/>
      <c r="BF1449"/>
      <c r="BG1449"/>
      <c r="BH1449"/>
      <c r="BI1449"/>
      <c r="BJ1449"/>
      <c r="BK1449"/>
    </row>
    <row r="1450" spans="40:63" ht="12.75">
      <c r="AN1450"/>
      <c r="AO1450" s="293"/>
      <c r="AP1450"/>
      <c r="AQ1450" s="145"/>
      <c r="AR1450"/>
      <c r="AS1450"/>
      <c r="AT1450"/>
      <c r="AU1450"/>
      <c r="AV1450"/>
      <c r="AW1450"/>
      <c r="AX1450"/>
      <c r="AY1450"/>
      <c r="AZ1450"/>
      <c r="BA1450"/>
      <c r="BB1450"/>
      <c r="BC1450" s="578"/>
      <c r="BD1450" s="578"/>
      <c r="BE1450"/>
      <c r="BF1450"/>
      <c r="BG1450"/>
      <c r="BH1450"/>
      <c r="BI1450"/>
      <c r="BJ1450"/>
      <c r="BK1450"/>
    </row>
    <row r="1451" spans="40:63" ht="12.75">
      <c r="AN1451"/>
      <c r="AO1451" s="293"/>
      <c r="AP1451"/>
      <c r="AQ1451" s="145"/>
      <c r="AR1451"/>
      <c r="AS1451"/>
      <c r="AT1451"/>
      <c r="AU1451"/>
      <c r="AV1451"/>
      <c r="AW1451"/>
      <c r="AX1451"/>
      <c r="AY1451"/>
      <c r="AZ1451"/>
      <c r="BA1451"/>
      <c r="BB1451"/>
      <c r="BC1451" s="578"/>
      <c r="BD1451" s="578"/>
      <c r="BE1451"/>
      <c r="BF1451"/>
      <c r="BG1451"/>
      <c r="BH1451"/>
      <c r="BI1451"/>
      <c r="BJ1451"/>
      <c r="BK1451"/>
    </row>
    <row r="1452" spans="40:63" ht="12.75">
      <c r="AN1452"/>
      <c r="AO1452" s="293"/>
      <c r="AP1452"/>
      <c r="AQ1452" s="145"/>
      <c r="AR1452"/>
      <c r="AS1452"/>
      <c r="AT1452"/>
      <c r="AU1452"/>
      <c r="AV1452"/>
      <c r="AW1452"/>
      <c r="AX1452"/>
      <c r="AY1452"/>
      <c r="AZ1452"/>
      <c r="BA1452"/>
      <c r="BB1452"/>
      <c r="BC1452" s="578"/>
      <c r="BD1452" s="578"/>
      <c r="BE1452"/>
      <c r="BF1452"/>
      <c r="BG1452"/>
      <c r="BH1452"/>
      <c r="BI1452"/>
      <c r="BJ1452"/>
      <c r="BK1452"/>
    </row>
    <row r="1453" spans="40:63" ht="12.75">
      <c r="AN1453"/>
      <c r="AO1453" s="293"/>
      <c r="AP1453"/>
      <c r="AQ1453" s="145"/>
      <c r="AR1453"/>
      <c r="AS1453"/>
      <c r="AT1453"/>
      <c r="AU1453"/>
      <c r="AV1453"/>
      <c r="AW1453"/>
      <c r="AX1453"/>
      <c r="AY1453"/>
      <c r="AZ1453"/>
      <c r="BA1453"/>
      <c r="BB1453"/>
      <c r="BC1453" s="578"/>
      <c r="BD1453" s="578"/>
      <c r="BE1453"/>
      <c r="BF1453"/>
      <c r="BG1453"/>
      <c r="BH1453"/>
      <c r="BI1453"/>
      <c r="BJ1453"/>
      <c r="BK1453"/>
    </row>
    <row r="1454" spans="40:63" ht="12.75">
      <c r="AN1454"/>
      <c r="AO1454" s="293"/>
      <c r="AP1454"/>
      <c r="AQ1454" s="145"/>
      <c r="AR1454"/>
      <c r="AS1454"/>
      <c r="AT1454"/>
      <c r="AU1454"/>
      <c r="AV1454"/>
      <c r="AW1454"/>
      <c r="AX1454"/>
      <c r="AY1454"/>
      <c r="AZ1454"/>
      <c r="BA1454"/>
      <c r="BB1454"/>
      <c r="BC1454" s="578"/>
      <c r="BD1454" s="578"/>
      <c r="BE1454"/>
      <c r="BF1454"/>
      <c r="BG1454"/>
      <c r="BH1454"/>
      <c r="BI1454"/>
      <c r="BJ1454"/>
      <c r="BK1454"/>
    </row>
    <row r="1455" spans="40:63" ht="12.75">
      <c r="AN1455"/>
      <c r="AO1455" s="293"/>
      <c r="AP1455"/>
      <c r="AQ1455" s="145"/>
      <c r="AR1455"/>
      <c r="AS1455"/>
      <c r="AT1455"/>
      <c r="AU1455"/>
      <c r="AV1455"/>
      <c r="AW1455"/>
      <c r="AX1455"/>
      <c r="AY1455"/>
      <c r="AZ1455"/>
      <c r="BA1455"/>
      <c r="BB1455"/>
      <c r="BC1455" s="578"/>
      <c r="BD1455" s="578"/>
      <c r="BE1455"/>
      <c r="BF1455"/>
      <c r="BG1455"/>
      <c r="BH1455"/>
      <c r="BI1455"/>
      <c r="BJ1455"/>
      <c r="BK1455"/>
    </row>
    <row r="1456" spans="40:63" ht="12.75">
      <c r="AN1456"/>
      <c r="AO1456" s="293"/>
      <c r="AP1456"/>
      <c r="AQ1456" s="145"/>
      <c r="AR1456"/>
      <c r="AS1456"/>
      <c r="AT1456"/>
      <c r="AU1456"/>
      <c r="AV1456"/>
      <c r="AW1456"/>
      <c r="AX1456"/>
      <c r="AY1456"/>
      <c r="AZ1456"/>
      <c r="BA1456"/>
      <c r="BB1456"/>
      <c r="BC1456" s="578"/>
      <c r="BD1456" s="578"/>
      <c r="BE1456"/>
      <c r="BF1456"/>
      <c r="BG1456"/>
      <c r="BH1456"/>
      <c r="BI1456"/>
      <c r="BJ1456"/>
      <c r="BK1456"/>
    </row>
    <row r="1457" spans="40:63" ht="12.75">
      <c r="AN1457"/>
      <c r="AO1457" s="293"/>
      <c r="AP1457"/>
      <c r="AQ1457" s="145"/>
      <c r="AR1457"/>
      <c r="AS1457"/>
      <c r="AT1457"/>
      <c r="AU1457"/>
      <c r="AV1457"/>
      <c r="AW1457"/>
      <c r="AX1457"/>
      <c r="AY1457"/>
      <c r="AZ1457"/>
      <c r="BA1457"/>
      <c r="BB1457"/>
      <c r="BC1457" s="578"/>
      <c r="BD1457" s="578"/>
      <c r="BE1457"/>
      <c r="BF1457"/>
      <c r="BG1457"/>
      <c r="BH1457"/>
      <c r="BI1457"/>
      <c r="BJ1457"/>
      <c r="BK1457"/>
    </row>
    <row r="1458" spans="40:63" ht="12.75">
      <c r="AN1458"/>
      <c r="AO1458" s="293"/>
      <c r="AP1458"/>
      <c r="AQ1458" s="145"/>
      <c r="AR1458"/>
      <c r="AS1458"/>
      <c r="AT1458"/>
      <c r="AU1458"/>
      <c r="AV1458"/>
      <c r="AW1458"/>
      <c r="AX1458"/>
      <c r="AY1458"/>
      <c r="AZ1458"/>
      <c r="BA1458"/>
      <c r="BB1458"/>
      <c r="BC1458" s="578"/>
      <c r="BD1458" s="578"/>
      <c r="BE1458"/>
      <c r="BF1458"/>
      <c r="BG1458"/>
      <c r="BH1458"/>
      <c r="BI1458"/>
      <c r="BJ1458"/>
      <c r="BK1458"/>
    </row>
    <row r="1459" spans="40:63" ht="12.75">
      <c r="AN1459"/>
      <c r="AO1459" s="293"/>
      <c r="AP1459"/>
      <c r="AQ1459" s="145"/>
      <c r="AR1459"/>
      <c r="AS1459"/>
      <c r="AT1459"/>
      <c r="AU1459"/>
      <c r="AV1459"/>
      <c r="AW1459"/>
      <c r="AX1459"/>
      <c r="AY1459"/>
      <c r="AZ1459"/>
      <c r="BA1459"/>
      <c r="BB1459"/>
      <c r="BC1459" s="578"/>
      <c r="BD1459" s="578"/>
      <c r="BE1459"/>
      <c r="BF1459"/>
      <c r="BG1459"/>
      <c r="BH1459"/>
      <c r="BI1459"/>
      <c r="BJ1459"/>
      <c r="BK1459"/>
    </row>
    <row r="1460" spans="40:63" ht="12.75">
      <c r="AN1460"/>
      <c r="AO1460" s="293"/>
      <c r="AP1460"/>
      <c r="AQ1460" s="145"/>
      <c r="AR1460"/>
      <c r="AS1460"/>
      <c r="AT1460"/>
      <c r="AU1460"/>
      <c r="AV1460"/>
      <c r="AW1460"/>
      <c r="AX1460"/>
      <c r="AY1460"/>
      <c r="AZ1460"/>
      <c r="BA1460"/>
      <c r="BB1460"/>
      <c r="BC1460" s="578"/>
      <c r="BD1460" s="578"/>
      <c r="BE1460"/>
      <c r="BF1460"/>
      <c r="BG1460"/>
      <c r="BH1460"/>
      <c r="BI1460"/>
      <c r="BJ1460"/>
      <c r="BK1460"/>
    </row>
    <row r="1461" spans="40:63" ht="12.75">
      <c r="AN1461"/>
      <c r="AO1461" s="293"/>
      <c r="AP1461"/>
      <c r="AQ1461" s="145"/>
      <c r="AR1461"/>
      <c r="AS1461"/>
      <c r="AT1461"/>
      <c r="AU1461"/>
      <c r="AV1461"/>
      <c r="AW1461"/>
      <c r="AX1461"/>
      <c r="AY1461"/>
      <c r="AZ1461"/>
      <c r="BA1461"/>
      <c r="BB1461"/>
      <c r="BC1461" s="578"/>
      <c r="BD1461" s="578"/>
      <c r="BE1461"/>
      <c r="BF1461"/>
      <c r="BG1461"/>
      <c r="BH1461"/>
      <c r="BI1461"/>
      <c r="BJ1461"/>
      <c r="BK1461"/>
    </row>
    <row r="1462" spans="40:63" ht="12.75">
      <c r="AN1462"/>
      <c r="AO1462" s="293"/>
      <c r="AP1462"/>
      <c r="AQ1462" s="145"/>
      <c r="AR1462"/>
      <c r="AS1462"/>
      <c r="AT1462"/>
      <c r="AU1462"/>
      <c r="AV1462"/>
      <c r="AW1462"/>
      <c r="AX1462"/>
      <c r="AY1462"/>
      <c r="AZ1462"/>
      <c r="BA1462"/>
      <c r="BB1462"/>
      <c r="BC1462" s="578"/>
      <c r="BD1462" s="578"/>
      <c r="BE1462"/>
      <c r="BF1462"/>
      <c r="BG1462"/>
      <c r="BH1462"/>
      <c r="BI1462"/>
      <c r="BJ1462"/>
      <c r="BK1462"/>
    </row>
    <row r="1463" spans="40:63" ht="12.75">
      <c r="AN1463"/>
      <c r="AO1463" s="293"/>
      <c r="AP1463"/>
      <c r="AQ1463" s="145"/>
      <c r="AR1463"/>
      <c r="AS1463"/>
      <c r="AT1463"/>
      <c r="AU1463"/>
      <c r="AV1463"/>
      <c r="AW1463"/>
      <c r="AX1463"/>
      <c r="AY1463"/>
      <c r="AZ1463"/>
      <c r="BA1463"/>
      <c r="BB1463"/>
      <c r="BC1463" s="578"/>
      <c r="BD1463" s="578"/>
      <c r="BE1463"/>
      <c r="BF1463"/>
      <c r="BG1463"/>
      <c r="BH1463"/>
      <c r="BI1463"/>
      <c r="BJ1463"/>
      <c r="BK1463"/>
    </row>
    <row r="1464" spans="40:63" ht="12.75">
      <c r="AN1464"/>
      <c r="AO1464" s="293"/>
      <c r="AP1464"/>
      <c r="AQ1464" s="145"/>
      <c r="AR1464"/>
      <c r="AS1464"/>
      <c r="AT1464"/>
      <c r="AU1464"/>
      <c r="AV1464"/>
      <c r="AW1464"/>
      <c r="AX1464"/>
      <c r="AY1464"/>
      <c r="AZ1464"/>
      <c r="BA1464"/>
      <c r="BB1464"/>
      <c r="BC1464" s="578"/>
      <c r="BD1464" s="578"/>
      <c r="BE1464"/>
      <c r="BF1464"/>
      <c r="BG1464"/>
      <c r="BH1464"/>
      <c r="BI1464"/>
      <c r="BJ1464"/>
      <c r="BK1464"/>
    </row>
    <row r="1465" spans="40:63" ht="12.75">
      <c r="AN1465"/>
      <c r="AO1465" s="293"/>
      <c r="AP1465"/>
      <c r="AQ1465" s="145"/>
      <c r="AR1465"/>
      <c r="AS1465"/>
      <c r="AT1465"/>
      <c r="AU1465"/>
      <c r="AV1465"/>
      <c r="AW1465"/>
      <c r="AX1465"/>
      <c r="AY1465"/>
      <c r="AZ1465"/>
      <c r="BA1465"/>
      <c r="BB1465"/>
      <c r="BC1465" s="578"/>
      <c r="BD1465" s="578"/>
      <c r="BE1465"/>
      <c r="BF1465"/>
      <c r="BG1465"/>
      <c r="BH1465"/>
      <c r="BI1465"/>
      <c r="BJ1465"/>
      <c r="BK1465"/>
    </row>
    <row r="1466" spans="40:63" ht="12.75">
      <c r="AN1466"/>
      <c r="AO1466" s="293"/>
      <c r="AP1466"/>
      <c r="AQ1466" s="145"/>
      <c r="AR1466"/>
      <c r="AS1466"/>
      <c r="AT1466"/>
      <c r="AU1466"/>
      <c r="AV1466"/>
      <c r="AW1466"/>
      <c r="AX1466"/>
      <c r="AY1466"/>
      <c r="AZ1466"/>
      <c r="BA1466"/>
      <c r="BB1466"/>
      <c r="BC1466" s="578"/>
      <c r="BD1466" s="578"/>
      <c r="BE1466"/>
      <c r="BF1466"/>
      <c r="BG1466"/>
      <c r="BH1466"/>
      <c r="BI1466"/>
      <c r="BJ1466"/>
      <c r="BK1466"/>
    </row>
    <row r="1467" spans="40:63" ht="12.75">
      <c r="AN1467"/>
      <c r="AO1467" s="293"/>
      <c r="AP1467"/>
      <c r="AQ1467" s="145"/>
      <c r="AR1467"/>
      <c r="AS1467"/>
      <c r="AT1467"/>
      <c r="AU1467"/>
      <c r="AV1467"/>
      <c r="AW1467"/>
      <c r="AX1467"/>
      <c r="AY1467"/>
      <c r="AZ1467"/>
      <c r="BA1467"/>
      <c r="BB1467"/>
      <c r="BC1467" s="578"/>
      <c r="BD1467" s="578"/>
      <c r="BE1467"/>
      <c r="BF1467"/>
      <c r="BG1467"/>
      <c r="BH1467"/>
      <c r="BI1467"/>
      <c r="BJ1467"/>
      <c r="BK1467"/>
    </row>
    <row r="1468" spans="40:63" ht="12.75">
      <c r="AN1468"/>
      <c r="AO1468" s="293"/>
      <c r="AP1468"/>
      <c r="AQ1468" s="145"/>
      <c r="AR1468"/>
      <c r="AS1468"/>
      <c r="AT1468"/>
      <c r="AU1468"/>
      <c r="AV1468"/>
      <c r="AW1468"/>
      <c r="AX1468"/>
      <c r="AY1468"/>
      <c r="AZ1468"/>
      <c r="BA1468"/>
      <c r="BB1468"/>
      <c r="BC1468" s="578"/>
      <c r="BD1468" s="578"/>
      <c r="BE1468"/>
      <c r="BF1468"/>
      <c r="BG1468"/>
      <c r="BH1468"/>
      <c r="BI1468"/>
      <c r="BJ1468"/>
      <c r="BK1468"/>
    </row>
    <row r="1469" spans="40:63" ht="12.75">
      <c r="AN1469"/>
      <c r="AO1469" s="293"/>
      <c r="AP1469"/>
      <c r="AQ1469" s="145"/>
      <c r="AR1469"/>
      <c r="AS1469"/>
      <c r="AT1469"/>
      <c r="AU1469"/>
      <c r="AV1469"/>
      <c r="AW1469"/>
      <c r="AX1469"/>
      <c r="AY1469"/>
      <c r="AZ1469"/>
      <c r="BA1469"/>
      <c r="BB1469"/>
      <c r="BC1469" s="578"/>
      <c r="BD1469" s="578"/>
      <c r="BE1469"/>
      <c r="BF1469"/>
      <c r="BG1469"/>
      <c r="BH1469"/>
      <c r="BI1469"/>
      <c r="BJ1469"/>
      <c r="BK1469"/>
    </row>
    <row r="1470" spans="40:63" ht="12.75">
      <c r="AN1470"/>
      <c r="AO1470" s="293"/>
      <c r="AP1470"/>
      <c r="AQ1470" s="145"/>
      <c r="AR1470"/>
      <c r="AS1470"/>
      <c r="AT1470"/>
      <c r="AU1470"/>
      <c r="AV1470"/>
      <c r="AW1470"/>
      <c r="AX1470"/>
      <c r="AY1470"/>
      <c r="AZ1470"/>
      <c r="BA1470"/>
      <c r="BB1470"/>
      <c r="BC1470" s="578"/>
      <c r="BD1470" s="578"/>
      <c r="BE1470"/>
      <c r="BF1470"/>
      <c r="BG1470"/>
      <c r="BH1470"/>
      <c r="BI1470"/>
      <c r="BJ1470"/>
      <c r="BK1470"/>
    </row>
    <row r="1471" spans="40:63" ht="12.75">
      <c r="AN1471"/>
      <c r="AO1471" s="293"/>
      <c r="AP1471"/>
      <c r="AQ1471" s="145"/>
      <c r="AR1471"/>
      <c r="AS1471"/>
      <c r="AT1471"/>
      <c r="AU1471"/>
      <c r="AV1471"/>
      <c r="AW1471"/>
      <c r="AX1471"/>
      <c r="AY1471"/>
      <c r="AZ1471"/>
      <c r="BA1471"/>
      <c r="BB1471"/>
      <c r="BC1471" s="578"/>
      <c r="BD1471" s="578"/>
      <c r="BE1471"/>
      <c r="BF1471"/>
      <c r="BG1471"/>
      <c r="BH1471"/>
      <c r="BI1471"/>
      <c r="BJ1471"/>
      <c r="BK1471"/>
    </row>
    <row r="1472" spans="40:63" ht="12.75">
      <c r="AN1472"/>
      <c r="AO1472" s="293"/>
      <c r="AP1472"/>
      <c r="AQ1472" s="145"/>
      <c r="AR1472"/>
      <c r="AS1472"/>
      <c r="AT1472"/>
      <c r="AU1472"/>
      <c r="AV1472"/>
      <c r="AW1472"/>
      <c r="AX1472"/>
      <c r="AY1472"/>
      <c r="AZ1472"/>
      <c r="BA1472"/>
      <c r="BB1472"/>
      <c r="BC1472" s="578"/>
      <c r="BD1472" s="578"/>
      <c r="BE1472"/>
      <c r="BF1472"/>
      <c r="BG1472"/>
      <c r="BH1472"/>
      <c r="BI1472"/>
      <c r="BJ1472"/>
      <c r="BK1472"/>
    </row>
    <row r="1473" spans="40:63" ht="12.75">
      <c r="AN1473"/>
      <c r="AO1473" s="293"/>
      <c r="AP1473"/>
      <c r="AQ1473" s="145"/>
      <c r="AR1473"/>
      <c r="AS1473"/>
      <c r="AT1473"/>
      <c r="AU1473"/>
      <c r="AV1473"/>
      <c r="AW1473"/>
      <c r="AX1473"/>
      <c r="AY1473"/>
      <c r="AZ1473"/>
      <c r="BA1473"/>
      <c r="BB1473"/>
      <c r="BC1473" s="578"/>
      <c r="BD1473" s="578"/>
      <c r="BE1473"/>
      <c r="BF1473"/>
      <c r="BG1473"/>
      <c r="BH1473"/>
      <c r="BI1473"/>
      <c r="BJ1473"/>
      <c r="BK1473"/>
    </row>
    <row r="1474" spans="40:63" ht="12.75">
      <c r="AN1474"/>
      <c r="AO1474" s="293"/>
      <c r="AP1474"/>
      <c r="AQ1474" s="145"/>
      <c r="AR1474"/>
      <c r="AS1474"/>
      <c r="AT1474"/>
      <c r="AU1474"/>
      <c r="AV1474"/>
      <c r="AW1474"/>
      <c r="AX1474"/>
      <c r="AY1474"/>
      <c r="AZ1474"/>
      <c r="BA1474"/>
      <c r="BB1474"/>
      <c r="BC1474" s="578"/>
      <c r="BD1474" s="578"/>
      <c r="BE1474"/>
      <c r="BF1474"/>
      <c r="BG1474"/>
      <c r="BH1474"/>
      <c r="BI1474"/>
      <c r="BJ1474"/>
      <c r="BK1474"/>
    </row>
    <row r="1475" spans="40:63" ht="12.75">
      <c r="AN1475"/>
      <c r="AO1475" s="293"/>
      <c r="AP1475"/>
      <c r="AQ1475" s="145"/>
      <c r="AR1475"/>
      <c r="AS1475"/>
      <c r="AT1475"/>
      <c r="AU1475"/>
      <c r="AV1475"/>
      <c r="AW1475"/>
      <c r="AX1475"/>
      <c r="AY1475"/>
      <c r="AZ1475"/>
      <c r="BA1475"/>
      <c r="BB1475"/>
      <c r="BC1475" s="578"/>
      <c r="BD1475" s="578"/>
      <c r="BE1475"/>
      <c r="BF1475"/>
      <c r="BG1475"/>
      <c r="BH1475"/>
      <c r="BI1475"/>
      <c r="BJ1475"/>
      <c r="BK1475"/>
    </row>
    <row r="1476" spans="40:63" ht="12.75">
      <c r="AN1476"/>
      <c r="AO1476" s="293"/>
      <c r="AP1476"/>
      <c r="AQ1476" s="145"/>
      <c r="AR1476"/>
      <c r="AS1476"/>
      <c r="AT1476"/>
      <c r="AU1476"/>
      <c r="AV1476"/>
      <c r="AW1476"/>
      <c r="AX1476"/>
      <c r="AY1476"/>
      <c r="AZ1476"/>
      <c r="BA1476"/>
      <c r="BB1476"/>
      <c r="BC1476" s="578"/>
      <c r="BD1476" s="578"/>
      <c r="BE1476"/>
      <c r="BF1476"/>
      <c r="BG1476"/>
      <c r="BH1476"/>
      <c r="BI1476"/>
      <c r="BJ1476"/>
      <c r="BK1476"/>
    </row>
    <row r="1477" spans="40:63" ht="12.75">
      <c r="AN1477"/>
      <c r="AO1477" s="293"/>
      <c r="AP1477"/>
      <c r="AQ1477" s="145"/>
      <c r="AR1477"/>
      <c r="AS1477"/>
      <c r="AT1477"/>
      <c r="AU1477"/>
      <c r="AV1477"/>
      <c r="AW1477"/>
      <c r="AX1477"/>
      <c r="AY1477"/>
      <c r="AZ1477"/>
      <c r="BA1477"/>
      <c r="BB1477"/>
      <c r="BC1477" s="578"/>
      <c r="BD1477" s="578"/>
      <c r="BE1477"/>
      <c r="BF1477"/>
      <c r="BG1477"/>
      <c r="BH1477"/>
      <c r="BI1477"/>
      <c r="BJ1477"/>
      <c r="BK1477"/>
    </row>
    <row r="1478" spans="40:63" ht="12.75">
      <c r="AN1478"/>
      <c r="AO1478" s="293"/>
      <c r="AP1478"/>
      <c r="AQ1478" s="145"/>
      <c r="AR1478"/>
      <c r="AS1478"/>
      <c r="AT1478"/>
      <c r="AU1478"/>
      <c r="AV1478"/>
      <c r="AW1478"/>
      <c r="AX1478"/>
      <c r="AY1478"/>
      <c r="AZ1478"/>
      <c r="BA1478"/>
      <c r="BB1478"/>
      <c r="BC1478" s="578"/>
      <c r="BD1478" s="578"/>
      <c r="BE1478"/>
      <c r="BF1478"/>
      <c r="BG1478"/>
      <c r="BH1478"/>
      <c r="BI1478"/>
      <c r="BJ1478"/>
      <c r="BK1478"/>
    </row>
    <row r="1479" spans="40:63" ht="12.75">
      <c r="AN1479"/>
      <c r="AO1479" s="293"/>
      <c r="AP1479"/>
      <c r="AQ1479" s="145"/>
      <c r="AR1479"/>
      <c r="AS1479"/>
      <c r="AT1479"/>
      <c r="AU1479"/>
      <c r="AV1479"/>
      <c r="AW1479"/>
      <c r="AX1479"/>
      <c r="AY1479"/>
      <c r="AZ1479"/>
      <c r="BA1479"/>
      <c r="BB1479"/>
      <c r="BC1479" s="578"/>
      <c r="BD1479" s="578"/>
      <c r="BE1479"/>
      <c r="BF1479"/>
      <c r="BG1479"/>
      <c r="BH1479"/>
      <c r="BI1479"/>
      <c r="BJ1479"/>
      <c r="BK1479"/>
    </row>
    <row r="1480" spans="40:63" ht="12.75">
      <c r="AN1480"/>
      <c r="AO1480" s="293"/>
      <c r="AP1480"/>
      <c r="AQ1480" s="145"/>
      <c r="AR1480"/>
      <c r="AS1480"/>
      <c r="AT1480"/>
      <c r="AU1480"/>
      <c r="AV1480"/>
      <c r="AW1480"/>
      <c r="AX1480"/>
      <c r="AY1480"/>
      <c r="AZ1480"/>
      <c r="BA1480"/>
      <c r="BB1480"/>
      <c r="BC1480" s="578"/>
      <c r="BD1480" s="578"/>
      <c r="BE1480"/>
      <c r="BF1480"/>
      <c r="BG1480"/>
      <c r="BH1480"/>
      <c r="BI1480"/>
      <c r="BJ1480"/>
      <c r="BK1480"/>
    </row>
    <row r="1481" spans="40:63" ht="12.75">
      <c r="AN1481"/>
      <c r="AO1481" s="293"/>
      <c r="AP1481"/>
      <c r="AQ1481" s="145"/>
      <c r="AR1481"/>
      <c r="AS1481"/>
      <c r="AT1481"/>
      <c r="AU1481"/>
      <c r="AV1481"/>
      <c r="AW1481"/>
      <c r="AX1481"/>
      <c r="AY1481"/>
      <c r="AZ1481"/>
      <c r="BA1481"/>
      <c r="BB1481"/>
      <c r="BC1481" s="578"/>
      <c r="BD1481" s="578"/>
      <c r="BE1481"/>
      <c r="BF1481"/>
      <c r="BG1481"/>
      <c r="BH1481"/>
      <c r="BI1481"/>
      <c r="BJ1481"/>
      <c r="BK1481"/>
    </row>
    <row r="1482" spans="40:63" ht="12.75">
      <c r="AN1482"/>
      <c r="AO1482" s="293"/>
      <c r="AP1482"/>
      <c r="AQ1482" s="145"/>
      <c r="AR1482"/>
      <c r="AS1482"/>
      <c r="AT1482"/>
      <c r="AU1482"/>
      <c r="AV1482"/>
      <c r="AW1482"/>
      <c r="AX1482"/>
      <c r="AY1482"/>
      <c r="AZ1482"/>
      <c r="BA1482"/>
      <c r="BB1482"/>
      <c r="BC1482" s="578"/>
      <c r="BD1482" s="578"/>
      <c r="BE1482"/>
      <c r="BF1482"/>
      <c r="BG1482"/>
      <c r="BH1482"/>
      <c r="BI1482"/>
      <c r="BJ1482"/>
      <c r="BK1482"/>
    </row>
    <row r="1483" spans="40:63" ht="12.75">
      <c r="AN1483"/>
      <c r="AO1483" s="293"/>
      <c r="AP1483"/>
      <c r="AQ1483" s="145"/>
      <c r="AR1483"/>
      <c r="AS1483"/>
      <c r="AT1483"/>
      <c r="AU1483"/>
      <c r="AV1483"/>
      <c r="AW1483"/>
      <c r="AX1483"/>
      <c r="AY1483"/>
      <c r="AZ1483"/>
      <c r="BA1483"/>
      <c r="BB1483"/>
      <c r="BC1483" s="578"/>
      <c r="BD1483" s="578"/>
      <c r="BE1483"/>
      <c r="BF1483"/>
      <c r="BG1483"/>
      <c r="BH1483"/>
      <c r="BI1483"/>
      <c r="BJ1483"/>
      <c r="BK1483"/>
    </row>
    <row r="1484" spans="40:63" ht="12.75">
      <c r="AN1484"/>
      <c r="AO1484" s="293"/>
      <c r="AP1484"/>
      <c r="AQ1484" s="145"/>
      <c r="AR1484"/>
      <c r="AS1484"/>
      <c r="AT1484"/>
      <c r="AU1484"/>
      <c r="AV1484"/>
      <c r="AW1484"/>
      <c r="AX1484"/>
      <c r="AY1484"/>
      <c r="AZ1484"/>
      <c r="BA1484"/>
      <c r="BB1484"/>
      <c r="BC1484" s="578"/>
      <c r="BD1484" s="578"/>
      <c r="BE1484"/>
      <c r="BF1484"/>
      <c r="BG1484"/>
      <c r="BH1484"/>
      <c r="BI1484"/>
      <c r="BJ1484"/>
      <c r="BK1484"/>
    </row>
    <row r="1485" spans="40:63" ht="12.75">
      <c r="AN1485"/>
      <c r="AO1485" s="293"/>
      <c r="AP1485"/>
      <c r="AQ1485" s="145"/>
      <c r="AR1485"/>
      <c r="AS1485"/>
      <c r="AT1485"/>
      <c r="AU1485"/>
      <c r="AV1485"/>
      <c r="AW1485"/>
      <c r="AX1485"/>
      <c r="AY1485"/>
      <c r="AZ1485"/>
      <c r="BA1485"/>
      <c r="BB1485"/>
      <c r="BC1485" s="578"/>
      <c r="BD1485" s="578"/>
      <c r="BE1485"/>
      <c r="BF1485"/>
      <c r="BG1485"/>
      <c r="BH1485"/>
      <c r="BI1485"/>
      <c r="BJ1485"/>
      <c r="BK1485"/>
    </row>
    <row r="1486" spans="40:63" ht="12.75">
      <c r="AN1486"/>
      <c r="AO1486" s="293"/>
      <c r="AP1486"/>
      <c r="AQ1486" s="145"/>
      <c r="AR1486"/>
      <c r="AS1486"/>
      <c r="AT1486"/>
      <c r="AU1486"/>
      <c r="AV1486"/>
      <c r="AW1486"/>
      <c r="AX1486"/>
      <c r="AY1486"/>
      <c r="AZ1486"/>
      <c r="BA1486"/>
      <c r="BB1486"/>
      <c r="BC1486" s="578"/>
      <c r="BD1486" s="578"/>
      <c r="BE1486"/>
      <c r="BF1486"/>
      <c r="BG1486"/>
      <c r="BH1486"/>
      <c r="BI1486"/>
      <c r="BJ1486"/>
      <c r="BK1486"/>
    </row>
    <row r="1487" spans="40:63" ht="12.75">
      <c r="AN1487"/>
      <c r="AO1487" s="293"/>
      <c r="AP1487"/>
      <c r="AQ1487" s="145"/>
      <c r="AR1487"/>
      <c r="AS1487"/>
      <c r="AT1487"/>
      <c r="AU1487"/>
      <c r="AV1487"/>
      <c r="AW1487"/>
      <c r="AX1487"/>
      <c r="AY1487"/>
      <c r="AZ1487"/>
      <c r="BA1487"/>
      <c r="BB1487"/>
      <c r="BC1487" s="578"/>
      <c r="BD1487" s="578"/>
      <c r="BE1487"/>
      <c r="BF1487"/>
      <c r="BG1487"/>
      <c r="BH1487"/>
      <c r="BI1487"/>
      <c r="BJ1487"/>
      <c r="BK1487"/>
    </row>
    <row r="1488" spans="40:63" ht="12.75">
      <c r="AN1488"/>
      <c r="AO1488" s="293"/>
      <c r="AP1488"/>
      <c r="AQ1488" s="145"/>
      <c r="AR1488"/>
      <c r="AS1488"/>
      <c r="AT1488"/>
      <c r="AU1488"/>
      <c r="AV1488"/>
      <c r="AW1488"/>
      <c r="AX1488"/>
      <c r="AY1488"/>
      <c r="AZ1488"/>
      <c r="BA1488"/>
      <c r="BB1488"/>
      <c r="BC1488" s="578"/>
      <c r="BD1488" s="578"/>
      <c r="BE1488"/>
      <c r="BF1488"/>
      <c r="BG1488"/>
      <c r="BH1488"/>
      <c r="BI1488"/>
      <c r="BJ1488"/>
      <c r="BK1488"/>
    </row>
    <row r="1489" spans="40:63" ht="12.75">
      <c r="AN1489"/>
      <c r="AO1489" s="293"/>
      <c r="AP1489"/>
      <c r="AQ1489" s="145"/>
      <c r="AR1489"/>
      <c r="AS1489"/>
      <c r="AT1489"/>
      <c r="AU1489"/>
      <c r="AV1489"/>
      <c r="AW1489"/>
      <c r="AX1489"/>
      <c r="AY1489"/>
      <c r="AZ1489"/>
      <c r="BA1489"/>
      <c r="BB1489"/>
      <c r="BC1489" s="578"/>
      <c r="BD1489" s="578"/>
      <c r="BE1489"/>
      <c r="BF1489"/>
      <c r="BG1489"/>
      <c r="BH1489"/>
      <c r="BI1489"/>
      <c r="BJ1489"/>
      <c r="BK1489"/>
    </row>
    <row r="1490" spans="40:63" ht="12.75">
      <c r="AN1490"/>
      <c r="AO1490" s="293"/>
      <c r="AP1490"/>
      <c r="AQ1490" s="145"/>
      <c r="AR1490"/>
      <c r="AS1490"/>
      <c r="AT1490"/>
      <c r="AU1490"/>
      <c r="AV1490"/>
      <c r="AW1490"/>
      <c r="AX1490"/>
      <c r="AY1490"/>
      <c r="AZ1490"/>
      <c r="BA1490"/>
      <c r="BB1490"/>
      <c r="BC1490" s="578"/>
      <c r="BD1490" s="578"/>
      <c r="BE1490"/>
      <c r="BF1490"/>
      <c r="BG1490"/>
      <c r="BH1490"/>
      <c r="BI1490"/>
      <c r="BJ1490"/>
      <c r="BK1490"/>
    </row>
    <row r="1491" spans="40:63" ht="12.75">
      <c r="AN1491"/>
      <c r="AO1491" s="293"/>
      <c r="AP1491"/>
      <c r="AQ1491" s="145"/>
      <c r="AR1491"/>
      <c r="AS1491"/>
      <c r="AT1491"/>
      <c r="AU1491"/>
      <c r="AV1491"/>
      <c r="AW1491"/>
      <c r="AX1491"/>
      <c r="AY1491"/>
      <c r="AZ1491"/>
      <c r="BA1491"/>
      <c r="BB1491"/>
      <c r="BC1491" s="578"/>
      <c r="BD1491" s="578"/>
      <c r="BE1491"/>
      <c r="BF1491"/>
      <c r="BG1491"/>
      <c r="BH1491"/>
      <c r="BI1491"/>
      <c r="BJ1491"/>
      <c r="BK1491"/>
    </row>
    <row r="1492" spans="40:63" ht="12.75">
      <c r="AN1492"/>
      <c r="AO1492" s="293"/>
      <c r="AP1492"/>
      <c r="AQ1492" s="145"/>
      <c r="AR1492"/>
      <c r="AS1492"/>
      <c r="AT1492"/>
      <c r="AU1492"/>
      <c r="AV1492"/>
      <c r="AW1492"/>
      <c r="AX1492"/>
      <c r="AY1492"/>
      <c r="AZ1492"/>
      <c r="BA1492"/>
      <c r="BB1492"/>
      <c r="BC1492" s="578"/>
      <c r="BD1492" s="578"/>
      <c r="BE1492"/>
      <c r="BF1492"/>
      <c r="BG1492"/>
      <c r="BH1492"/>
      <c r="BI1492"/>
      <c r="BJ1492"/>
      <c r="BK1492"/>
    </row>
    <row r="1493" spans="40:63" ht="12.75">
      <c r="AN1493"/>
      <c r="AO1493" s="293"/>
      <c r="AP1493"/>
      <c r="AQ1493" s="145"/>
      <c r="AR1493"/>
      <c r="AS1493"/>
      <c r="AT1493"/>
      <c r="AU1493"/>
      <c r="AV1493"/>
      <c r="AW1493"/>
      <c r="AX1493"/>
      <c r="AY1493"/>
      <c r="AZ1493"/>
      <c r="BA1493"/>
      <c r="BB1493"/>
      <c r="BC1493" s="578"/>
      <c r="BD1493" s="578"/>
      <c r="BE1493"/>
      <c r="BF1493"/>
      <c r="BG1493"/>
      <c r="BH1493"/>
      <c r="BI1493"/>
      <c r="BJ1493"/>
      <c r="BK1493"/>
    </row>
    <row r="1494" spans="40:63" ht="12.75">
      <c r="AN1494"/>
      <c r="AO1494" s="293"/>
      <c r="AP1494"/>
      <c r="AQ1494" s="145"/>
      <c r="AR1494"/>
      <c r="AS1494"/>
      <c r="AT1494"/>
      <c r="AU1494"/>
      <c r="AV1494"/>
      <c r="AW1494"/>
      <c r="AX1494"/>
      <c r="AY1494"/>
      <c r="AZ1494"/>
      <c r="BA1494"/>
      <c r="BB1494"/>
      <c r="BC1494" s="578"/>
      <c r="BD1494" s="578"/>
      <c r="BE1494"/>
      <c r="BF1494"/>
      <c r="BG1494"/>
      <c r="BH1494"/>
      <c r="BI1494"/>
      <c r="BJ1494"/>
      <c r="BK1494"/>
    </row>
    <row r="1495" spans="40:63" ht="12.75">
      <c r="AN1495"/>
      <c r="AO1495" s="293"/>
      <c r="AP1495"/>
      <c r="AQ1495" s="145"/>
      <c r="AR1495"/>
      <c r="AS1495"/>
      <c r="AT1495"/>
      <c r="AU1495"/>
      <c r="AV1495"/>
      <c r="AW1495"/>
      <c r="AX1495"/>
      <c r="AY1495"/>
      <c r="AZ1495"/>
      <c r="BA1495"/>
      <c r="BB1495"/>
      <c r="BC1495" s="578"/>
      <c r="BD1495" s="578"/>
      <c r="BE1495"/>
      <c r="BF1495"/>
      <c r="BG1495"/>
      <c r="BH1495"/>
      <c r="BI1495"/>
      <c r="BJ1495"/>
      <c r="BK1495"/>
    </row>
    <row r="1496" spans="40:63" ht="12.75">
      <c r="AN1496"/>
      <c r="AO1496" s="293"/>
      <c r="AP1496"/>
      <c r="AQ1496" s="145"/>
      <c r="AR1496"/>
      <c r="AS1496"/>
      <c r="AT1496"/>
      <c r="AU1496"/>
      <c r="AV1496"/>
      <c r="AW1496"/>
      <c r="AX1496"/>
      <c r="AY1496"/>
      <c r="AZ1496"/>
      <c r="BA1496"/>
      <c r="BB1496"/>
      <c r="BC1496" s="578"/>
      <c r="BD1496" s="578"/>
      <c r="BE1496"/>
      <c r="BF1496"/>
      <c r="BG1496"/>
      <c r="BH1496"/>
      <c r="BI1496"/>
      <c r="BJ1496"/>
      <c r="BK1496"/>
    </row>
    <row r="1497" spans="40:63" ht="12.75">
      <c r="AN1497"/>
      <c r="AO1497" s="293"/>
      <c r="AP1497"/>
      <c r="AQ1497" s="145"/>
      <c r="AR1497"/>
      <c r="AS1497"/>
      <c r="AT1497"/>
      <c r="AU1497"/>
      <c r="AV1497"/>
      <c r="AW1497"/>
      <c r="AX1497"/>
      <c r="AY1497"/>
      <c r="AZ1497"/>
      <c r="BA1497"/>
      <c r="BB1497"/>
      <c r="BC1497" s="578"/>
      <c r="BD1497" s="578"/>
      <c r="BE1497"/>
      <c r="BF1497"/>
      <c r="BG1497"/>
      <c r="BH1497"/>
      <c r="BI1497"/>
      <c r="BJ1497"/>
      <c r="BK1497"/>
    </row>
    <row r="1498" spans="40:63" ht="12.75">
      <c r="AN1498"/>
      <c r="AO1498" s="293"/>
      <c r="AP1498"/>
      <c r="AQ1498" s="145"/>
      <c r="AR1498"/>
      <c r="AS1498"/>
      <c r="AT1498"/>
      <c r="AU1498"/>
      <c r="AV1498"/>
      <c r="AW1498"/>
      <c r="AX1498"/>
      <c r="AY1498"/>
      <c r="AZ1498"/>
      <c r="BA1498"/>
      <c r="BB1498"/>
      <c r="BC1498" s="578"/>
      <c r="BD1498" s="578"/>
      <c r="BE1498"/>
      <c r="BF1498"/>
      <c r="BG1498"/>
      <c r="BH1498"/>
      <c r="BI1498"/>
      <c r="BJ1498"/>
      <c r="BK1498"/>
    </row>
    <row r="1499" spans="40:63" ht="12.75">
      <c r="AN1499"/>
      <c r="AO1499" s="293"/>
      <c r="AP1499"/>
      <c r="AQ1499" s="145"/>
      <c r="AR1499"/>
      <c r="AS1499"/>
      <c r="AT1499"/>
      <c r="AU1499"/>
      <c r="AV1499"/>
      <c r="AW1499"/>
      <c r="AX1499"/>
      <c r="AY1499"/>
      <c r="AZ1499"/>
      <c r="BA1499"/>
      <c r="BB1499"/>
      <c r="BC1499" s="578"/>
      <c r="BD1499" s="578"/>
      <c r="BE1499"/>
      <c r="BF1499"/>
      <c r="BG1499"/>
      <c r="BH1499"/>
      <c r="BI1499"/>
      <c r="BJ1499"/>
      <c r="BK1499"/>
    </row>
    <row r="1500" spans="40:63" ht="12.75">
      <c r="AN1500"/>
      <c r="AO1500" s="293"/>
      <c r="AP1500"/>
      <c r="AQ1500" s="145"/>
      <c r="AR1500"/>
      <c r="AS1500"/>
      <c r="AT1500"/>
      <c r="AU1500"/>
      <c r="AV1500"/>
      <c r="AW1500"/>
      <c r="AX1500"/>
      <c r="AY1500"/>
      <c r="AZ1500"/>
      <c r="BA1500"/>
      <c r="BB1500"/>
      <c r="BC1500" s="578"/>
      <c r="BD1500" s="578"/>
      <c r="BE1500"/>
      <c r="BF1500"/>
      <c r="BG1500"/>
      <c r="BH1500"/>
      <c r="BI1500"/>
      <c r="BJ1500"/>
      <c r="BK1500"/>
    </row>
    <row r="1501" spans="40:63" ht="12.75">
      <c r="AN1501"/>
      <c r="AO1501" s="293"/>
      <c r="AP1501"/>
      <c r="AQ1501" s="145"/>
      <c r="AR1501"/>
      <c r="AS1501"/>
      <c r="AT1501"/>
      <c r="AU1501"/>
      <c r="AV1501"/>
      <c r="AW1501"/>
      <c r="AX1501"/>
      <c r="AY1501"/>
      <c r="AZ1501"/>
      <c r="BA1501"/>
      <c r="BB1501"/>
      <c r="BC1501" s="578"/>
      <c r="BD1501" s="578"/>
      <c r="BE1501"/>
      <c r="BF1501"/>
      <c r="BG1501"/>
      <c r="BH1501"/>
      <c r="BI1501"/>
      <c r="BJ1501"/>
      <c r="BK1501"/>
    </row>
    <row r="1502" spans="40:63" ht="12.75">
      <c r="AN1502"/>
      <c r="AO1502" s="293"/>
      <c r="AP1502"/>
      <c r="AQ1502" s="145"/>
      <c r="AR1502"/>
      <c r="AS1502"/>
      <c r="AT1502"/>
      <c r="AU1502"/>
      <c r="AV1502"/>
      <c r="AW1502"/>
      <c r="AX1502"/>
      <c r="AY1502"/>
      <c r="AZ1502"/>
      <c r="BA1502"/>
      <c r="BB1502"/>
      <c r="BC1502" s="578"/>
      <c r="BD1502" s="578"/>
      <c r="BE1502"/>
      <c r="BF1502"/>
      <c r="BG1502"/>
      <c r="BH1502"/>
      <c r="BI1502"/>
      <c r="BJ1502"/>
      <c r="BK1502"/>
    </row>
    <row r="1503" spans="40:63" ht="12.75">
      <c r="AN1503"/>
      <c r="AO1503" s="293"/>
      <c r="AP1503"/>
      <c r="AQ1503" s="145"/>
      <c r="AR1503"/>
      <c r="AS1503"/>
      <c r="AT1503"/>
      <c r="AU1503"/>
      <c r="AV1503"/>
      <c r="AW1503"/>
      <c r="AX1503"/>
      <c r="AY1503"/>
      <c r="AZ1503"/>
      <c r="BA1503"/>
      <c r="BB1503"/>
      <c r="BC1503" s="578"/>
      <c r="BD1503" s="578"/>
      <c r="BE1503"/>
      <c r="BF1503"/>
      <c r="BG1503"/>
      <c r="BH1503"/>
      <c r="BI1503"/>
      <c r="BJ1503"/>
      <c r="BK1503"/>
    </row>
    <row r="1504" spans="40:63" ht="12.75">
      <c r="AN1504"/>
      <c r="AO1504" s="293"/>
      <c r="AP1504"/>
      <c r="AQ1504" s="145"/>
      <c r="AR1504"/>
      <c r="AS1504"/>
      <c r="AT1504"/>
      <c r="AU1504"/>
      <c r="AV1504"/>
      <c r="AW1504"/>
      <c r="AX1504"/>
      <c r="AY1504"/>
      <c r="AZ1504"/>
      <c r="BA1504"/>
      <c r="BB1504"/>
      <c r="BC1504" s="578"/>
      <c r="BD1504" s="578"/>
      <c r="BE1504"/>
      <c r="BF1504"/>
      <c r="BG1504"/>
      <c r="BH1504"/>
      <c r="BI1504"/>
      <c r="BJ1504"/>
      <c r="BK1504"/>
    </row>
    <row r="1505" spans="40:63" ht="12.75">
      <c r="AN1505"/>
      <c r="AO1505" s="293"/>
      <c r="AP1505"/>
      <c r="AQ1505" s="145"/>
      <c r="AR1505"/>
      <c r="AS1505"/>
      <c r="AT1505"/>
      <c r="AU1505"/>
      <c r="AV1505"/>
      <c r="AW1505"/>
      <c r="AX1505"/>
      <c r="AY1505"/>
      <c r="AZ1505"/>
      <c r="BA1505"/>
      <c r="BB1505"/>
      <c r="BC1505" s="578"/>
      <c r="BD1505" s="578"/>
      <c r="BE1505"/>
      <c r="BF1505"/>
      <c r="BG1505"/>
      <c r="BH1505"/>
      <c r="BI1505"/>
      <c r="BJ1505"/>
      <c r="BK1505"/>
    </row>
    <row r="1506" spans="40:63" ht="12.75">
      <c r="AN1506"/>
      <c r="AO1506" s="293"/>
      <c r="AP1506"/>
      <c r="AQ1506" s="145"/>
      <c r="AR1506"/>
      <c r="AS1506"/>
      <c r="AT1506"/>
      <c r="AU1506"/>
      <c r="AV1506"/>
      <c r="AW1506"/>
      <c r="AX1506"/>
      <c r="AY1506"/>
      <c r="AZ1506"/>
      <c r="BA1506"/>
      <c r="BB1506"/>
      <c r="BC1506" s="578"/>
      <c r="BD1506" s="578"/>
      <c r="BE1506"/>
      <c r="BF1506"/>
      <c r="BG1506"/>
      <c r="BH1506"/>
      <c r="BI1506"/>
      <c r="BJ1506"/>
      <c r="BK1506"/>
    </row>
    <row r="1507" spans="40:63" ht="12.75">
      <c r="AN1507"/>
      <c r="AO1507" s="293"/>
      <c r="AP1507"/>
      <c r="AQ1507" s="145"/>
      <c r="AR1507"/>
      <c r="AS1507"/>
      <c r="AT1507"/>
      <c r="AU1507"/>
      <c r="AV1507"/>
      <c r="AW1507"/>
      <c r="AX1507"/>
      <c r="AY1507"/>
      <c r="AZ1507"/>
      <c r="BA1507"/>
      <c r="BB1507"/>
      <c r="BC1507" s="578"/>
      <c r="BD1507" s="578"/>
      <c r="BE1507"/>
      <c r="BF1507"/>
      <c r="BG1507"/>
      <c r="BH1507"/>
      <c r="BI1507"/>
      <c r="BJ1507"/>
      <c r="BK1507"/>
    </row>
    <row r="1508" spans="40:63" ht="12.75">
      <c r="AN1508"/>
      <c r="AO1508" s="293"/>
      <c r="AP1508"/>
      <c r="AQ1508" s="145"/>
      <c r="AR1508"/>
      <c r="AS1508"/>
      <c r="AT1508"/>
      <c r="AU1508"/>
      <c r="AV1508"/>
      <c r="AW1508"/>
      <c r="AX1508"/>
      <c r="AY1508"/>
      <c r="AZ1508"/>
      <c r="BA1508"/>
      <c r="BB1508"/>
      <c r="BC1508" s="578"/>
      <c r="BD1508" s="578"/>
      <c r="BE1508"/>
      <c r="BF1508"/>
      <c r="BG1508"/>
      <c r="BH1508"/>
      <c r="BI1508"/>
      <c r="BJ1508"/>
      <c r="BK1508"/>
    </row>
    <row r="1509" spans="40:63" ht="12.75">
      <c r="AN1509"/>
      <c r="AO1509" s="293"/>
      <c r="AP1509"/>
      <c r="AQ1509" s="145"/>
      <c r="AR1509"/>
      <c r="AS1509"/>
      <c r="AT1509"/>
      <c r="AU1509"/>
      <c r="AV1509"/>
      <c r="AW1509"/>
      <c r="AX1509"/>
      <c r="AY1509"/>
      <c r="AZ1509"/>
      <c r="BA1509"/>
      <c r="BB1509"/>
      <c r="BC1509" s="578"/>
      <c r="BD1509" s="578"/>
      <c r="BE1509"/>
      <c r="BF1509"/>
      <c r="BG1509"/>
      <c r="BH1509"/>
      <c r="BI1509"/>
      <c r="BJ1509"/>
      <c r="BK1509"/>
    </row>
    <row r="1510" spans="40:63" ht="12.75">
      <c r="AN1510"/>
      <c r="AO1510" s="293"/>
      <c r="AP1510"/>
      <c r="AQ1510" s="145"/>
      <c r="AR1510"/>
      <c r="AS1510"/>
      <c r="AT1510"/>
      <c r="AU1510"/>
      <c r="AV1510"/>
      <c r="AW1510"/>
      <c r="AX1510"/>
      <c r="AY1510"/>
      <c r="AZ1510"/>
      <c r="BA1510"/>
      <c r="BB1510"/>
      <c r="BC1510" s="578"/>
      <c r="BD1510" s="578"/>
      <c r="BE1510"/>
      <c r="BF1510"/>
      <c r="BG1510"/>
      <c r="BH1510"/>
      <c r="BI1510"/>
      <c r="BJ1510"/>
      <c r="BK1510"/>
    </row>
    <row r="1511" spans="40:63" ht="12.75">
      <c r="AN1511"/>
      <c r="AO1511" s="293"/>
      <c r="AP1511"/>
      <c r="AQ1511" s="145"/>
      <c r="AR1511"/>
      <c r="AS1511"/>
      <c r="AT1511"/>
      <c r="AU1511"/>
      <c r="AV1511"/>
      <c r="AW1511"/>
      <c r="AX1511"/>
      <c r="AY1511"/>
      <c r="AZ1511"/>
      <c r="BA1511"/>
      <c r="BB1511"/>
      <c r="BC1511" s="578"/>
      <c r="BD1511" s="578"/>
      <c r="BE1511"/>
      <c r="BF1511"/>
      <c r="BG1511"/>
      <c r="BH1511"/>
      <c r="BI1511"/>
      <c r="BJ1511"/>
      <c r="BK1511"/>
    </row>
    <row r="1512" spans="40:63" ht="12.75">
      <c r="AN1512"/>
      <c r="AO1512" s="293"/>
      <c r="AP1512"/>
      <c r="AQ1512" s="145"/>
      <c r="AR1512"/>
      <c r="AS1512"/>
      <c r="AT1512"/>
      <c r="AU1512"/>
      <c r="AV1512"/>
      <c r="AW1512"/>
      <c r="AX1512"/>
      <c r="AY1512"/>
      <c r="AZ1512"/>
      <c r="BA1512"/>
      <c r="BB1512"/>
      <c r="BC1512" s="578"/>
      <c r="BD1512" s="578"/>
      <c r="BE1512"/>
      <c r="BF1512"/>
      <c r="BG1512"/>
      <c r="BH1512"/>
      <c r="BI1512"/>
      <c r="BJ1512"/>
      <c r="BK1512"/>
    </row>
    <row r="1513" spans="40:63" ht="12.75">
      <c r="AN1513"/>
      <c r="AO1513" s="293"/>
      <c r="AP1513"/>
      <c r="AQ1513" s="145"/>
      <c r="AR1513"/>
      <c r="AS1513"/>
      <c r="AT1513"/>
      <c r="AU1513"/>
      <c r="AV1513"/>
      <c r="AW1513"/>
      <c r="AX1513"/>
      <c r="AY1513"/>
      <c r="AZ1513"/>
      <c r="BA1513"/>
      <c r="BB1513"/>
      <c r="BC1513" s="578"/>
      <c r="BD1513" s="578"/>
      <c r="BE1513"/>
      <c r="BF1513"/>
      <c r="BG1513"/>
      <c r="BH1513"/>
      <c r="BI1513"/>
      <c r="BJ1513"/>
      <c r="BK1513"/>
    </row>
    <row r="1514" spans="40:63" ht="12.75">
      <c r="AN1514"/>
      <c r="AO1514" s="293"/>
      <c r="AP1514"/>
      <c r="AQ1514" s="145"/>
      <c r="AR1514"/>
      <c r="AS1514"/>
      <c r="AT1514"/>
      <c r="AU1514"/>
      <c r="AV1514"/>
      <c r="AW1514"/>
      <c r="AX1514"/>
      <c r="AY1514"/>
      <c r="AZ1514"/>
      <c r="BA1514"/>
      <c r="BB1514"/>
      <c r="BC1514" s="578"/>
      <c r="BD1514" s="578"/>
      <c r="BE1514"/>
      <c r="BF1514"/>
      <c r="BG1514"/>
      <c r="BH1514"/>
      <c r="BI1514"/>
      <c r="BJ1514"/>
      <c r="BK1514"/>
    </row>
    <row r="1515" spans="40:63" ht="12.75">
      <c r="AN1515"/>
      <c r="AO1515" s="293"/>
      <c r="AP1515"/>
      <c r="AQ1515" s="145"/>
      <c r="AR1515"/>
      <c r="AS1515"/>
      <c r="AT1515"/>
      <c r="AU1515"/>
      <c r="AV1515"/>
      <c r="AW1515"/>
      <c r="AX1515"/>
      <c r="AY1515"/>
      <c r="AZ1515"/>
      <c r="BA1515"/>
      <c r="BB1515"/>
      <c r="BC1515" s="578"/>
      <c r="BD1515" s="578"/>
      <c r="BE1515"/>
      <c r="BF1515"/>
      <c r="BG1515"/>
      <c r="BH1515"/>
      <c r="BI1515"/>
      <c r="BJ1515"/>
      <c r="BK1515"/>
    </row>
    <row r="1516" spans="40:63" ht="12.75">
      <c r="AN1516"/>
      <c r="AO1516" s="293"/>
      <c r="AP1516"/>
      <c r="AQ1516" s="145"/>
      <c r="AR1516"/>
      <c r="AS1516"/>
      <c r="AT1516"/>
      <c r="AU1516"/>
      <c r="AV1516"/>
      <c r="AW1516"/>
      <c r="AX1516"/>
      <c r="AY1516"/>
      <c r="AZ1516"/>
      <c r="BA1516"/>
      <c r="BB1516"/>
      <c r="BC1516" s="578"/>
      <c r="BD1516" s="578"/>
      <c r="BE1516"/>
      <c r="BF1516"/>
      <c r="BG1516"/>
      <c r="BH1516"/>
      <c r="BI1516"/>
      <c r="BJ1516"/>
      <c r="BK1516"/>
    </row>
    <row r="1517" spans="40:63" ht="12.75">
      <c r="AN1517"/>
      <c r="AO1517" s="293"/>
      <c r="AP1517"/>
      <c r="AQ1517" s="145"/>
      <c r="AR1517"/>
      <c r="AS1517"/>
      <c r="AT1517"/>
      <c r="AU1517"/>
      <c r="AV1517"/>
      <c r="AW1517"/>
      <c r="AX1517"/>
      <c r="AY1517"/>
      <c r="AZ1517"/>
      <c r="BA1517"/>
      <c r="BB1517"/>
      <c r="BC1517" s="578"/>
      <c r="BD1517" s="578"/>
      <c r="BE1517"/>
      <c r="BF1517"/>
      <c r="BG1517"/>
      <c r="BH1517"/>
      <c r="BI1517"/>
      <c r="BJ1517"/>
      <c r="BK1517"/>
    </row>
    <row r="1518" spans="40:63" ht="12.75">
      <c r="AN1518"/>
      <c r="AO1518" s="293"/>
      <c r="AP1518"/>
      <c r="AQ1518" s="145"/>
      <c r="AR1518"/>
      <c r="AS1518"/>
      <c r="AT1518"/>
      <c r="AU1518"/>
      <c r="AV1518"/>
      <c r="AW1518"/>
      <c r="AX1518"/>
      <c r="AY1518"/>
      <c r="AZ1518"/>
      <c r="BA1518"/>
      <c r="BB1518"/>
      <c r="BC1518" s="578"/>
      <c r="BD1518" s="578"/>
      <c r="BE1518"/>
      <c r="BF1518"/>
      <c r="BG1518"/>
      <c r="BH1518"/>
      <c r="BI1518"/>
      <c r="BJ1518"/>
      <c r="BK1518"/>
    </row>
    <row r="1519" spans="40:63" ht="12.75">
      <c r="AN1519"/>
      <c r="AO1519" s="293"/>
      <c r="AP1519"/>
      <c r="AQ1519" s="145"/>
      <c r="AR1519"/>
      <c r="AS1519"/>
      <c r="AT1519"/>
      <c r="AU1519"/>
      <c r="AV1519"/>
      <c r="AW1519"/>
      <c r="AX1519"/>
      <c r="AY1519"/>
      <c r="AZ1519"/>
      <c r="BA1519"/>
      <c r="BB1519"/>
      <c r="BC1519" s="578"/>
      <c r="BD1519" s="578"/>
      <c r="BE1519"/>
      <c r="BF1519"/>
      <c r="BG1519"/>
      <c r="BH1519"/>
      <c r="BI1519"/>
      <c r="BJ1519"/>
      <c r="BK1519"/>
    </row>
    <row r="1520" spans="40:63" ht="12.75">
      <c r="AN1520"/>
      <c r="AO1520" s="293"/>
      <c r="AP1520"/>
      <c r="AQ1520" s="145"/>
      <c r="AR1520"/>
      <c r="AS1520"/>
      <c r="AT1520"/>
      <c r="AU1520"/>
      <c r="AV1520"/>
      <c r="AW1520"/>
      <c r="AX1520"/>
      <c r="AY1520"/>
      <c r="AZ1520"/>
      <c r="BA1520"/>
      <c r="BB1520"/>
      <c r="BC1520" s="578"/>
      <c r="BD1520" s="578"/>
      <c r="BE1520"/>
      <c r="BF1520"/>
      <c r="BG1520"/>
      <c r="BH1520"/>
      <c r="BI1520"/>
      <c r="BJ1520"/>
      <c r="BK1520"/>
    </row>
    <row r="1521" spans="40:63" ht="12.75">
      <c r="AN1521"/>
      <c r="AO1521" s="293"/>
      <c r="AP1521"/>
      <c r="AQ1521" s="145"/>
      <c r="AR1521"/>
      <c r="AS1521"/>
      <c r="AT1521"/>
      <c r="AU1521"/>
      <c r="AV1521"/>
      <c r="AW1521"/>
      <c r="AX1521"/>
      <c r="AY1521"/>
      <c r="AZ1521"/>
      <c r="BA1521"/>
      <c r="BB1521"/>
      <c r="BC1521" s="578"/>
      <c r="BD1521" s="578"/>
      <c r="BE1521"/>
      <c r="BF1521"/>
      <c r="BG1521"/>
      <c r="BH1521"/>
      <c r="BI1521"/>
      <c r="BJ1521"/>
      <c r="BK1521"/>
    </row>
    <row r="1522" spans="40:63" ht="12.75">
      <c r="AN1522"/>
      <c r="AO1522" s="293"/>
      <c r="AP1522"/>
      <c r="AQ1522" s="145"/>
      <c r="AR1522"/>
      <c r="AS1522"/>
      <c r="AT1522"/>
      <c r="AU1522"/>
      <c r="AV1522"/>
      <c r="AW1522"/>
      <c r="AX1522"/>
      <c r="AY1522"/>
      <c r="AZ1522"/>
      <c r="BA1522"/>
      <c r="BB1522"/>
      <c r="BC1522" s="578"/>
      <c r="BD1522" s="578"/>
      <c r="BE1522"/>
      <c r="BF1522"/>
      <c r="BG1522"/>
      <c r="BH1522"/>
      <c r="BI1522"/>
      <c r="BJ1522"/>
      <c r="BK1522"/>
    </row>
    <row r="1523" spans="40:63" ht="12.75">
      <c r="AN1523"/>
      <c r="AO1523" s="293"/>
      <c r="AP1523"/>
      <c r="AQ1523" s="145"/>
      <c r="AR1523"/>
      <c r="AS1523"/>
      <c r="AT1523"/>
      <c r="AU1523"/>
      <c r="AV1523"/>
      <c r="AW1523"/>
      <c r="AX1523"/>
      <c r="AY1523"/>
      <c r="AZ1523"/>
      <c r="BA1523"/>
      <c r="BB1523"/>
      <c r="BC1523" s="578"/>
      <c r="BD1523" s="578"/>
      <c r="BE1523"/>
      <c r="BF1523"/>
      <c r="BG1523"/>
      <c r="BH1523"/>
      <c r="BI1523"/>
      <c r="BJ1523"/>
      <c r="BK1523"/>
    </row>
    <row r="1524" spans="40:63" ht="12.75">
      <c r="AN1524"/>
      <c r="AO1524" s="293"/>
      <c r="AP1524"/>
      <c r="AQ1524" s="145"/>
      <c r="AR1524"/>
      <c r="AS1524"/>
      <c r="AT1524"/>
      <c r="AU1524"/>
      <c r="AV1524"/>
      <c r="AW1524"/>
      <c r="AX1524"/>
      <c r="AY1524"/>
      <c r="AZ1524"/>
      <c r="BA1524"/>
      <c r="BB1524"/>
      <c r="BC1524" s="578"/>
      <c r="BD1524" s="578"/>
      <c r="BE1524"/>
      <c r="BF1524"/>
      <c r="BG1524"/>
      <c r="BH1524"/>
      <c r="BI1524"/>
      <c r="BJ1524"/>
      <c r="BK1524"/>
    </row>
    <row r="1525" spans="40:63" ht="12.75">
      <c r="AN1525"/>
      <c r="AO1525" s="293"/>
      <c r="AP1525"/>
      <c r="AQ1525" s="145"/>
      <c r="AR1525"/>
      <c r="AS1525"/>
      <c r="AT1525"/>
      <c r="AU1525"/>
      <c r="AV1525"/>
      <c r="AW1525"/>
      <c r="AX1525"/>
      <c r="AY1525"/>
      <c r="AZ1525"/>
      <c r="BA1525"/>
      <c r="BB1525"/>
      <c r="BC1525" s="578"/>
      <c r="BD1525" s="578"/>
      <c r="BE1525"/>
      <c r="BF1525"/>
      <c r="BG1525"/>
      <c r="BH1525"/>
      <c r="BI1525"/>
      <c r="BJ1525"/>
      <c r="BK1525"/>
    </row>
    <row r="1526" spans="40:63" ht="12.75">
      <c r="AN1526"/>
      <c r="AO1526" s="293"/>
      <c r="AP1526"/>
      <c r="AQ1526" s="145"/>
      <c r="AR1526"/>
      <c r="AS1526"/>
      <c r="AT1526"/>
      <c r="AU1526"/>
      <c r="AV1526"/>
      <c r="AW1526"/>
      <c r="AX1526"/>
      <c r="AY1526"/>
      <c r="AZ1526"/>
      <c r="BA1526"/>
      <c r="BB1526"/>
      <c r="BC1526" s="578"/>
      <c r="BD1526" s="578"/>
      <c r="BE1526"/>
      <c r="BF1526"/>
      <c r="BG1526"/>
      <c r="BH1526"/>
      <c r="BI1526"/>
      <c r="BJ1526"/>
      <c r="BK1526"/>
    </row>
    <row r="1527" spans="40:63" ht="12.75">
      <c r="AN1527"/>
      <c r="AO1527" s="293"/>
      <c r="AP1527"/>
      <c r="AQ1527" s="145"/>
      <c r="AR1527"/>
      <c r="AS1527"/>
      <c r="AT1527"/>
      <c r="AU1527"/>
      <c r="AV1527"/>
      <c r="AW1527"/>
      <c r="AX1527"/>
      <c r="AY1527"/>
      <c r="AZ1527"/>
      <c r="BA1527"/>
      <c r="BB1527"/>
      <c r="BC1527" s="578"/>
      <c r="BD1527" s="578"/>
      <c r="BE1527"/>
      <c r="BF1527"/>
      <c r="BG1527"/>
      <c r="BH1527"/>
      <c r="BI1527"/>
      <c r="BJ1527"/>
      <c r="BK1527"/>
    </row>
    <row r="1528" spans="40:63" ht="12.75">
      <c r="AN1528"/>
      <c r="AO1528" s="293"/>
      <c r="AP1528"/>
      <c r="AQ1528" s="145"/>
      <c r="AR1528"/>
      <c r="AS1528"/>
      <c r="AT1528"/>
      <c r="AU1528"/>
      <c r="AV1528"/>
      <c r="AW1528"/>
      <c r="AX1528"/>
      <c r="AY1528"/>
      <c r="AZ1528"/>
      <c r="BA1528"/>
      <c r="BB1528"/>
      <c r="BC1528" s="578"/>
      <c r="BD1528" s="578"/>
      <c r="BE1528"/>
      <c r="BF1528"/>
      <c r="BG1528"/>
      <c r="BH1528"/>
      <c r="BI1528"/>
      <c r="BJ1528"/>
      <c r="BK1528"/>
    </row>
    <row r="1529" spans="40:63" ht="12.75">
      <c r="AN1529"/>
      <c r="AO1529" s="293"/>
      <c r="AP1529"/>
      <c r="AQ1529" s="145"/>
      <c r="AR1529"/>
      <c r="AS1529"/>
      <c r="AT1529"/>
      <c r="AU1529"/>
      <c r="AV1529"/>
      <c r="AW1529"/>
      <c r="AX1529"/>
      <c r="AY1529"/>
      <c r="AZ1529"/>
      <c r="BA1529"/>
      <c r="BB1529"/>
      <c r="BC1529" s="578"/>
      <c r="BD1529" s="578"/>
      <c r="BE1529"/>
      <c r="BF1529"/>
      <c r="BG1529"/>
      <c r="BH1529"/>
      <c r="BI1529"/>
      <c r="BJ1529"/>
      <c r="BK1529"/>
    </row>
    <row r="1530" spans="40:63" ht="12.75">
      <c r="AN1530"/>
      <c r="AO1530" s="293"/>
      <c r="AP1530"/>
      <c r="AQ1530" s="145"/>
      <c r="AR1530"/>
      <c r="AS1530"/>
      <c r="AT1530"/>
      <c r="AU1530"/>
      <c r="AV1530"/>
      <c r="AW1530"/>
      <c r="AX1530"/>
      <c r="AY1530"/>
      <c r="AZ1530"/>
      <c r="BA1530"/>
      <c r="BB1530"/>
      <c r="BC1530" s="578"/>
      <c r="BD1530" s="578"/>
      <c r="BE1530"/>
      <c r="BF1530"/>
      <c r="BG1530"/>
      <c r="BH1530"/>
      <c r="BI1530"/>
      <c r="BJ1530"/>
      <c r="BK1530"/>
    </row>
    <row r="1531" spans="40:63" ht="12.75">
      <c r="AN1531"/>
      <c r="AO1531" s="293"/>
      <c r="AP1531"/>
      <c r="AQ1531" s="145"/>
      <c r="AR1531"/>
      <c r="AS1531"/>
      <c r="AT1531"/>
      <c r="AU1531"/>
      <c r="AV1531"/>
      <c r="AW1531"/>
      <c r="AX1531"/>
      <c r="AY1531"/>
      <c r="AZ1531"/>
      <c r="BA1531"/>
      <c r="BB1531"/>
      <c r="BC1531" s="578"/>
      <c r="BD1531" s="578"/>
      <c r="BE1531"/>
      <c r="BF1531"/>
      <c r="BG1531"/>
      <c r="BH1531"/>
      <c r="BI1531"/>
      <c r="BJ1531"/>
      <c r="BK1531"/>
    </row>
    <row r="1532" spans="40:63" ht="12.75">
      <c r="AN1532"/>
      <c r="AO1532" s="293"/>
      <c r="AP1532"/>
      <c r="AQ1532" s="145"/>
      <c r="AR1532"/>
      <c r="AS1532"/>
      <c r="AT1532"/>
      <c r="AU1532"/>
      <c r="AV1532"/>
      <c r="AW1532"/>
      <c r="AX1532"/>
      <c r="AY1532"/>
      <c r="AZ1532"/>
      <c r="BA1532"/>
      <c r="BB1532"/>
      <c r="BC1532" s="578"/>
      <c r="BD1532" s="578"/>
      <c r="BE1532"/>
      <c r="BF1532"/>
      <c r="BG1532"/>
      <c r="BH1532"/>
      <c r="BI1532"/>
      <c r="BJ1532"/>
      <c r="BK1532"/>
    </row>
    <row r="1533" spans="40:63" ht="12.75">
      <c r="AN1533"/>
      <c r="AO1533" s="293"/>
      <c r="AP1533"/>
      <c r="AQ1533" s="145"/>
      <c r="AR1533"/>
      <c r="AS1533"/>
      <c r="AT1533"/>
      <c r="AU1533"/>
      <c r="AV1533"/>
      <c r="AW1533"/>
      <c r="AX1533"/>
      <c r="AY1533"/>
      <c r="AZ1533"/>
      <c r="BA1533"/>
      <c r="BB1533"/>
      <c r="BC1533" s="578"/>
      <c r="BD1533" s="578"/>
      <c r="BE1533"/>
      <c r="BF1533"/>
      <c r="BG1533"/>
      <c r="BH1533"/>
      <c r="BI1533"/>
      <c r="BJ1533"/>
      <c r="BK1533"/>
    </row>
    <row r="1534" spans="40:63" ht="12.75">
      <c r="AN1534"/>
      <c r="AO1534" s="293"/>
      <c r="AP1534"/>
      <c r="AQ1534" s="145"/>
      <c r="AR1534"/>
      <c r="AS1534"/>
      <c r="AT1534"/>
      <c r="AU1534"/>
      <c r="AV1534"/>
      <c r="AW1534"/>
      <c r="AX1534"/>
      <c r="AY1534"/>
      <c r="AZ1534"/>
      <c r="BA1534"/>
      <c r="BB1534"/>
      <c r="BC1534" s="578"/>
      <c r="BD1534" s="578"/>
      <c r="BE1534"/>
      <c r="BF1534"/>
      <c r="BG1534"/>
      <c r="BH1534"/>
      <c r="BI1534"/>
      <c r="BJ1534"/>
      <c r="BK1534"/>
    </row>
    <row r="1535" spans="40:63" ht="12.75">
      <c r="AN1535"/>
      <c r="AO1535" s="293"/>
      <c r="AP1535"/>
      <c r="AQ1535" s="145"/>
      <c r="AR1535"/>
      <c r="AS1535"/>
      <c r="AT1535"/>
      <c r="AU1535"/>
      <c r="AV1535"/>
      <c r="AW1535"/>
      <c r="AX1535"/>
      <c r="AY1535"/>
      <c r="AZ1535"/>
      <c r="BA1535"/>
      <c r="BB1535"/>
      <c r="BC1535" s="578"/>
      <c r="BD1535" s="578"/>
      <c r="BE1535"/>
      <c r="BF1535"/>
      <c r="BG1535"/>
      <c r="BH1535"/>
      <c r="BI1535"/>
      <c r="BJ1535"/>
      <c r="BK1535"/>
    </row>
    <row r="1536" spans="40:63" ht="12.75">
      <c r="AN1536"/>
      <c r="AO1536" s="293"/>
      <c r="AP1536"/>
      <c r="AQ1536" s="145"/>
      <c r="AR1536"/>
      <c r="AS1536"/>
      <c r="AT1536"/>
      <c r="AU1536"/>
      <c r="AV1536"/>
      <c r="AW1536"/>
      <c r="AX1536"/>
      <c r="AY1536"/>
      <c r="AZ1536"/>
      <c r="BA1536"/>
      <c r="BB1536"/>
      <c r="BC1536" s="578"/>
      <c r="BD1536" s="578"/>
      <c r="BE1536"/>
      <c r="BF1536"/>
      <c r="BG1536"/>
      <c r="BH1536"/>
      <c r="BI1536"/>
      <c r="BJ1536"/>
      <c r="BK1536"/>
    </row>
    <row r="1537" spans="40:63" ht="12.75">
      <c r="AN1537"/>
      <c r="AO1537" s="293"/>
      <c r="AP1537"/>
      <c r="AQ1537" s="145"/>
      <c r="AR1537"/>
      <c r="AS1537"/>
      <c r="AT1537"/>
      <c r="AU1537"/>
      <c r="AV1537"/>
      <c r="AW1537"/>
      <c r="AX1537"/>
      <c r="AY1537"/>
      <c r="AZ1537"/>
      <c r="BA1537"/>
      <c r="BB1537"/>
      <c r="BC1537" s="578"/>
      <c r="BD1537" s="578"/>
      <c r="BE1537"/>
      <c r="BF1537"/>
      <c r="BG1537"/>
      <c r="BH1537"/>
      <c r="BI1537"/>
      <c r="BJ1537"/>
      <c r="BK1537"/>
    </row>
    <row r="1538" spans="40:63" ht="12.75">
      <c r="AN1538"/>
      <c r="AO1538" s="293"/>
      <c r="AP1538"/>
      <c r="AQ1538" s="145"/>
      <c r="AR1538"/>
      <c r="AS1538"/>
      <c r="AT1538"/>
      <c r="AU1538"/>
      <c r="AV1538"/>
      <c r="AW1538"/>
      <c r="AX1538"/>
      <c r="AY1538"/>
      <c r="AZ1538"/>
      <c r="BA1538"/>
      <c r="BB1538"/>
      <c r="BC1538" s="578"/>
      <c r="BD1538" s="578"/>
      <c r="BE1538"/>
      <c r="BF1538"/>
      <c r="BG1538"/>
      <c r="BH1538"/>
      <c r="BI1538"/>
      <c r="BJ1538"/>
      <c r="BK1538"/>
    </row>
    <row r="1539" spans="40:63" ht="12.75">
      <c r="AN1539"/>
      <c r="AO1539" s="293"/>
      <c r="AP1539"/>
      <c r="AQ1539" s="145"/>
      <c r="AR1539"/>
      <c r="AS1539"/>
      <c r="AT1539"/>
      <c r="AU1539"/>
      <c r="AV1539"/>
      <c r="AW1539"/>
      <c r="AX1539"/>
      <c r="AY1539"/>
      <c r="AZ1539"/>
      <c r="BA1539"/>
      <c r="BB1539"/>
      <c r="BC1539" s="578"/>
      <c r="BD1539" s="578"/>
      <c r="BE1539"/>
      <c r="BF1539"/>
      <c r="BG1539"/>
      <c r="BH1539"/>
      <c r="BI1539"/>
      <c r="BJ1539"/>
      <c r="BK1539"/>
    </row>
    <row r="1540" spans="40:63" ht="12.75">
      <c r="AN1540"/>
      <c r="AO1540" s="293"/>
      <c r="AP1540"/>
      <c r="AQ1540" s="145"/>
      <c r="AR1540"/>
      <c r="AS1540"/>
      <c r="AT1540"/>
      <c r="AU1540"/>
      <c r="AV1540"/>
      <c r="AW1540"/>
      <c r="AX1540"/>
      <c r="AY1540"/>
      <c r="AZ1540"/>
      <c r="BA1540"/>
      <c r="BB1540"/>
      <c r="BC1540" s="578"/>
      <c r="BD1540" s="578"/>
      <c r="BE1540"/>
      <c r="BF1540"/>
      <c r="BG1540"/>
      <c r="BH1540"/>
      <c r="BI1540"/>
      <c r="BJ1540"/>
      <c r="BK1540"/>
    </row>
    <row r="1541" spans="40:63" ht="12.75">
      <c r="AN1541"/>
      <c r="AO1541" s="293"/>
      <c r="AP1541"/>
      <c r="AQ1541" s="145"/>
      <c r="AR1541"/>
      <c r="AS1541"/>
      <c r="AT1541"/>
      <c r="AU1541"/>
      <c r="AV1541"/>
      <c r="AW1541"/>
      <c r="AX1541"/>
      <c r="AY1541"/>
      <c r="AZ1541"/>
      <c r="BA1541"/>
      <c r="BB1541"/>
      <c r="BC1541" s="578"/>
      <c r="BD1541" s="578"/>
      <c r="BE1541"/>
      <c r="BF1541"/>
      <c r="BG1541"/>
      <c r="BH1541"/>
      <c r="BI1541"/>
      <c r="BJ1541"/>
      <c r="BK1541"/>
    </row>
    <row r="1542" spans="40:63" ht="12.75">
      <c r="AN1542"/>
      <c r="AO1542" s="293"/>
      <c r="AP1542"/>
      <c r="AQ1542" s="145"/>
      <c r="AR1542"/>
      <c r="AS1542"/>
      <c r="AT1542"/>
      <c r="AU1542"/>
      <c r="AV1542"/>
      <c r="AW1542"/>
      <c r="AX1542"/>
      <c r="AY1542"/>
      <c r="AZ1542"/>
      <c r="BA1542"/>
      <c r="BB1542"/>
      <c r="BC1542" s="578"/>
      <c r="BD1542" s="578"/>
      <c r="BE1542"/>
      <c r="BF1542"/>
      <c r="BG1542"/>
      <c r="BH1542"/>
      <c r="BI1542"/>
      <c r="BJ1542"/>
      <c r="BK1542"/>
    </row>
    <row r="1543" spans="40:63" ht="12.75">
      <c r="AN1543"/>
      <c r="AO1543" s="293"/>
      <c r="AP1543"/>
      <c r="AQ1543" s="145"/>
      <c r="AR1543"/>
      <c r="AS1543"/>
      <c r="AT1543"/>
      <c r="AU1543"/>
      <c r="AV1543"/>
      <c r="AW1543"/>
      <c r="AX1543"/>
      <c r="AY1543"/>
      <c r="AZ1543"/>
      <c r="BA1543"/>
      <c r="BB1543"/>
      <c r="BC1543" s="578"/>
      <c r="BD1543" s="578"/>
      <c r="BE1543"/>
      <c r="BF1543"/>
      <c r="BG1543"/>
      <c r="BH1543"/>
      <c r="BI1543"/>
      <c r="BJ1543"/>
      <c r="BK1543"/>
    </row>
    <row r="1544" spans="40:63" ht="12.75">
      <c r="AN1544"/>
      <c r="AO1544" s="293"/>
      <c r="AP1544"/>
      <c r="AQ1544" s="145"/>
      <c r="AR1544"/>
      <c r="AS1544"/>
      <c r="AT1544"/>
      <c r="AU1544"/>
      <c r="AV1544"/>
      <c r="AW1544"/>
      <c r="AX1544"/>
      <c r="AY1544"/>
      <c r="AZ1544"/>
      <c r="BA1544"/>
      <c r="BB1544"/>
      <c r="BC1544" s="578"/>
      <c r="BD1544" s="578"/>
      <c r="BE1544"/>
      <c r="BF1544"/>
      <c r="BG1544"/>
      <c r="BH1544"/>
      <c r="BI1544"/>
      <c r="BJ1544"/>
      <c r="BK1544"/>
    </row>
    <row r="1545" spans="40:63" ht="12.75">
      <c r="AN1545"/>
      <c r="AO1545" s="293"/>
      <c r="AP1545"/>
      <c r="AQ1545" s="145"/>
      <c r="AR1545"/>
      <c r="AS1545"/>
      <c r="AT1545"/>
      <c r="AU1545"/>
      <c r="AV1545"/>
      <c r="AW1545"/>
      <c r="AX1545"/>
      <c r="AY1545"/>
      <c r="AZ1545"/>
      <c r="BA1545"/>
      <c r="BB1545"/>
      <c r="BC1545" s="578"/>
      <c r="BD1545" s="578"/>
      <c r="BE1545"/>
      <c r="BF1545"/>
      <c r="BG1545"/>
      <c r="BH1545"/>
      <c r="BI1545"/>
      <c r="BJ1545"/>
      <c r="BK1545"/>
    </row>
    <row r="1546" spans="40:63" ht="12.75">
      <c r="AN1546"/>
      <c r="AO1546" s="293"/>
      <c r="AP1546"/>
      <c r="AQ1546" s="145"/>
      <c r="AR1546"/>
      <c r="AS1546"/>
      <c r="AT1546"/>
      <c r="AU1546"/>
      <c r="AV1546"/>
      <c r="AW1546"/>
      <c r="AX1546"/>
      <c r="AY1546"/>
      <c r="AZ1546"/>
      <c r="BA1546"/>
      <c r="BB1546"/>
      <c r="BC1546" s="578"/>
      <c r="BD1546" s="578"/>
      <c r="BE1546"/>
      <c r="BF1546"/>
      <c r="BG1546"/>
      <c r="BH1546"/>
      <c r="BI1546"/>
      <c r="BJ1546"/>
      <c r="BK1546"/>
    </row>
    <row r="1547" spans="40:63" ht="12.75">
      <c r="AN1547"/>
      <c r="AO1547" s="293"/>
      <c r="AP1547"/>
      <c r="AQ1547" s="145"/>
      <c r="AR1547"/>
      <c r="AS1547"/>
      <c r="AT1547"/>
      <c r="AU1547"/>
      <c r="AV1547"/>
      <c r="AW1547"/>
      <c r="AX1547"/>
      <c r="AY1547"/>
      <c r="AZ1547"/>
      <c r="BA1547"/>
      <c r="BB1547"/>
      <c r="BC1547" s="578"/>
      <c r="BD1547" s="578"/>
      <c r="BE1547"/>
      <c r="BF1547"/>
      <c r="BG1547"/>
      <c r="BH1547"/>
      <c r="BI1547"/>
      <c r="BJ1547"/>
      <c r="BK1547"/>
    </row>
    <row r="1548" spans="40:63" ht="12.75">
      <c r="AN1548"/>
      <c r="AO1548" s="293"/>
      <c r="AP1548"/>
      <c r="AQ1548" s="145"/>
      <c r="AR1548"/>
      <c r="AS1548"/>
      <c r="AT1548"/>
      <c r="AU1548"/>
      <c r="AV1548"/>
      <c r="AW1548"/>
      <c r="AX1548"/>
      <c r="AY1548"/>
      <c r="AZ1548"/>
      <c r="BA1548"/>
      <c r="BB1548"/>
      <c r="BC1548" s="578"/>
      <c r="BD1548" s="578"/>
      <c r="BE1548"/>
      <c r="BF1548"/>
      <c r="BG1548"/>
      <c r="BH1548"/>
      <c r="BI1548"/>
      <c r="BJ1548"/>
      <c r="BK1548"/>
    </row>
    <row r="1549" spans="40:63" ht="12.75">
      <c r="AN1549"/>
      <c r="AO1549" s="293"/>
      <c r="AP1549"/>
      <c r="AQ1549" s="145"/>
      <c r="AR1549"/>
      <c r="AS1549"/>
      <c r="AT1549"/>
      <c r="AU1549"/>
      <c r="AV1549"/>
      <c r="AW1549"/>
      <c r="AX1549"/>
      <c r="AY1549"/>
      <c r="AZ1549"/>
      <c r="BA1549"/>
      <c r="BB1549"/>
      <c r="BC1549" s="578"/>
      <c r="BD1549" s="578"/>
      <c r="BE1549"/>
      <c r="BF1549"/>
      <c r="BG1549"/>
      <c r="BH1549"/>
      <c r="BI1549"/>
      <c r="BJ1549"/>
      <c r="BK1549"/>
    </row>
    <row r="1550" spans="40:63" ht="12.75">
      <c r="AN1550"/>
      <c r="AO1550" s="293"/>
      <c r="AP1550"/>
      <c r="AQ1550" s="145"/>
      <c r="AR1550"/>
      <c r="AS1550"/>
      <c r="AT1550"/>
      <c r="AU1550"/>
      <c r="AV1550"/>
      <c r="AW1550"/>
      <c r="AX1550"/>
      <c r="AY1550"/>
      <c r="AZ1550"/>
      <c r="BA1550"/>
      <c r="BB1550"/>
      <c r="BC1550" s="578"/>
      <c r="BD1550" s="578"/>
      <c r="BE1550"/>
      <c r="BF1550"/>
      <c r="BG1550"/>
      <c r="BH1550"/>
      <c r="BI1550"/>
      <c r="BJ1550"/>
      <c r="BK1550"/>
    </row>
    <row r="1551" spans="40:63" ht="12.75">
      <c r="AN1551"/>
      <c r="AO1551" s="293"/>
      <c r="AP1551"/>
      <c r="AQ1551" s="145"/>
      <c r="AR1551"/>
      <c r="AS1551"/>
      <c r="AT1551"/>
      <c r="AU1551"/>
      <c r="AV1551"/>
      <c r="AW1551"/>
      <c r="AX1551"/>
      <c r="AY1551"/>
      <c r="AZ1551"/>
      <c r="BA1551"/>
      <c r="BB1551"/>
      <c r="BC1551" s="578"/>
      <c r="BD1551" s="578"/>
      <c r="BE1551"/>
      <c r="BF1551"/>
      <c r="BG1551"/>
      <c r="BH1551"/>
      <c r="BI1551"/>
      <c r="BJ1551"/>
      <c r="BK1551"/>
    </row>
    <row r="1552" spans="40:63" ht="12.75">
      <c r="AN1552"/>
      <c r="AO1552" s="293"/>
      <c r="AP1552"/>
      <c r="AQ1552" s="145"/>
      <c r="AR1552"/>
      <c r="AS1552"/>
      <c r="AT1552"/>
      <c r="AU1552"/>
      <c r="AV1552"/>
      <c r="AW1552"/>
      <c r="AX1552"/>
      <c r="AY1552"/>
      <c r="AZ1552"/>
      <c r="BA1552"/>
      <c r="BB1552"/>
      <c r="BC1552" s="578"/>
      <c r="BD1552" s="578"/>
      <c r="BE1552"/>
      <c r="BF1552"/>
      <c r="BG1552"/>
      <c r="BH1552"/>
      <c r="BI1552"/>
      <c r="BJ1552"/>
      <c r="BK1552"/>
    </row>
    <row r="1553" spans="40:63" ht="12.75">
      <c r="AN1553"/>
      <c r="AO1553" s="293"/>
      <c r="AP1553"/>
      <c r="AQ1553" s="145"/>
      <c r="AR1553"/>
      <c r="AS1553"/>
      <c r="AT1553"/>
      <c r="AU1553"/>
      <c r="AV1553"/>
      <c r="AW1553"/>
      <c r="AX1553"/>
      <c r="AY1553"/>
      <c r="AZ1553"/>
      <c r="BA1553"/>
      <c r="BB1553"/>
      <c r="BC1553" s="578"/>
      <c r="BD1553" s="578"/>
      <c r="BE1553"/>
      <c r="BF1553"/>
      <c r="BG1553"/>
      <c r="BH1553"/>
      <c r="BI1553"/>
      <c r="BJ1553"/>
      <c r="BK1553"/>
    </row>
    <row r="1554" spans="40:63" ht="12.75">
      <c r="AN1554"/>
      <c r="AO1554" s="293"/>
      <c r="AP1554"/>
      <c r="AQ1554" s="145"/>
      <c r="AR1554"/>
      <c r="AS1554"/>
      <c r="AT1554"/>
      <c r="AU1554"/>
      <c r="AV1554"/>
      <c r="AW1554"/>
      <c r="AX1554"/>
      <c r="AY1554"/>
      <c r="AZ1554"/>
      <c r="BA1554"/>
      <c r="BB1554"/>
      <c r="BC1554" s="578"/>
      <c r="BD1554" s="578"/>
      <c r="BE1554"/>
      <c r="BF1554"/>
      <c r="BG1554"/>
      <c r="BH1554"/>
      <c r="BI1554"/>
      <c r="BJ1554"/>
      <c r="BK1554"/>
    </row>
    <row r="1555" spans="40:63" ht="12.75">
      <c r="AN1555"/>
      <c r="AO1555" s="293"/>
      <c r="AP1555"/>
      <c r="AQ1555" s="145"/>
      <c r="AR1555"/>
      <c r="AS1555"/>
      <c r="AT1555"/>
      <c r="AU1555"/>
      <c r="AV1555"/>
      <c r="AW1555"/>
      <c r="AX1555"/>
      <c r="AY1555"/>
      <c r="AZ1555"/>
      <c r="BA1555"/>
      <c r="BB1555"/>
      <c r="BC1555" s="578"/>
      <c r="BD1555" s="578"/>
      <c r="BE1555"/>
      <c r="BF1555"/>
      <c r="BG1555"/>
      <c r="BH1555"/>
      <c r="BI1555"/>
      <c r="BJ1555"/>
      <c r="BK1555"/>
    </row>
    <row r="1556" spans="40:63" ht="12.75">
      <c r="AN1556"/>
      <c r="AO1556" s="293"/>
      <c r="AP1556"/>
      <c r="AQ1556" s="145"/>
      <c r="AR1556"/>
      <c r="AS1556"/>
      <c r="AT1556"/>
      <c r="AU1556"/>
      <c r="AV1556"/>
      <c r="AW1556"/>
      <c r="AX1556"/>
      <c r="AY1556"/>
      <c r="AZ1556"/>
      <c r="BA1556"/>
      <c r="BB1556"/>
      <c r="BC1556" s="578"/>
      <c r="BD1556" s="578"/>
      <c r="BE1556"/>
      <c r="BF1556"/>
      <c r="BG1556"/>
      <c r="BH1556"/>
      <c r="BI1556"/>
      <c r="BJ1556"/>
      <c r="BK1556"/>
    </row>
    <row r="1557" spans="40:63" ht="12.75">
      <c r="AN1557"/>
      <c r="AO1557" s="293"/>
      <c r="AP1557"/>
      <c r="AQ1557" s="145"/>
      <c r="AR1557"/>
      <c r="AS1557"/>
      <c r="AT1557"/>
      <c r="AU1557"/>
      <c r="AV1557"/>
      <c r="AW1557"/>
      <c r="AX1557"/>
      <c r="AY1557"/>
      <c r="AZ1557"/>
      <c r="BA1557"/>
      <c r="BB1557"/>
      <c r="BC1557" s="578"/>
      <c r="BD1557" s="578"/>
      <c r="BE1557"/>
      <c r="BF1557"/>
      <c r="BG1557"/>
      <c r="BH1557"/>
      <c r="BI1557"/>
      <c r="BJ1557"/>
      <c r="BK1557"/>
    </row>
    <row r="1558" spans="40:63" ht="12.75">
      <c r="AN1558"/>
      <c r="AO1558" s="293"/>
      <c r="AP1558"/>
      <c r="AQ1558" s="145"/>
      <c r="AR1558"/>
      <c r="AS1558"/>
      <c r="AT1558"/>
      <c r="AU1558"/>
      <c r="AV1558"/>
      <c r="AW1558"/>
      <c r="AX1558"/>
      <c r="AY1558"/>
      <c r="AZ1558"/>
      <c r="BA1558"/>
      <c r="BB1558"/>
      <c r="BC1558" s="578"/>
      <c r="BD1558" s="578"/>
      <c r="BE1558"/>
      <c r="BF1558"/>
      <c r="BG1558"/>
      <c r="BH1558"/>
      <c r="BI1558"/>
      <c r="BJ1558"/>
      <c r="BK1558"/>
    </row>
    <row r="1559" spans="40:63" ht="12.75">
      <c r="AN1559"/>
      <c r="AO1559" s="293"/>
      <c r="AP1559"/>
      <c r="AQ1559" s="145"/>
      <c r="AR1559"/>
      <c r="AS1559"/>
      <c r="AT1559"/>
      <c r="AU1559"/>
      <c r="AV1559"/>
      <c r="AW1559"/>
      <c r="AX1559"/>
      <c r="AY1559"/>
      <c r="AZ1559"/>
      <c r="BA1559"/>
      <c r="BB1559"/>
      <c r="BC1559" s="578"/>
      <c r="BD1559" s="578"/>
      <c r="BE1559"/>
      <c r="BF1559"/>
      <c r="BG1559"/>
      <c r="BH1559"/>
      <c r="BI1559"/>
      <c r="BJ1559"/>
      <c r="BK1559"/>
    </row>
    <row r="1560" spans="40:63" ht="12.75">
      <c r="AN1560"/>
      <c r="AO1560" s="293"/>
      <c r="AP1560"/>
      <c r="AQ1560" s="145"/>
      <c r="AR1560"/>
      <c r="AS1560"/>
      <c r="AT1560"/>
      <c r="AU1560"/>
      <c r="AV1560"/>
      <c r="AW1560"/>
      <c r="AX1560"/>
      <c r="AY1560"/>
      <c r="AZ1560"/>
      <c r="BA1560"/>
      <c r="BB1560"/>
      <c r="BC1560" s="578"/>
      <c r="BD1560" s="578"/>
      <c r="BE1560"/>
      <c r="BF1560"/>
      <c r="BG1560"/>
      <c r="BH1560"/>
      <c r="BI1560"/>
      <c r="BJ1560"/>
      <c r="BK1560"/>
    </row>
    <row r="1561" spans="40:63" ht="12.75">
      <c r="AN1561"/>
      <c r="AO1561" s="293"/>
      <c r="AP1561"/>
      <c r="AQ1561" s="145"/>
      <c r="AR1561"/>
      <c r="AS1561"/>
      <c r="AT1561"/>
      <c r="AU1561"/>
      <c r="AV1561"/>
      <c r="AW1561"/>
      <c r="AX1561"/>
      <c r="AY1561"/>
      <c r="AZ1561"/>
      <c r="BA1561"/>
      <c r="BB1561"/>
      <c r="BC1561" s="578"/>
      <c r="BD1561" s="578"/>
      <c r="BE1561"/>
      <c r="BF1561"/>
      <c r="BG1561"/>
      <c r="BH1561"/>
      <c r="BI1561"/>
      <c r="BJ1561"/>
      <c r="BK1561"/>
    </row>
    <row r="1562" spans="40:63" ht="12.75">
      <c r="AN1562"/>
      <c r="AO1562" s="293"/>
      <c r="AP1562"/>
      <c r="AQ1562" s="145"/>
      <c r="AR1562"/>
      <c r="AS1562"/>
      <c r="AT1562"/>
      <c r="AU1562"/>
      <c r="AV1562"/>
      <c r="AW1562"/>
      <c r="AX1562"/>
      <c r="AY1562"/>
      <c r="AZ1562"/>
      <c r="BA1562"/>
      <c r="BB1562"/>
      <c r="BC1562" s="578"/>
      <c r="BD1562" s="578"/>
      <c r="BE1562"/>
      <c r="BF1562"/>
      <c r="BG1562"/>
      <c r="BH1562"/>
      <c r="BI1562"/>
      <c r="BJ1562"/>
      <c r="BK1562"/>
    </row>
    <row r="1563" spans="40:63" ht="12.75">
      <c r="AN1563"/>
      <c r="AO1563" s="293"/>
      <c r="AP1563"/>
      <c r="AQ1563" s="145"/>
      <c r="AR1563"/>
      <c r="AS1563"/>
      <c r="AT1563"/>
      <c r="AU1563"/>
      <c r="AV1563"/>
      <c r="AW1563"/>
      <c r="AX1563"/>
      <c r="AY1563"/>
      <c r="AZ1563"/>
      <c r="BA1563"/>
      <c r="BB1563"/>
      <c r="BC1563" s="578"/>
      <c r="BD1563" s="578"/>
      <c r="BE1563"/>
      <c r="BF1563"/>
      <c r="BG1563"/>
      <c r="BH1563"/>
      <c r="BI1563"/>
      <c r="BJ1563"/>
      <c r="BK1563"/>
    </row>
    <row r="1564" spans="40:63" ht="12.75">
      <c r="AN1564"/>
      <c r="AO1564" s="293"/>
      <c r="AP1564"/>
      <c r="AQ1564" s="145"/>
      <c r="AR1564"/>
      <c r="AS1564"/>
      <c r="AT1564"/>
      <c r="AU1564"/>
      <c r="AV1564"/>
      <c r="AW1564"/>
      <c r="AX1564"/>
      <c r="AY1564"/>
      <c r="AZ1564"/>
      <c r="BA1564"/>
      <c r="BB1564"/>
      <c r="BC1564" s="578"/>
      <c r="BD1564" s="578"/>
      <c r="BE1564"/>
      <c r="BF1564"/>
      <c r="BG1564"/>
      <c r="BH1564"/>
      <c r="BI1564"/>
      <c r="BJ1564"/>
      <c r="BK1564"/>
    </row>
    <row r="1565" spans="40:63" ht="12.75">
      <c r="AN1565"/>
      <c r="AO1565" s="293"/>
      <c r="AP1565"/>
      <c r="AQ1565" s="145"/>
      <c r="AR1565"/>
      <c r="AS1565"/>
      <c r="AT1565"/>
      <c r="AU1565"/>
      <c r="AV1565"/>
      <c r="AW1565"/>
      <c r="AX1565"/>
      <c r="AY1565"/>
      <c r="AZ1565"/>
      <c r="BA1565"/>
      <c r="BB1565"/>
      <c r="BC1565" s="578"/>
      <c r="BD1565" s="578"/>
      <c r="BE1565"/>
      <c r="BF1565"/>
      <c r="BG1565"/>
      <c r="BH1565"/>
      <c r="BI1565"/>
      <c r="BJ1565"/>
      <c r="BK1565"/>
    </row>
    <row r="1566" spans="40:63" ht="12.75">
      <c r="AN1566"/>
      <c r="AO1566" s="293"/>
      <c r="AP1566"/>
      <c r="AQ1566" s="145"/>
      <c r="AR1566"/>
      <c r="AS1566"/>
      <c r="AT1566"/>
      <c r="AU1566"/>
      <c r="AV1566"/>
      <c r="AW1566"/>
      <c r="AX1566"/>
      <c r="AY1566"/>
      <c r="AZ1566"/>
      <c r="BA1566"/>
      <c r="BB1566"/>
      <c r="BC1566" s="578"/>
      <c r="BD1566" s="578"/>
      <c r="BE1566"/>
      <c r="BF1566"/>
      <c r="BG1566"/>
      <c r="BH1566"/>
      <c r="BI1566"/>
      <c r="BJ1566"/>
      <c r="BK1566"/>
    </row>
    <row r="1567" spans="40:63" ht="12.75">
      <c r="AN1567"/>
      <c r="AO1567" s="293"/>
      <c r="AP1567"/>
      <c r="AQ1567" s="145"/>
      <c r="AR1567"/>
      <c r="AS1567"/>
      <c r="AT1567"/>
      <c r="AU1567"/>
      <c r="AV1567"/>
      <c r="AW1567"/>
      <c r="AX1567"/>
      <c r="AY1567"/>
      <c r="AZ1567"/>
      <c r="BA1567"/>
      <c r="BB1567"/>
      <c r="BC1567" s="578"/>
      <c r="BD1567" s="578"/>
      <c r="BE1567"/>
      <c r="BF1567"/>
      <c r="BG1567"/>
      <c r="BH1567"/>
      <c r="BI1567"/>
      <c r="BJ1567"/>
      <c r="BK1567"/>
    </row>
    <row r="1568" spans="40:63" ht="12.75">
      <c r="AN1568"/>
      <c r="AO1568" s="293"/>
      <c r="AP1568"/>
      <c r="AQ1568" s="145"/>
      <c r="AR1568"/>
      <c r="AS1568"/>
      <c r="AT1568"/>
      <c r="AU1568"/>
      <c r="AV1568"/>
      <c r="AW1568"/>
      <c r="AX1568"/>
      <c r="AY1568"/>
      <c r="AZ1568"/>
      <c r="BA1568"/>
      <c r="BB1568"/>
      <c r="BC1568" s="578"/>
      <c r="BD1568" s="578"/>
      <c r="BE1568"/>
      <c r="BF1568"/>
      <c r="BG1568"/>
      <c r="BH1568"/>
      <c r="BI1568"/>
      <c r="BJ1568"/>
      <c r="BK1568"/>
    </row>
    <row r="1569" spans="40:63" ht="12.75">
      <c r="AN1569"/>
      <c r="AO1569" s="293"/>
      <c r="AP1569"/>
      <c r="AQ1569" s="145"/>
      <c r="AR1569"/>
      <c r="AS1569"/>
      <c r="AT1569"/>
      <c r="AU1569"/>
      <c r="AV1569"/>
      <c r="AW1569"/>
      <c r="AX1569"/>
      <c r="AY1569"/>
      <c r="AZ1569"/>
      <c r="BA1569"/>
      <c r="BB1569"/>
      <c r="BC1569" s="578"/>
      <c r="BD1569" s="578"/>
      <c r="BE1569"/>
      <c r="BF1569"/>
      <c r="BG1569"/>
      <c r="BH1569"/>
      <c r="BI1569"/>
      <c r="BJ1569"/>
      <c r="BK1569"/>
    </row>
    <row r="1570" spans="40:63" ht="12.75">
      <c r="AN1570"/>
      <c r="AO1570" s="293"/>
      <c r="AP1570"/>
      <c r="AQ1570" s="145"/>
      <c r="AR1570"/>
      <c r="AS1570"/>
      <c r="AT1570"/>
      <c r="AU1570"/>
      <c r="AV1570"/>
      <c r="AW1570"/>
      <c r="AX1570"/>
      <c r="AY1570"/>
      <c r="AZ1570"/>
      <c r="BA1570"/>
      <c r="BB1570"/>
      <c r="BC1570" s="578"/>
      <c r="BD1570" s="578"/>
      <c r="BE1570"/>
      <c r="BF1570"/>
      <c r="BG1570"/>
      <c r="BH1570"/>
      <c r="BI1570"/>
      <c r="BJ1570"/>
      <c r="BK1570"/>
    </row>
    <row r="1571" spans="40:63" ht="12.75">
      <c r="AN1571"/>
      <c r="AO1571" s="293"/>
      <c r="AP1571"/>
      <c r="AQ1571" s="145"/>
      <c r="AR1571"/>
      <c r="AS1571"/>
      <c r="AT1571"/>
      <c r="AU1571"/>
      <c r="AV1571"/>
      <c r="AW1571"/>
      <c r="AX1571"/>
      <c r="AY1571"/>
      <c r="AZ1571"/>
      <c r="BA1571"/>
      <c r="BB1571"/>
      <c r="BC1571" s="578"/>
      <c r="BD1571" s="578"/>
      <c r="BE1571"/>
      <c r="BF1571"/>
      <c r="BG1571"/>
      <c r="BH1571"/>
      <c r="BI1571"/>
      <c r="BJ1571"/>
      <c r="BK1571"/>
    </row>
    <row r="1572" spans="40:63" ht="12.75">
      <c r="AN1572"/>
      <c r="AO1572" s="293"/>
      <c r="AP1572"/>
      <c r="AQ1572" s="145"/>
      <c r="AR1572"/>
      <c r="AS1572"/>
      <c r="AT1572"/>
      <c r="AU1572"/>
      <c r="AV1572"/>
      <c r="AW1572"/>
      <c r="AX1572"/>
      <c r="AY1572"/>
      <c r="AZ1572"/>
      <c r="BA1572"/>
      <c r="BB1572"/>
      <c r="BC1572" s="578"/>
      <c r="BD1572" s="578"/>
      <c r="BE1572"/>
      <c r="BF1572"/>
      <c r="BG1572"/>
      <c r="BH1572"/>
      <c r="BI1572"/>
      <c r="BJ1572"/>
      <c r="BK1572"/>
    </row>
    <row r="1573" spans="40:63" ht="12.75">
      <c r="AN1573"/>
      <c r="AO1573" s="293"/>
      <c r="AP1573"/>
      <c r="AQ1573" s="145"/>
      <c r="AR1573"/>
      <c r="AS1573"/>
      <c r="AT1573"/>
      <c r="AU1573"/>
      <c r="AV1573"/>
      <c r="AW1573"/>
      <c r="AX1573"/>
      <c r="AY1573"/>
      <c r="AZ1573"/>
      <c r="BA1573"/>
      <c r="BB1573"/>
      <c r="BC1573" s="578"/>
      <c r="BD1573" s="578"/>
      <c r="BE1573"/>
      <c r="BF1573"/>
      <c r="BG1573"/>
      <c r="BH1573"/>
      <c r="BI1573"/>
      <c r="BJ1573"/>
      <c r="BK1573"/>
    </row>
    <row r="1574" spans="40:63" ht="12.75">
      <c r="AN1574"/>
      <c r="AO1574" s="293"/>
      <c r="AP1574"/>
      <c r="AQ1574" s="145"/>
      <c r="AR1574"/>
      <c r="AS1574"/>
      <c r="AT1574"/>
      <c r="AU1574"/>
      <c r="AV1574"/>
      <c r="AW1574"/>
      <c r="AX1574"/>
      <c r="AY1574"/>
      <c r="AZ1574"/>
      <c r="BA1574"/>
      <c r="BB1574"/>
      <c r="BC1574" s="578"/>
      <c r="BD1574" s="578"/>
      <c r="BE1574"/>
      <c r="BF1574"/>
      <c r="BG1574"/>
      <c r="BH1574"/>
      <c r="BI1574"/>
      <c r="BJ1574"/>
      <c r="BK1574"/>
    </row>
    <row r="1575" spans="40:63" ht="12.75">
      <c r="AN1575"/>
      <c r="AO1575" s="293"/>
      <c r="AP1575"/>
      <c r="AQ1575" s="145"/>
      <c r="AR1575"/>
      <c r="AS1575"/>
      <c r="AT1575"/>
      <c r="AU1575"/>
      <c r="AV1575"/>
      <c r="AW1575"/>
      <c r="AX1575"/>
      <c r="AY1575"/>
      <c r="AZ1575"/>
      <c r="BA1575"/>
      <c r="BB1575"/>
      <c r="BC1575" s="578"/>
      <c r="BD1575" s="578"/>
      <c r="BE1575"/>
      <c r="BF1575"/>
      <c r="BG1575"/>
      <c r="BH1575"/>
      <c r="BI1575"/>
      <c r="BJ1575"/>
      <c r="BK1575"/>
    </row>
    <row r="1576" spans="40:63" ht="12.75">
      <c r="AN1576"/>
      <c r="AO1576" s="293"/>
      <c r="AP1576"/>
      <c r="AQ1576" s="145"/>
      <c r="AR1576"/>
      <c r="AS1576"/>
      <c r="AT1576"/>
      <c r="AU1576"/>
      <c r="AV1576"/>
      <c r="AW1576"/>
      <c r="AX1576"/>
      <c r="AY1576"/>
      <c r="AZ1576"/>
      <c r="BA1576"/>
      <c r="BB1576"/>
      <c r="BC1576" s="578"/>
      <c r="BD1576" s="578"/>
      <c r="BE1576"/>
      <c r="BF1576"/>
      <c r="BG1576"/>
      <c r="BH1576"/>
      <c r="BI1576"/>
      <c r="BJ1576"/>
      <c r="BK1576"/>
    </row>
    <row r="1577" spans="40:63" ht="12.75">
      <c r="AN1577"/>
      <c r="AO1577" s="293"/>
      <c r="AP1577"/>
      <c r="AQ1577" s="145"/>
      <c r="AR1577"/>
      <c r="AS1577"/>
      <c r="AT1577"/>
      <c r="AU1577"/>
      <c r="AV1577"/>
      <c r="AW1577"/>
      <c r="AX1577"/>
      <c r="AY1577"/>
      <c r="AZ1577"/>
      <c r="BA1577"/>
      <c r="BB1577"/>
      <c r="BC1577" s="578"/>
      <c r="BD1577" s="578"/>
      <c r="BE1577"/>
      <c r="BF1577"/>
      <c r="BG1577"/>
      <c r="BH1577"/>
      <c r="BI1577"/>
      <c r="BJ1577"/>
      <c r="BK1577"/>
    </row>
    <row r="1578" spans="40:63" ht="12.75">
      <c r="AN1578"/>
      <c r="AO1578" s="293"/>
      <c r="AP1578"/>
      <c r="AQ1578" s="145"/>
      <c r="AR1578"/>
      <c r="AS1578"/>
      <c r="AT1578"/>
      <c r="AU1578"/>
      <c r="AV1578"/>
      <c r="AW1578"/>
      <c r="AX1578"/>
      <c r="AY1578"/>
      <c r="AZ1578"/>
      <c r="BA1578"/>
      <c r="BB1578"/>
      <c r="BC1578" s="578"/>
      <c r="BD1578" s="578"/>
      <c r="BE1578"/>
      <c r="BF1578"/>
      <c r="BG1578"/>
      <c r="BH1578"/>
      <c r="BI1578"/>
      <c r="BJ1578"/>
      <c r="BK1578"/>
    </row>
    <row r="1579" spans="40:63" ht="12.75">
      <c r="AN1579"/>
      <c r="AO1579" s="293"/>
      <c r="AP1579"/>
      <c r="AQ1579" s="145"/>
      <c r="AR1579"/>
      <c r="AS1579"/>
      <c r="AT1579"/>
      <c r="AU1579"/>
      <c r="AV1579"/>
      <c r="AW1579"/>
      <c r="AX1579"/>
      <c r="AY1579"/>
      <c r="AZ1579"/>
      <c r="BA1579"/>
      <c r="BB1579"/>
      <c r="BC1579" s="578"/>
      <c r="BD1579" s="578"/>
      <c r="BE1579"/>
      <c r="BF1579"/>
      <c r="BG1579"/>
      <c r="BH1579"/>
      <c r="BI1579"/>
      <c r="BJ1579"/>
      <c r="BK1579"/>
    </row>
    <row r="1580" spans="40:63" ht="12.75">
      <c r="AN1580"/>
      <c r="AO1580" s="293"/>
      <c r="AP1580"/>
      <c r="AQ1580" s="145"/>
      <c r="AR1580"/>
      <c r="AS1580"/>
      <c r="AT1580"/>
      <c r="AU1580"/>
      <c r="AV1580"/>
      <c r="AW1580"/>
      <c r="AX1580"/>
      <c r="AY1580"/>
      <c r="AZ1580"/>
      <c r="BA1580"/>
      <c r="BB1580"/>
      <c r="BC1580" s="578"/>
      <c r="BD1580" s="578"/>
      <c r="BE1580"/>
      <c r="BF1580"/>
      <c r="BG1580"/>
      <c r="BH1580"/>
      <c r="BI1580"/>
      <c r="BJ1580"/>
      <c r="BK1580"/>
    </row>
    <row r="1581" spans="40:63" ht="12.75">
      <c r="AN1581"/>
      <c r="AO1581" s="293"/>
      <c r="AP1581"/>
      <c r="AQ1581" s="145"/>
      <c r="AR1581"/>
      <c r="AS1581"/>
      <c r="AT1581"/>
      <c r="AU1581"/>
      <c r="AV1581"/>
      <c r="AW1581"/>
      <c r="AX1581"/>
      <c r="AY1581"/>
      <c r="AZ1581"/>
      <c r="BA1581"/>
      <c r="BB1581"/>
      <c r="BC1581" s="578"/>
      <c r="BD1581" s="578"/>
      <c r="BE1581"/>
      <c r="BF1581"/>
      <c r="BG1581"/>
      <c r="BH1581"/>
      <c r="BI1581"/>
      <c r="BJ1581"/>
      <c r="BK1581"/>
    </row>
    <row r="1582" spans="40:63" ht="12.75">
      <c r="AN1582"/>
      <c r="AO1582" s="293"/>
      <c r="AP1582"/>
      <c r="AQ1582" s="145"/>
      <c r="AR1582"/>
      <c r="AS1582"/>
      <c r="AT1582"/>
      <c r="AU1582"/>
      <c r="AV1582"/>
      <c r="AW1582"/>
      <c r="AX1582"/>
      <c r="AY1582"/>
      <c r="AZ1582"/>
      <c r="BA1582"/>
      <c r="BB1582"/>
      <c r="BC1582" s="578"/>
      <c r="BD1582" s="578"/>
      <c r="BE1582"/>
      <c r="BF1582"/>
      <c r="BG1582"/>
      <c r="BH1582"/>
      <c r="BI1582"/>
      <c r="BJ1582"/>
      <c r="BK1582"/>
    </row>
    <row r="1583" spans="40:63" ht="12.75">
      <c r="AN1583"/>
      <c r="AO1583" s="293"/>
      <c r="AP1583"/>
      <c r="AQ1583" s="145"/>
      <c r="AR1583"/>
      <c r="AS1583"/>
      <c r="AT1583"/>
      <c r="AU1583"/>
      <c r="AV1583"/>
      <c r="AW1583"/>
      <c r="AX1583"/>
      <c r="AY1583"/>
      <c r="AZ1583"/>
      <c r="BA1583"/>
      <c r="BB1583"/>
      <c r="BC1583" s="578"/>
      <c r="BD1583" s="578"/>
      <c r="BE1583"/>
      <c r="BF1583"/>
      <c r="BG1583"/>
      <c r="BH1583"/>
      <c r="BI1583"/>
      <c r="BJ1583"/>
      <c r="BK1583"/>
    </row>
    <row r="1584" spans="40:63" ht="12.75">
      <c r="AN1584"/>
      <c r="AO1584" s="293"/>
      <c r="AP1584"/>
      <c r="AQ1584" s="145"/>
      <c r="AR1584"/>
      <c r="AS1584"/>
      <c r="AT1584"/>
      <c r="AU1584"/>
      <c r="AV1584"/>
      <c r="AW1584"/>
      <c r="AX1584"/>
      <c r="AY1584"/>
      <c r="AZ1584"/>
      <c r="BA1584"/>
      <c r="BB1584"/>
      <c r="BC1584" s="578"/>
      <c r="BD1584" s="578"/>
      <c r="BE1584"/>
      <c r="BF1584"/>
      <c r="BG1584"/>
      <c r="BH1584"/>
      <c r="BI1584"/>
      <c r="BJ1584"/>
      <c r="BK1584"/>
    </row>
    <row r="1585" spans="40:63" ht="12.75">
      <c r="AN1585"/>
      <c r="AO1585" s="293"/>
      <c r="AP1585"/>
      <c r="AQ1585" s="145"/>
      <c r="AR1585"/>
      <c r="AS1585"/>
      <c r="AT1585"/>
      <c r="AU1585"/>
      <c r="AV1585"/>
      <c r="AW1585"/>
      <c r="AX1585"/>
      <c r="AY1585"/>
      <c r="AZ1585"/>
      <c r="BA1585"/>
      <c r="BB1585"/>
      <c r="BC1585" s="578"/>
      <c r="BD1585" s="578"/>
      <c r="BE1585"/>
      <c r="BF1585"/>
      <c r="BG1585"/>
      <c r="BH1585"/>
      <c r="BI1585"/>
      <c r="BJ1585"/>
      <c r="BK1585"/>
    </row>
    <row r="1586" spans="40:63" ht="12.75">
      <c r="AN1586"/>
      <c r="AO1586" s="293"/>
      <c r="AP1586"/>
      <c r="AQ1586" s="145"/>
      <c r="AR1586"/>
      <c r="AS1586"/>
      <c r="AT1586"/>
      <c r="AU1586"/>
      <c r="AV1586"/>
      <c r="AW1586"/>
      <c r="AX1586"/>
      <c r="AY1586"/>
      <c r="AZ1586"/>
      <c r="BA1586"/>
      <c r="BB1586"/>
      <c r="BC1586" s="578"/>
      <c r="BD1586" s="578"/>
      <c r="BE1586"/>
      <c r="BF1586"/>
      <c r="BG1586"/>
      <c r="BH1586"/>
      <c r="BI1586"/>
      <c r="BJ1586"/>
      <c r="BK1586"/>
    </row>
    <row r="1587" spans="40:63" ht="12.75">
      <c r="AN1587"/>
      <c r="AO1587" s="293"/>
      <c r="AP1587"/>
      <c r="AQ1587" s="145"/>
      <c r="AR1587"/>
      <c r="AS1587"/>
      <c r="AT1587"/>
      <c r="AU1587"/>
      <c r="AV1587"/>
      <c r="AW1587"/>
      <c r="AX1587"/>
      <c r="AY1587"/>
      <c r="AZ1587"/>
      <c r="BA1587"/>
      <c r="BB1587"/>
      <c r="BC1587" s="578"/>
      <c r="BD1587" s="578"/>
      <c r="BE1587"/>
      <c r="BF1587"/>
      <c r="BG1587"/>
      <c r="BH1587"/>
      <c r="BI1587"/>
      <c r="BJ1587"/>
      <c r="BK1587"/>
    </row>
    <row r="1588" spans="40:63" ht="12.75">
      <c r="AN1588"/>
      <c r="AO1588" s="293"/>
      <c r="AP1588"/>
      <c r="AQ1588" s="145"/>
      <c r="AR1588"/>
      <c r="AS1588"/>
      <c r="AT1588"/>
      <c r="AU1588"/>
      <c r="AV1588"/>
      <c r="AW1588"/>
      <c r="AX1588"/>
      <c r="AY1588"/>
      <c r="AZ1588"/>
      <c r="BA1588"/>
      <c r="BB1588"/>
      <c r="BC1588" s="578"/>
      <c r="BD1588" s="578"/>
      <c r="BE1588"/>
      <c r="BF1588"/>
      <c r="BG1588"/>
      <c r="BH1588"/>
      <c r="BI1588"/>
      <c r="BJ1588"/>
      <c r="BK1588"/>
    </row>
    <row r="1589" spans="40:63" ht="12.75">
      <c r="AN1589"/>
      <c r="AO1589" s="293"/>
      <c r="AP1589"/>
      <c r="AQ1589" s="145"/>
      <c r="AR1589"/>
      <c r="AS1589"/>
      <c r="AT1589"/>
      <c r="AU1589"/>
      <c r="AV1589"/>
      <c r="AW1589"/>
      <c r="AX1589"/>
      <c r="AY1589"/>
      <c r="AZ1589"/>
      <c r="BA1589"/>
      <c r="BB1589"/>
      <c r="BC1589" s="578"/>
      <c r="BD1589" s="578"/>
      <c r="BE1589"/>
      <c r="BF1589"/>
      <c r="BG1589"/>
      <c r="BH1589"/>
      <c r="BI1589"/>
      <c r="BJ1589"/>
      <c r="BK1589"/>
    </row>
    <row r="1590" spans="40:63" ht="12.75">
      <c r="AN1590"/>
      <c r="AO1590" s="293"/>
      <c r="AP1590"/>
      <c r="AQ1590" s="145"/>
      <c r="AR1590"/>
      <c r="AS1590"/>
      <c r="AT1590"/>
      <c r="AU1590"/>
      <c r="AV1590"/>
      <c r="AW1590"/>
      <c r="AX1590"/>
      <c r="AY1590"/>
      <c r="AZ1590"/>
      <c r="BA1590"/>
      <c r="BB1590"/>
      <c r="BC1590" s="578"/>
      <c r="BD1590" s="578"/>
      <c r="BE1590"/>
      <c r="BF1590"/>
      <c r="BG1590"/>
      <c r="BH1590"/>
      <c r="BI1590"/>
      <c r="BJ1590"/>
      <c r="BK1590"/>
    </row>
    <row r="1591" spans="40:63" ht="12.75">
      <c r="AN1591"/>
      <c r="AO1591" s="293"/>
      <c r="AP1591"/>
      <c r="AQ1591" s="145"/>
      <c r="AR1591"/>
      <c r="AS1591"/>
      <c r="AT1591"/>
      <c r="AU1591"/>
      <c r="AV1591"/>
      <c r="AW1591"/>
      <c r="AX1591"/>
      <c r="AY1591"/>
      <c r="AZ1591"/>
      <c r="BA1591"/>
      <c r="BB1591"/>
      <c r="BC1591" s="578"/>
      <c r="BD1591" s="578"/>
      <c r="BE1591"/>
      <c r="BF1591"/>
      <c r="BG1591"/>
      <c r="BH1591"/>
      <c r="BI1591"/>
      <c r="BJ1591"/>
      <c r="BK1591"/>
    </row>
    <row r="1592" spans="40:63" ht="12.75">
      <c r="AN1592"/>
      <c r="AO1592" s="293"/>
      <c r="AP1592"/>
      <c r="AQ1592" s="145"/>
      <c r="AR1592"/>
      <c r="AS1592"/>
      <c r="AT1592"/>
      <c r="AU1592"/>
      <c r="AV1592"/>
      <c r="AW1592"/>
      <c r="AX1592"/>
      <c r="AY1592"/>
      <c r="AZ1592"/>
      <c r="BA1592"/>
      <c r="BB1592"/>
      <c r="BC1592" s="578"/>
      <c r="BD1592" s="578"/>
      <c r="BE1592"/>
      <c r="BF1592"/>
      <c r="BG1592"/>
      <c r="BH1592"/>
      <c r="BI1592"/>
      <c r="BJ1592"/>
      <c r="BK1592"/>
    </row>
    <row r="1593" spans="40:63" ht="12.75">
      <c r="AN1593"/>
      <c r="AO1593" s="293"/>
      <c r="AP1593"/>
      <c r="AQ1593" s="145"/>
      <c r="AR1593"/>
      <c r="AS1593"/>
      <c r="AT1593"/>
      <c r="AU1593"/>
      <c r="AV1593"/>
      <c r="AW1593"/>
      <c r="AX1593"/>
      <c r="AY1593"/>
      <c r="AZ1593"/>
      <c r="BA1593"/>
      <c r="BB1593"/>
      <c r="BC1593" s="578"/>
      <c r="BD1593" s="578"/>
      <c r="BE1593"/>
      <c r="BF1593"/>
      <c r="BG1593"/>
      <c r="BH1593"/>
      <c r="BI1593"/>
      <c r="BJ1593"/>
      <c r="BK1593"/>
    </row>
    <row r="1594" spans="40:63" ht="12.75">
      <c r="AN1594"/>
      <c r="AO1594" s="293"/>
      <c r="AP1594"/>
      <c r="AQ1594" s="145"/>
      <c r="AR1594"/>
      <c r="AS1594"/>
      <c r="AT1594"/>
      <c r="AU1594"/>
      <c r="AV1594"/>
      <c r="AW1594"/>
      <c r="AX1594"/>
      <c r="AY1594"/>
      <c r="AZ1594"/>
      <c r="BA1594"/>
      <c r="BB1594"/>
      <c r="BC1594" s="578"/>
      <c r="BD1594" s="578"/>
      <c r="BE1594"/>
      <c r="BF1594"/>
      <c r="BG1594"/>
      <c r="BH1594"/>
      <c r="BI1594"/>
      <c r="BJ1594"/>
      <c r="BK1594"/>
    </row>
    <row r="1595" spans="40:63" ht="12.75">
      <c r="AN1595"/>
      <c r="AO1595" s="293"/>
      <c r="AP1595"/>
      <c r="AQ1595" s="145"/>
      <c r="AR1595"/>
      <c r="AS1595"/>
      <c r="AT1595"/>
      <c r="AU1595"/>
      <c r="AV1595"/>
      <c r="AW1595"/>
      <c r="AX1595"/>
      <c r="AY1595"/>
      <c r="AZ1595"/>
      <c r="BA1595"/>
      <c r="BB1595"/>
      <c r="BC1595" s="578"/>
      <c r="BD1595" s="578"/>
      <c r="BE1595"/>
      <c r="BF1595"/>
      <c r="BG1595"/>
      <c r="BH1595"/>
      <c r="BI1595"/>
      <c r="BJ1595"/>
      <c r="BK1595"/>
    </row>
    <row r="1596" spans="40:63" ht="12.75">
      <c r="AN1596"/>
      <c r="AO1596" s="293"/>
      <c r="AP1596"/>
      <c r="AQ1596" s="145"/>
      <c r="AR1596"/>
      <c r="AS1596"/>
      <c r="AT1596"/>
      <c r="AU1596"/>
      <c r="AV1596"/>
      <c r="AW1596"/>
      <c r="AX1596"/>
      <c r="AY1596"/>
      <c r="AZ1596"/>
      <c r="BA1596"/>
      <c r="BB1596"/>
      <c r="BC1596" s="578"/>
      <c r="BD1596" s="578"/>
      <c r="BE1596"/>
      <c r="BF1596"/>
      <c r="BG1596"/>
      <c r="BH1596"/>
      <c r="BI1596"/>
      <c r="BJ1596"/>
      <c r="BK1596"/>
    </row>
    <row r="1597" spans="40:63" ht="12.75">
      <c r="AN1597"/>
      <c r="AO1597" s="293"/>
      <c r="AP1597"/>
      <c r="AQ1597" s="145"/>
      <c r="AR1597"/>
      <c r="AS1597"/>
      <c r="AT1597"/>
      <c r="AU1597"/>
      <c r="AV1597"/>
      <c r="AW1597"/>
      <c r="AX1597"/>
      <c r="AY1597"/>
      <c r="AZ1597"/>
      <c r="BA1597"/>
      <c r="BB1597"/>
      <c r="BC1597" s="578"/>
      <c r="BD1597" s="578"/>
      <c r="BE1597"/>
      <c r="BF1597"/>
      <c r="BG1597"/>
      <c r="BH1597"/>
      <c r="BI1597"/>
      <c r="BJ1597"/>
      <c r="BK1597"/>
    </row>
    <row r="1598" spans="40:63" ht="12.75">
      <c r="AN1598"/>
      <c r="AO1598" s="293"/>
      <c r="AP1598"/>
      <c r="AQ1598" s="145"/>
      <c r="AR1598"/>
      <c r="AS1598"/>
      <c r="AT1598"/>
      <c r="AU1598"/>
      <c r="AV1598"/>
      <c r="AW1598"/>
      <c r="AX1598"/>
      <c r="AY1598"/>
      <c r="AZ1598"/>
      <c r="BA1598"/>
      <c r="BB1598"/>
      <c r="BC1598" s="578"/>
      <c r="BD1598" s="578"/>
      <c r="BE1598"/>
      <c r="BF1598"/>
      <c r="BG1598"/>
      <c r="BH1598"/>
      <c r="BI1598"/>
      <c r="BJ1598"/>
      <c r="BK1598"/>
    </row>
    <row r="1599" spans="40:63" ht="12.75">
      <c r="AN1599"/>
      <c r="AO1599" s="293"/>
      <c r="AP1599"/>
      <c r="AQ1599" s="145"/>
      <c r="AR1599"/>
      <c r="AS1599"/>
      <c r="AT1599"/>
      <c r="AU1599"/>
      <c r="AV1599"/>
      <c r="AW1599"/>
      <c r="AX1599"/>
      <c r="AY1599"/>
      <c r="AZ1599"/>
      <c r="BA1599"/>
      <c r="BB1599"/>
      <c r="BC1599" s="578"/>
      <c r="BD1599" s="578"/>
      <c r="BE1599"/>
      <c r="BF1599"/>
      <c r="BG1599"/>
      <c r="BH1599"/>
      <c r="BI1599"/>
      <c r="BJ1599"/>
      <c r="BK1599"/>
    </row>
    <row r="1600" spans="40:63" ht="12.75">
      <c r="AN1600"/>
      <c r="AO1600" s="293"/>
      <c r="AP1600"/>
      <c r="AQ1600" s="145"/>
      <c r="AR1600"/>
      <c r="AS1600"/>
      <c r="AT1600"/>
      <c r="AU1600"/>
      <c r="AV1600"/>
      <c r="AW1600"/>
      <c r="AX1600"/>
      <c r="AY1600"/>
      <c r="AZ1600"/>
      <c r="BA1600"/>
      <c r="BB1600"/>
      <c r="BC1600" s="578"/>
      <c r="BD1600" s="578"/>
      <c r="BE1600"/>
      <c r="BF1600"/>
      <c r="BG1600"/>
      <c r="BH1600"/>
      <c r="BI1600"/>
      <c r="BJ1600"/>
      <c r="BK1600"/>
    </row>
    <row r="1601" spans="40:63" ht="12.75">
      <c r="AN1601"/>
      <c r="AO1601" s="293"/>
      <c r="AP1601"/>
      <c r="AQ1601" s="145"/>
      <c r="AR1601"/>
      <c r="AS1601"/>
      <c r="AT1601"/>
      <c r="AU1601"/>
      <c r="AV1601"/>
      <c r="AW1601"/>
      <c r="AX1601"/>
      <c r="AY1601"/>
      <c r="AZ1601"/>
      <c r="BA1601"/>
      <c r="BB1601"/>
      <c r="BC1601" s="578"/>
      <c r="BD1601" s="578"/>
      <c r="BE1601"/>
      <c r="BF1601"/>
      <c r="BG1601"/>
      <c r="BH1601"/>
      <c r="BI1601"/>
      <c r="BJ1601"/>
      <c r="BK1601"/>
    </row>
    <row r="1602" spans="40:63" ht="12.75">
      <c r="AN1602"/>
      <c r="AO1602" s="293"/>
      <c r="AP1602"/>
      <c r="AQ1602" s="145"/>
      <c r="AR1602"/>
      <c r="AS1602"/>
      <c r="AT1602"/>
      <c r="AU1602"/>
      <c r="AV1602"/>
      <c r="AW1602"/>
      <c r="AX1602"/>
      <c r="AY1602"/>
      <c r="AZ1602"/>
      <c r="BA1602"/>
      <c r="BB1602"/>
      <c r="BC1602" s="578"/>
      <c r="BD1602" s="578"/>
      <c r="BE1602"/>
      <c r="BF1602"/>
      <c r="BG1602"/>
      <c r="BH1602"/>
      <c r="BI1602"/>
      <c r="BJ1602"/>
      <c r="BK1602"/>
    </row>
    <row r="1603" spans="40:63" ht="12.75">
      <c r="AN1603"/>
      <c r="AO1603" s="293"/>
      <c r="AP1603"/>
      <c r="AQ1603" s="145"/>
      <c r="AR1603"/>
      <c r="AS1603"/>
      <c r="AT1603"/>
      <c r="AU1603"/>
      <c r="AV1603"/>
      <c r="AW1603"/>
      <c r="AX1603"/>
      <c r="AY1603"/>
      <c r="AZ1603"/>
      <c r="BA1603"/>
      <c r="BB1603"/>
      <c r="BC1603" s="578"/>
      <c r="BD1603" s="578"/>
      <c r="BE1603"/>
      <c r="BF1603"/>
      <c r="BG1603"/>
      <c r="BH1603"/>
      <c r="BI1603"/>
      <c r="BJ1603"/>
      <c r="BK1603"/>
    </row>
    <row r="1604" spans="40:63" ht="12.75">
      <c r="AN1604"/>
      <c r="AO1604" s="293"/>
      <c r="AP1604"/>
      <c r="AQ1604" s="145"/>
      <c r="AR1604"/>
      <c r="AS1604"/>
      <c r="AT1604"/>
      <c r="AU1604"/>
      <c r="AV1604"/>
      <c r="AW1604"/>
      <c r="AX1604"/>
      <c r="AY1604"/>
      <c r="AZ1604"/>
      <c r="BA1604"/>
      <c r="BB1604"/>
      <c r="BC1604" s="578"/>
      <c r="BD1604" s="578"/>
      <c r="BE1604"/>
      <c r="BF1604"/>
      <c r="BG1604"/>
      <c r="BH1604"/>
      <c r="BI1604"/>
      <c r="BJ1604"/>
      <c r="BK1604"/>
    </row>
    <row r="1605" spans="40:63" ht="12.75">
      <c r="AN1605"/>
      <c r="AO1605" s="293"/>
      <c r="AP1605"/>
      <c r="AQ1605" s="145"/>
      <c r="AR1605"/>
      <c r="AS1605"/>
      <c r="AT1605"/>
      <c r="AU1605"/>
      <c r="AV1605"/>
      <c r="AW1605"/>
      <c r="AX1605"/>
      <c r="AY1605"/>
      <c r="AZ1605"/>
      <c r="BA1605"/>
      <c r="BB1605"/>
      <c r="BC1605" s="578"/>
      <c r="BD1605" s="578"/>
      <c r="BE1605"/>
      <c r="BF1605"/>
      <c r="BG1605"/>
      <c r="BH1605"/>
      <c r="BI1605"/>
      <c r="BJ1605"/>
      <c r="BK1605"/>
    </row>
    <row r="1606" spans="40:63" ht="12.75">
      <c r="AN1606"/>
      <c r="AO1606" s="293"/>
      <c r="AP1606"/>
      <c r="AQ1606" s="145"/>
      <c r="AR1606"/>
      <c r="AS1606"/>
      <c r="AT1606"/>
      <c r="AU1606"/>
      <c r="AV1606"/>
      <c r="AW1606"/>
      <c r="AX1606"/>
      <c r="AY1606"/>
      <c r="AZ1606"/>
      <c r="BA1606"/>
      <c r="BB1606"/>
      <c r="BC1606" s="578"/>
      <c r="BD1606" s="578"/>
      <c r="BE1606"/>
      <c r="BF1606"/>
      <c r="BG1606"/>
      <c r="BH1606"/>
      <c r="BI1606"/>
      <c r="BJ1606"/>
      <c r="BK1606"/>
    </row>
    <row r="1607" spans="40:63" ht="12.75">
      <c r="AN1607"/>
      <c r="AO1607" s="293"/>
      <c r="AP1607"/>
      <c r="AQ1607" s="145"/>
      <c r="AR1607"/>
      <c r="AS1607"/>
      <c r="AT1607"/>
      <c r="AU1607"/>
      <c r="AV1607"/>
      <c r="AW1607"/>
      <c r="AX1607"/>
      <c r="AY1607"/>
      <c r="AZ1607"/>
      <c r="BA1607"/>
      <c r="BB1607"/>
      <c r="BC1607" s="578"/>
      <c r="BD1607" s="578"/>
      <c r="BE1607"/>
      <c r="BF1607"/>
      <c r="BG1607"/>
      <c r="BH1607"/>
      <c r="BI1607"/>
      <c r="BJ1607"/>
      <c r="BK1607"/>
    </row>
    <row r="1608" spans="40:63" ht="12.75">
      <c r="AN1608"/>
      <c r="AO1608" s="293"/>
      <c r="AP1608"/>
      <c r="AQ1608" s="145"/>
      <c r="AR1608"/>
      <c r="AS1608"/>
      <c r="AT1608"/>
      <c r="AU1608"/>
      <c r="AV1608"/>
      <c r="AW1608"/>
      <c r="AX1608"/>
      <c r="AY1608"/>
      <c r="AZ1608"/>
      <c r="BA1608"/>
      <c r="BB1608"/>
      <c r="BC1608" s="578"/>
      <c r="BD1608" s="578"/>
      <c r="BE1608"/>
      <c r="BF1608"/>
      <c r="BG1608"/>
      <c r="BH1608"/>
      <c r="BI1608"/>
      <c r="BJ1608"/>
      <c r="BK1608"/>
    </row>
    <row r="1609" spans="40:63" ht="12.75">
      <c r="AN1609"/>
      <c r="AO1609" s="293"/>
      <c r="AP1609"/>
      <c r="AQ1609" s="145"/>
      <c r="AR1609"/>
      <c r="AS1609"/>
      <c r="AT1609"/>
      <c r="AU1609"/>
      <c r="AV1609"/>
      <c r="AW1609"/>
      <c r="AX1609"/>
      <c r="AY1609"/>
      <c r="AZ1609"/>
      <c r="BA1609"/>
      <c r="BB1609"/>
      <c r="BC1609" s="578"/>
      <c r="BD1609" s="578"/>
      <c r="BE1609"/>
      <c r="BF1609"/>
      <c r="BG1609"/>
      <c r="BH1609"/>
      <c r="BI1609"/>
      <c r="BJ1609"/>
      <c r="BK1609"/>
    </row>
    <row r="1610" spans="40:63" ht="12.75">
      <c r="AN1610"/>
      <c r="AO1610" s="293"/>
      <c r="AP1610"/>
      <c r="AQ1610" s="145"/>
      <c r="AR1610"/>
      <c r="AS1610"/>
      <c r="AT1610"/>
      <c r="AU1610"/>
      <c r="AV1610"/>
      <c r="AW1610"/>
      <c r="AX1610"/>
      <c r="AY1610"/>
      <c r="AZ1610"/>
      <c r="BA1610"/>
      <c r="BB1610"/>
      <c r="BC1610" s="578"/>
      <c r="BD1610" s="578"/>
      <c r="BE1610"/>
      <c r="BF1610"/>
      <c r="BG1610"/>
      <c r="BH1610"/>
      <c r="BI1610"/>
      <c r="BJ1610"/>
      <c r="BK1610"/>
    </row>
    <row r="1611" spans="40:63" ht="12.75">
      <c r="AN1611"/>
      <c r="AO1611" s="293"/>
      <c r="AP1611"/>
      <c r="AQ1611" s="145"/>
      <c r="AR1611"/>
      <c r="AS1611"/>
      <c r="AT1611"/>
      <c r="AU1611"/>
      <c r="AV1611"/>
      <c r="AW1611"/>
      <c r="AX1611"/>
      <c r="AY1611"/>
      <c r="AZ1611"/>
      <c r="BA1611"/>
      <c r="BB1611"/>
      <c r="BC1611" s="578"/>
      <c r="BD1611" s="578"/>
      <c r="BE1611"/>
      <c r="BF1611"/>
      <c r="BG1611"/>
      <c r="BH1611"/>
      <c r="BI1611"/>
      <c r="BJ1611"/>
      <c r="BK1611"/>
    </row>
    <row r="1612" spans="40:63" ht="12.75">
      <c r="AN1612"/>
      <c r="AO1612" s="293"/>
      <c r="AP1612"/>
      <c r="AQ1612" s="145"/>
      <c r="AR1612"/>
      <c r="AS1612"/>
      <c r="AT1612"/>
      <c r="AU1612"/>
      <c r="AV1612"/>
      <c r="AW1612"/>
      <c r="AX1612"/>
      <c r="AY1612"/>
      <c r="AZ1612"/>
      <c r="BA1612"/>
      <c r="BB1612"/>
      <c r="BC1612" s="578"/>
      <c r="BD1612" s="578"/>
      <c r="BE1612"/>
      <c r="BF1612"/>
      <c r="BG1612"/>
      <c r="BH1612"/>
      <c r="BI1612"/>
      <c r="BJ1612"/>
      <c r="BK1612"/>
    </row>
    <row r="1613" spans="40:63" ht="12.75">
      <c r="AN1613"/>
      <c r="AO1613" s="293"/>
      <c r="AP1613"/>
      <c r="AQ1613" s="145"/>
      <c r="AR1613"/>
      <c r="AS1613"/>
      <c r="AT1613"/>
      <c r="AU1613"/>
      <c r="AV1613"/>
      <c r="AW1613"/>
      <c r="AX1613"/>
      <c r="AY1613"/>
      <c r="AZ1613"/>
      <c r="BA1613"/>
      <c r="BB1613"/>
      <c r="BC1613" s="578"/>
      <c r="BD1613" s="578"/>
      <c r="BE1613"/>
      <c r="BF1613"/>
      <c r="BG1613"/>
      <c r="BH1613"/>
      <c r="BI1613"/>
      <c r="BJ1613"/>
      <c r="BK1613"/>
    </row>
    <row r="1614" spans="40:63" ht="12.75">
      <c r="AN1614"/>
      <c r="AO1614" s="293"/>
      <c r="AP1614"/>
      <c r="AQ1614" s="145"/>
      <c r="AR1614"/>
      <c r="AS1614"/>
      <c r="AT1614"/>
      <c r="AU1614"/>
      <c r="AV1614"/>
      <c r="AW1614"/>
      <c r="AX1614"/>
      <c r="AY1614"/>
      <c r="AZ1614"/>
      <c r="BA1614"/>
      <c r="BB1614"/>
      <c r="BC1614" s="578"/>
      <c r="BD1614" s="578"/>
      <c r="BE1614"/>
      <c r="BF1614"/>
      <c r="BG1614"/>
      <c r="BH1614"/>
      <c r="BI1614"/>
      <c r="BJ1614"/>
      <c r="BK1614"/>
    </row>
    <row r="1615" spans="40:63" ht="12.75">
      <c r="AN1615"/>
      <c r="AO1615" s="293"/>
      <c r="AP1615"/>
      <c r="AQ1615" s="145"/>
      <c r="AR1615"/>
      <c r="AS1615"/>
      <c r="AT1615"/>
      <c r="AU1615"/>
      <c r="AV1615"/>
      <c r="AW1615"/>
      <c r="AX1615"/>
      <c r="AY1615"/>
      <c r="AZ1615"/>
      <c r="BA1615"/>
      <c r="BB1615"/>
      <c r="BC1615" s="578"/>
      <c r="BD1615" s="578"/>
      <c r="BE1615"/>
      <c r="BF1615"/>
      <c r="BG1615"/>
      <c r="BH1615"/>
      <c r="BI1615"/>
      <c r="BJ1615"/>
      <c r="BK1615"/>
    </row>
    <row r="1616" spans="40:63" ht="12.75">
      <c r="AN1616"/>
      <c r="AO1616" s="293"/>
      <c r="AP1616"/>
      <c r="AQ1616" s="145"/>
      <c r="AR1616"/>
      <c r="AS1616"/>
      <c r="AT1616"/>
      <c r="AU1616"/>
      <c r="AV1616"/>
      <c r="AW1616"/>
      <c r="AX1616"/>
      <c r="AY1616"/>
      <c r="AZ1616"/>
      <c r="BA1616"/>
      <c r="BB1616"/>
      <c r="BC1616" s="578"/>
      <c r="BD1616" s="578"/>
      <c r="BE1616"/>
      <c r="BF1616"/>
      <c r="BG1616"/>
      <c r="BH1616"/>
      <c r="BI1616"/>
      <c r="BJ1616"/>
      <c r="BK1616"/>
    </row>
    <row r="1617" spans="40:63" ht="12.75">
      <c r="AN1617"/>
      <c r="AO1617" s="293"/>
      <c r="AP1617"/>
      <c r="AQ1617" s="145"/>
      <c r="AR1617"/>
      <c r="AS1617"/>
      <c r="AT1617"/>
      <c r="AU1617"/>
      <c r="AV1617"/>
      <c r="AW1617"/>
      <c r="AX1617"/>
      <c r="AY1617"/>
      <c r="AZ1617"/>
      <c r="BA1617"/>
      <c r="BB1617"/>
      <c r="BC1617" s="578"/>
      <c r="BD1617" s="578"/>
      <c r="BE1617"/>
      <c r="BF1617"/>
      <c r="BG1617"/>
      <c r="BH1617"/>
      <c r="BI1617"/>
      <c r="BJ1617"/>
      <c r="BK1617"/>
    </row>
    <row r="1618" spans="40:63" ht="12.75">
      <c r="AN1618"/>
      <c r="AO1618" s="293"/>
      <c r="AP1618"/>
      <c r="AQ1618" s="145"/>
      <c r="AR1618"/>
      <c r="AS1618"/>
      <c r="AT1618"/>
      <c r="AU1618"/>
      <c r="AV1618"/>
      <c r="AW1618"/>
      <c r="AX1618"/>
      <c r="AY1618"/>
      <c r="AZ1618"/>
      <c r="BA1618"/>
      <c r="BB1618"/>
      <c r="BC1618" s="578"/>
      <c r="BD1618" s="578"/>
      <c r="BE1618"/>
      <c r="BF1618"/>
      <c r="BG1618"/>
      <c r="BH1618"/>
      <c r="BI1618"/>
      <c r="BJ1618"/>
      <c r="BK1618"/>
    </row>
    <row r="1619" spans="40:63" ht="12.75">
      <c r="AN1619"/>
      <c r="AO1619" s="293"/>
      <c r="AP1619"/>
      <c r="AQ1619" s="145"/>
      <c r="AR1619"/>
      <c r="AS1619"/>
      <c r="AT1619"/>
      <c r="AU1619"/>
      <c r="AV1619"/>
      <c r="AW1619"/>
      <c r="AX1619"/>
      <c r="AY1619"/>
      <c r="AZ1619"/>
      <c r="BA1619"/>
      <c r="BB1619"/>
      <c r="BC1619" s="578"/>
      <c r="BD1619" s="578"/>
      <c r="BE1619"/>
      <c r="BF1619"/>
      <c r="BG1619"/>
      <c r="BH1619"/>
      <c r="BI1619"/>
      <c r="BJ1619"/>
      <c r="BK1619"/>
    </row>
    <row r="1620" spans="40:63" ht="12.75">
      <c r="AN1620"/>
      <c r="AO1620" s="293"/>
      <c r="AP1620"/>
      <c r="AQ1620" s="145"/>
      <c r="AR1620"/>
      <c r="AS1620"/>
      <c r="AT1620"/>
      <c r="AU1620"/>
      <c r="AV1620"/>
      <c r="AW1620"/>
      <c r="AX1620"/>
      <c r="AY1620"/>
      <c r="AZ1620"/>
      <c r="BA1620"/>
      <c r="BB1620"/>
      <c r="BC1620" s="578"/>
      <c r="BD1620" s="578"/>
      <c r="BE1620"/>
      <c r="BF1620"/>
      <c r="BG1620"/>
      <c r="BH1620"/>
      <c r="BI1620"/>
      <c r="BJ1620"/>
      <c r="BK1620"/>
    </row>
    <row r="1621" spans="40:63" ht="12.75">
      <c r="AN1621"/>
      <c r="AO1621" s="293"/>
      <c r="AP1621"/>
      <c r="AQ1621" s="145"/>
      <c r="AR1621"/>
      <c r="AS1621"/>
      <c r="AT1621"/>
      <c r="AU1621"/>
      <c r="AV1621"/>
      <c r="AW1621"/>
      <c r="AX1621"/>
      <c r="AY1621"/>
      <c r="AZ1621"/>
      <c r="BA1621"/>
      <c r="BB1621"/>
      <c r="BC1621" s="578"/>
      <c r="BD1621" s="578"/>
      <c r="BE1621"/>
      <c r="BF1621"/>
      <c r="BG1621"/>
      <c r="BH1621"/>
      <c r="BI1621"/>
      <c r="BJ1621"/>
      <c r="BK1621"/>
    </row>
    <row r="1622" spans="40:63" ht="12.75">
      <c r="AN1622"/>
      <c r="AO1622" s="293"/>
      <c r="AP1622"/>
      <c r="AQ1622" s="145"/>
      <c r="AR1622"/>
      <c r="AS1622"/>
      <c r="AT1622"/>
      <c r="AU1622"/>
      <c r="AV1622"/>
      <c r="AW1622"/>
      <c r="AX1622"/>
      <c r="AY1622"/>
      <c r="AZ1622"/>
      <c r="BA1622"/>
      <c r="BB1622"/>
      <c r="BC1622" s="578"/>
      <c r="BD1622" s="578"/>
      <c r="BE1622"/>
      <c r="BF1622"/>
      <c r="BG1622"/>
      <c r="BH1622"/>
      <c r="BI1622"/>
      <c r="BJ1622"/>
      <c r="BK1622"/>
    </row>
    <row r="1623" spans="40:63" ht="12.75">
      <c r="AN1623"/>
      <c r="AO1623" s="293"/>
      <c r="AP1623"/>
      <c r="AQ1623" s="145"/>
      <c r="AR1623"/>
      <c r="AS1623"/>
      <c r="AT1623"/>
      <c r="AU1623"/>
      <c r="AV1623"/>
      <c r="AW1623"/>
      <c r="AX1623"/>
      <c r="AY1623"/>
      <c r="AZ1623"/>
      <c r="BA1623"/>
      <c r="BB1623"/>
      <c r="BC1623" s="578"/>
      <c r="BD1623" s="578"/>
      <c r="BE1623"/>
      <c r="BF1623"/>
      <c r="BG1623"/>
      <c r="BH1623"/>
      <c r="BI1623"/>
      <c r="BJ1623"/>
      <c r="BK1623"/>
    </row>
    <row r="1624" spans="40:63" ht="12.75">
      <c r="AN1624"/>
      <c r="AO1624" s="293"/>
      <c r="AP1624"/>
      <c r="AQ1624" s="145"/>
      <c r="AR1624"/>
      <c r="AS1624"/>
      <c r="AT1624"/>
      <c r="AU1624"/>
      <c r="AV1624"/>
      <c r="AW1624"/>
      <c r="AX1624"/>
      <c r="AY1624"/>
      <c r="AZ1624"/>
      <c r="BA1624"/>
      <c r="BB1624"/>
      <c r="BC1624" s="578"/>
      <c r="BD1624" s="578"/>
      <c r="BE1624"/>
      <c r="BF1624"/>
      <c r="BG1624"/>
      <c r="BH1624"/>
      <c r="BI1624"/>
      <c r="BJ1624"/>
      <c r="BK1624"/>
    </row>
    <row r="1625" spans="40:63" ht="12.75">
      <c r="AN1625"/>
      <c r="AO1625" s="293"/>
      <c r="AP1625"/>
      <c r="AQ1625" s="145"/>
      <c r="AR1625"/>
      <c r="AS1625"/>
      <c r="AT1625"/>
      <c r="AU1625"/>
      <c r="AV1625"/>
      <c r="AW1625"/>
      <c r="AX1625"/>
      <c r="AY1625"/>
      <c r="AZ1625"/>
      <c r="BA1625"/>
      <c r="BB1625"/>
      <c r="BC1625" s="578"/>
      <c r="BD1625" s="578"/>
      <c r="BE1625"/>
      <c r="BF1625"/>
      <c r="BG1625"/>
      <c r="BH1625"/>
      <c r="BI1625"/>
      <c r="BJ1625"/>
      <c r="BK1625"/>
    </row>
    <row r="1626" spans="40:63" ht="12.75">
      <c r="AN1626"/>
      <c r="AO1626" s="293"/>
      <c r="AP1626"/>
      <c r="AQ1626" s="145"/>
      <c r="AR1626"/>
      <c r="AS1626"/>
      <c r="AT1626"/>
      <c r="AU1626"/>
      <c r="AV1626"/>
      <c r="AW1626"/>
      <c r="AX1626"/>
      <c r="AY1626"/>
      <c r="AZ1626"/>
      <c r="BA1626"/>
      <c r="BB1626"/>
      <c r="BC1626" s="578"/>
      <c r="BD1626" s="578"/>
      <c r="BE1626"/>
      <c r="BF1626"/>
      <c r="BG1626"/>
      <c r="BH1626"/>
      <c r="BI1626"/>
      <c r="BJ1626"/>
      <c r="BK1626"/>
    </row>
    <row r="1627" spans="40:63" ht="12.75">
      <c r="AN1627"/>
      <c r="AO1627" s="293"/>
      <c r="AP1627"/>
      <c r="AQ1627" s="145"/>
      <c r="AR1627"/>
      <c r="AS1627"/>
      <c r="AT1627"/>
      <c r="AU1627"/>
      <c r="AV1627"/>
      <c r="AW1627"/>
      <c r="AX1627"/>
      <c r="AY1627"/>
      <c r="AZ1627"/>
      <c r="BA1627"/>
      <c r="BB1627"/>
      <c r="BC1627" s="578"/>
      <c r="BD1627" s="578"/>
      <c r="BE1627"/>
      <c r="BF1627"/>
      <c r="BG1627"/>
      <c r="BH1627"/>
      <c r="BI1627"/>
      <c r="BJ1627"/>
      <c r="BK1627"/>
    </row>
    <row r="1628" spans="40:63" ht="12.75">
      <c r="AN1628"/>
      <c r="AO1628" s="293"/>
      <c r="AP1628"/>
      <c r="AQ1628" s="145"/>
      <c r="AR1628"/>
      <c r="AS1628"/>
      <c r="AT1628"/>
      <c r="AU1628"/>
      <c r="AV1628"/>
      <c r="AW1628"/>
      <c r="AX1628"/>
      <c r="AY1628"/>
      <c r="AZ1628"/>
      <c r="BA1628"/>
      <c r="BB1628"/>
      <c r="BC1628" s="578"/>
      <c r="BD1628" s="578"/>
      <c r="BE1628"/>
      <c r="BF1628"/>
      <c r="BG1628"/>
      <c r="BH1628"/>
      <c r="BI1628"/>
      <c r="BJ1628"/>
      <c r="BK1628"/>
    </row>
    <row r="1629" spans="40:63" ht="12.75">
      <c r="AN1629"/>
      <c r="AO1629" s="293"/>
      <c r="AP1629"/>
      <c r="AQ1629" s="145"/>
      <c r="AR1629"/>
      <c r="AS1629"/>
      <c r="AT1629"/>
      <c r="AU1629"/>
      <c r="AV1629"/>
      <c r="AW1629"/>
      <c r="AX1629"/>
      <c r="AY1629"/>
      <c r="AZ1629"/>
      <c r="BA1629"/>
      <c r="BB1629"/>
      <c r="BC1629" s="578"/>
      <c r="BD1629" s="578"/>
      <c r="BE1629"/>
      <c r="BF1629"/>
      <c r="BG1629"/>
      <c r="BH1629"/>
      <c r="BI1629"/>
      <c r="BJ1629"/>
      <c r="BK1629"/>
    </row>
    <row r="1630" spans="40:63" ht="12.75">
      <c r="AN1630"/>
      <c r="AO1630" s="293"/>
      <c r="AP1630"/>
      <c r="AQ1630" s="145"/>
      <c r="AR1630"/>
      <c r="AS1630"/>
      <c r="AT1630"/>
      <c r="AU1630"/>
      <c r="AV1630"/>
      <c r="AW1630"/>
      <c r="AX1630"/>
      <c r="AY1630"/>
      <c r="AZ1630"/>
      <c r="BA1630"/>
      <c r="BB1630"/>
      <c r="BC1630" s="578"/>
      <c r="BD1630" s="578"/>
      <c r="BE1630"/>
      <c r="BF1630"/>
      <c r="BG1630"/>
      <c r="BH1630"/>
      <c r="BI1630"/>
      <c r="BJ1630"/>
      <c r="BK1630"/>
    </row>
    <row r="1631" spans="40:63" ht="12.75">
      <c r="AN1631"/>
      <c r="AO1631" s="293"/>
      <c r="AP1631"/>
      <c r="AQ1631" s="145"/>
      <c r="AR1631"/>
      <c r="AS1631"/>
      <c r="AT1631"/>
      <c r="AU1631"/>
      <c r="AV1631"/>
      <c r="AW1631"/>
      <c r="AX1631"/>
      <c r="AY1631"/>
      <c r="AZ1631"/>
      <c r="BA1631"/>
      <c r="BB1631"/>
      <c r="BC1631" s="578"/>
      <c r="BD1631" s="578"/>
      <c r="BE1631"/>
      <c r="BF1631"/>
      <c r="BG1631"/>
      <c r="BH1631"/>
      <c r="BI1631"/>
      <c r="BJ1631"/>
      <c r="BK1631"/>
    </row>
    <row r="1632" spans="40:63" ht="12.75">
      <c r="AN1632"/>
      <c r="AO1632" s="293"/>
      <c r="AP1632"/>
      <c r="AQ1632" s="145"/>
      <c r="AR1632"/>
      <c r="AS1632"/>
      <c r="AT1632"/>
      <c r="AU1632"/>
      <c r="AV1632"/>
      <c r="AW1632"/>
      <c r="AX1632"/>
      <c r="AY1632"/>
      <c r="AZ1632"/>
      <c r="BA1632"/>
      <c r="BB1632"/>
      <c r="BC1632" s="578"/>
      <c r="BD1632" s="578"/>
      <c r="BE1632"/>
      <c r="BF1632"/>
      <c r="BG1632"/>
      <c r="BH1632"/>
      <c r="BI1632"/>
      <c r="BJ1632"/>
      <c r="BK1632"/>
    </row>
    <row r="1633" spans="40:63" ht="12.75">
      <c r="AN1633"/>
      <c r="AO1633" s="293"/>
      <c r="AP1633"/>
      <c r="AQ1633" s="145"/>
      <c r="AR1633"/>
      <c r="AS1633"/>
      <c r="AT1633"/>
      <c r="AU1633"/>
      <c r="AV1633"/>
      <c r="AW1633"/>
      <c r="AX1633"/>
      <c r="AY1633"/>
      <c r="AZ1633"/>
      <c r="BA1633"/>
      <c r="BB1633"/>
      <c r="BC1633" s="578"/>
      <c r="BD1633" s="578"/>
      <c r="BE1633"/>
      <c r="BF1633"/>
      <c r="BG1633"/>
      <c r="BH1633"/>
      <c r="BI1633"/>
      <c r="BJ1633"/>
      <c r="BK1633"/>
    </row>
    <row r="1634" spans="40:63" ht="12.75">
      <c r="AN1634"/>
      <c r="AO1634" s="293"/>
      <c r="AP1634"/>
      <c r="AQ1634" s="145"/>
      <c r="AR1634"/>
      <c r="AS1634"/>
      <c r="AT1634"/>
      <c r="AU1634"/>
      <c r="AV1634"/>
      <c r="AW1634"/>
      <c r="AX1634"/>
      <c r="AY1634"/>
      <c r="AZ1634"/>
      <c r="BA1634"/>
      <c r="BB1634"/>
      <c r="BC1634" s="578"/>
      <c r="BD1634" s="578"/>
      <c r="BE1634"/>
      <c r="BF1634"/>
      <c r="BG1634"/>
      <c r="BH1634"/>
      <c r="BI1634"/>
      <c r="BJ1634"/>
      <c r="BK1634"/>
    </row>
    <row r="1635" spans="40:63" ht="12.75">
      <c r="AN1635"/>
      <c r="AO1635" s="293"/>
      <c r="AP1635"/>
      <c r="AQ1635" s="145"/>
      <c r="AR1635"/>
      <c r="AS1635"/>
      <c r="AT1635"/>
      <c r="AU1635"/>
      <c r="AV1635"/>
      <c r="AW1635"/>
      <c r="AX1635"/>
      <c r="AY1635"/>
      <c r="AZ1635"/>
      <c r="BA1635"/>
      <c r="BB1635"/>
      <c r="BC1635" s="578"/>
      <c r="BD1635" s="578"/>
      <c r="BE1635"/>
      <c r="BF1635"/>
      <c r="BG1635"/>
      <c r="BH1635"/>
      <c r="BI1635"/>
      <c r="BJ1635"/>
      <c r="BK1635"/>
    </row>
    <row r="1636" spans="40:63" ht="12.75">
      <c r="AN1636"/>
      <c r="AO1636" s="293"/>
      <c r="AP1636"/>
      <c r="AQ1636" s="145"/>
      <c r="AR1636"/>
      <c r="AS1636"/>
      <c r="AT1636"/>
      <c r="AU1636"/>
      <c r="AV1636"/>
      <c r="AW1636"/>
      <c r="AX1636"/>
      <c r="AY1636"/>
      <c r="AZ1636"/>
      <c r="BA1636"/>
      <c r="BB1636"/>
      <c r="BC1636" s="578"/>
      <c r="BD1636" s="578"/>
      <c r="BE1636"/>
      <c r="BF1636"/>
      <c r="BG1636"/>
      <c r="BH1636"/>
      <c r="BI1636"/>
      <c r="BJ1636"/>
      <c r="BK1636"/>
    </row>
    <row r="1637" spans="40:63" ht="12.75">
      <c r="AN1637"/>
      <c r="AO1637" s="293"/>
      <c r="AP1637"/>
      <c r="AQ1637" s="145"/>
      <c r="AR1637"/>
      <c r="AS1637"/>
      <c r="AT1637"/>
      <c r="AU1637"/>
      <c r="AV1637"/>
      <c r="AW1637"/>
      <c r="AX1637"/>
      <c r="AY1637"/>
      <c r="AZ1637"/>
      <c r="BA1637"/>
      <c r="BB1637"/>
      <c r="BC1637" s="578"/>
      <c r="BD1637" s="578"/>
      <c r="BE1637"/>
      <c r="BF1637"/>
      <c r="BG1637"/>
      <c r="BH1637"/>
      <c r="BI1637"/>
      <c r="BJ1637"/>
      <c r="BK1637"/>
    </row>
    <row r="1638" spans="40:63" ht="12.75">
      <c r="AN1638"/>
      <c r="AO1638" s="293"/>
      <c r="AP1638"/>
      <c r="AQ1638" s="145"/>
      <c r="AR1638"/>
      <c r="AS1638"/>
      <c r="AT1638"/>
      <c r="AU1638"/>
      <c r="AV1638"/>
      <c r="AW1638"/>
      <c r="AX1638"/>
      <c r="AY1638"/>
      <c r="AZ1638"/>
      <c r="BA1638"/>
      <c r="BB1638"/>
      <c r="BC1638" s="578"/>
      <c r="BD1638" s="578"/>
      <c r="BE1638"/>
      <c r="BF1638"/>
      <c r="BG1638"/>
      <c r="BH1638"/>
      <c r="BI1638"/>
      <c r="BJ1638"/>
      <c r="BK1638"/>
    </row>
    <row r="1639" spans="40:63" ht="12.75">
      <c r="AN1639"/>
      <c r="AO1639" s="293"/>
      <c r="AP1639"/>
      <c r="AQ1639" s="145"/>
      <c r="AR1639"/>
      <c r="AS1639"/>
      <c r="AT1639"/>
      <c r="AU1639"/>
      <c r="AV1639"/>
      <c r="AW1639"/>
      <c r="AX1639"/>
      <c r="AY1639"/>
      <c r="AZ1639"/>
      <c r="BA1639"/>
      <c r="BB1639"/>
      <c r="BC1639" s="578"/>
      <c r="BD1639" s="578"/>
      <c r="BE1639"/>
      <c r="BF1639"/>
      <c r="BG1639"/>
      <c r="BH1639"/>
      <c r="BI1639"/>
      <c r="BJ1639"/>
      <c r="BK1639"/>
    </row>
    <row r="1640" spans="40:63" ht="12.75">
      <c r="AN1640"/>
      <c r="AO1640" s="293"/>
      <c r="AP1640"/>
      <c r="AQ1640" s="145"/>
      <c r="AR1640"/>
      <c r="AS1640"/>
      <c r="AT1640"/>
      <c r="AU1640"/>
      <c r="AV1640"/>
      <c r="AW1640"/>
      <c r="AX1640"/>
      <c r="AY1640"/>
      <c r="AZ1640"/>
      <c r="BA1640"/>
      <c r="BB1640"/>
      <c r="BC1640" s="578"/>
      <c r="BD1640" s="578"/>
      <c r="BE1640"/>
      <c r="BF1640"/>
      <c r="BG1640"/>
      <c r="BH1640"/>
      <c r="BI1640"/>
      <c r="BJ1640"/>
      <c r="BK1640"/>
    </row>
    <row r="1641" spans="40:63" ht="12.75">
      <c r="AN1641"/>
      <c r="AO1641" s="293"/>
      <c r="AP1641"/>
      <c r="AQ1641" s="145"/>
      <c r="AR1641"/>
      <c r="AS1641"/>
      <c r="AT1641"/>
      <c r="AU1641"/>
      <c r="AV1641"/>
      <c r="AW1641"/>
      <c r="AX1641"/>
      <c r="AY1641"/>
      <c r="AZ1641"/>
      <c r="BA1641"/>
      <c r="BB1641"/>
      <c r="BC1641" s="578"/>
      <c r="BD1641" s="578"/>
      <c r="BE1641"/>
      <c r="BF1641"/>
      <c r="BG1641"/>
      <c r="BH1641"/>
      <c r="BI1641"/>
      <c r="BJ1641"/>
      <c r="BK1641"/>
    </row>
    <row r="1642" spans="40:63" ht="12.75">
      <c r="AN1642"/>
      <c r="AO1642" s="293"/>
      <c r="AP1642"/>
      <c r="AQ1642" s="145"/>
      <c r="AR1642"/>
      <c r="AS1642"/>
      <c r="AT1642"/>
      <c r="AU1642"/>
      <c r="AV1642"/>
      <c r="AW1642"/>
      <c r="AX1642"/>
      <c r="AY1642"/>
      <c r="AZ1642"/>
      <c r="BA1642"/>
      <c r="BB1642"/>
      <c r="BC1642" s="578"/>
      <c r="BD1642" s="578"/>
      <c r="BE1642"/>
      <c r="BF1642"/>
      <c r="BG1642"/>
      <c r="BH1642"/>
      <c r="BI1642"/>
      <c r="BJ1642"/>
      <c r="BK1642"/>
    </row>
    <row r="1643" spans="40:63" ht="12.75">
      <c r="AN1643"/>
      <c r="AO1643" s="293"/>
      <c r="AP1643"/>
      <c r="AQ1643" s="145"/>
      <c r="AR1643"/>
      <c r="AS1643"/>
      <c r="AT1643"/>
      <c r="AU1643"/>
      <c r="AV1643"/>
      <c r="AW1643"/>
      <c r="AX1643"/>
      <c r="AY1643"/>
      <c r="AZ1643"/>
      <c r="BA1643"/>
      <c r="BB1643"/>
      <c r="BC1643" s="578"/>
      <c r="BD1643" s="578"/>
      <c r="BE1643"/>
      <c r="BF1643"/>
      <c r="BG1643"/>
      <c r="BH1643"/>
      <c r="BI1643"/>
      <c r="BJ1643"/>
      <c r="BK1643"/>
    </row>
    <row r="1644" spans="40:63" ht="12.75">
      <c r="AN1644"/>
      <c r="AO1644" s="293"/>
      <c r="AP1644"/>
      <c r="AQ1644" s="145"/>
      <c r="AR1644"/>
      <c r="AS1644"/>
      <c r="AT1644"/>
      <c r="AU1644"/>
      <c r="AV1644"/>
      <c r="AW1644"/>
      <c r="AX1644"/>
      <c r="AY1644"/>
      <c r="AZ1644"/>
      <c r="BA1644"/>
      <c r="BB1644"/>
      <c r="BC1644" s="578"/>
      <c r="BD1644" s="578"/>
      <c r="BE1644"/>
      <c r="BF1644"/>
      <c r="BG1644"/>
      <c r="BH1644"/>
      <c r="BI1644"/>
      <c r="BJ1644"/>
      <c r="BK1644"/>
    </row>
    <row r="1645" spans="40:63" ht="12.75">
      <c r="AN1645"/>
      <c r="AO1645" s="293"/>
      <c r="AP1645"/>
      <c r="AQ1645" s="145"/>
      <c r="AR1645"/>
      <c r="AS1645"/>
      <c r="AT1645"/>
      <c r="AU1645"/>
      <c r="AV1645"/>
      <c r="AW1645"/>
      <c r="AX1645"/>
      <c r="AY1645"/>
      <c r="AZ1645"/>
      <c r="BA1645"/>
      <c r="BB1645"/>
      <c r="BC1645" s="578"/>
      <c r="BD1645" s="578"/>
      <c r="BE1645"/>
      <c r="BF1645"/>
      <c r="BG1645"/>
      <c r="BH1645"/>
      <c r="BI1645"/>
      <c r="BJ1645"/>
      <c r="BK1645"/>
    </row>
    <row r="1646" spans="40:63" ht="12.75">
      <c r="AN1646"/>
      <c r="AO1646" s="293"/>
      <c r="AP1646"/>
      <c r="AQ1646" s="145"/>
      <c r="AR1646"/>
      <c r="AS1646"/>
      <c r="AT1646"/>
      <c r="AU1646"/>
      <c r="AV1646"/>
      <c r="AW1646"/>
      <c r="AX1646"/>
      <c r="AY1646"/>
      <c r="AZ1646"/>
      <c r="BA1646"/>
      <c r="BB1646"/>
      <c r="BC1646" s="578"/>
      <c r="BD1646" s="578"/>
      <c r="BE1646"/>
      <c r="BF1646"/>
      <c r="BG1646"/>
      <c r="BH1646"/>
      <c r="BI1646"/>
      <c r="BJ1646"/>
      <c r="BK1646"/>
    </row>
    <row r="1647" spans="40:63" ht="12.75">
      <c r="AN1647"/>
      <c r="AO1647" s="293"/>
      <c r="AP1647"/>
      <c r="AQ1647" s="145"/>
      <c r="AR1647"/>
      <c r="AS1647"/>
      <c r="AT1647"/>
      <c r="AU1647"/>
      <c r="AV1647"/>
      <c r="AW1647"/>
      <c r="AX1647"/>
      <c r="AY1647"/>
      <c r="AZ1647"/>
      <c r="BA1647"/>
      <c r="BB1647"/>
      <c r="BC1647" s="578"/>
      <c r="BD1647" s="578"/>
      <c r="BE1647"/>
      <c r="BF1647"/>
      <c r="BG1647"/>
      <c r="BH1647"/>
      <c r="BI1647"/>
      <c r="BJ1647"/>
      <c r="BK1647"/>
    </row>
    <row r="1648" spans="40:63" ht="12.75">
      <c r="AN1648"/>
      <c r="AO1648" s="293"/>
      <c r="AP1648"/>
      <c r="AQ1648" s="145"/>
      <c r="AR1648"/>
      <c r="AS1648"/>
      <c r="AT1648"/>
      <c r="AU1648"/>
      <c r="AV1648"/>
      <c r="AW1648"/>
      <c r="AX1648"/>
      <c r="AY1648"/>
      <c r="AZ1648"/>
      <c r="BA1648"/>
      <c r="BB1648"/>
      <c r="BC1648" s="578"/>
      <c r="BD1648" s="578"/>
      <c r="BE1648"/>
      <c r="BF1648"/>
      <c r="BG1648"/>
      <c r="BH1648"/>
      <c r="BI1648"/>
      <c r="BJ1648"/>
      <c r="BK1648"/>
    </row>
    <row r="1649" spans="40:63" ht="12.75">
      <c r="AN1649"/>
      <c r="AO1649" s="293"/>
      <c r="AP1649"/>
      <c r="AQ1649" s="145"/>
      <c r="AR1649"/>
      <c r="AS1649"/>
      <c r="AT1649"/>
      <c r="AU1649"/>
      <c r="AV1649"/>
      <c r="AW1649"/>
      <c r="AX1649"/>
      <c r="AY1649"/>
      <c r="AZ1649"/>
      <c r="BA1649"/>
      <c r="BB1649"/>
      <c r="BC1649" s="578"/>
      <c r="BD1649" s="578"/>
      <c r="BE1649"/>
      <c r="BF1649"/>
      <c r="BG1649"/>
      <c r="BH1649"/>
      <c r="BI1649"/>
      <c r="BJ1649"/>
      <c r="BK1649"/>
    </row>
    <row r="1650" spans="40:63" ht="12.75">
      <c r="AN1650"/>
      <c r="AO1650" s="293"/>
      <c r="AP1650"/>
      <c r="AQ1650" s="145"/>
      <c r="AR1650"/>
      <c r="AS1650"/>
      <c r="AT1650"/>
      <c r="AU1650"/>
      <c r="AV1650"/>
      <c r="AW1650"/>
      <c r="AX1650"/>
      <c r="AY1650"/>
      <c r="AZ1650"/>
      <c r="BA1650"/>
      <c r="BB1650"/>
      <c r="BC1650" s="578"/>
      <c r="BD1650" s="578"/>
      <c r="BE1650"/>
      <c r="BF1650"/>
      <c r="BG1650"/>
      <c r="BH1650"/>
      <c r="BI1650"/>
      <c r="BJ1650"/>
      <c r="BK1650"/>
    </row>
    <row r="1651" spans="40:63" ht="12.75">
      <c r="AN1651"/>
      <c r="AO1651" s="293"/>
      <c r="AP1651"/>
      <c r="AQ1651" s="145"/>
      <c r="AR1651"/>
      <c r="AS1651"/>
      <c r="AT1651"/>
      <c r="AU1651"/>
      <c r="AV1651"/>
      <c r="AW1651"/>
      <c r="AX1651"/>
      <c r="AY1651"/>
      <c r="AZ1651"/>
      <c r="BA1651"/>
      <c r="BB1651"/>
      <c r="BC1651" s="578"/>
      <c r="BD1651" s="578"/>
      <c r="BE1651"/>
      <c r="BF1651"/>
      <c r="BG1651"/>
      <c r="BH1651"/>
      <c r="BI1651"/>
      <c r="BJ1651"/>
      <c r="BK1651"/>
    </row>
    <row r="1652" spans="40:63" ht="12.75">
      <c r="AN1652"/>
      <c r="AO1652" s="293"/>
      <c r="AP1652"/>
      <c r="AQ1652" s="145"/>
      <c r="AR1652"/>
      <c r="AS1652"/>
      <c r="AT1652"/>
      <c r="AU1652"/>
      <c r="AV1652"/>
      <c r="AW1652"/>
      <c r="AX1652"/>
      <c r="AY1652"/>
      <c r="AZ1652"/>
      <c r="BA1652"/>
      <c r="BB1652"/>
      <c r="BC1652" s="578"/>
      <c r="BD1652" s="578"/>
      <c r="BE1652"/>
      <c r="BF1652"/>
      <c r="BG1652"/>
      <c r="BH1652"/>
      <c r="BI1652"/>
      <c r="BJ1652"/>
      <c r="BK1652"/>
    </row>
    <row r="1653" spans="40:63" ht="12.75">
      <c r="AN1653"/>
      <c r="AO1653" s="293"/>
      <c r="AP1653"/>
      <c r="AQ1653" s="145"/>
      <c r="AR1653"/>
      <c r="AS1653"/>
      <c r="AT1653"/>
      <c r="AU1653"/>
      <c r="AV1653"/>
      <c r="AW1653"/>
      <c r="AX1653"/>
      <c r="AY1653"/>
      <c r="AZ1653"/>
      <c r="BA1653"/>
      <c r="BB1653"/>
      <c r="BC1653" s="578"/>
      <c r="BD1653" s="578"/>
      <c r="BE1653"/>
      <c r="BF1653"/>
      <c r="BG1653"/>
      <c r="BH1653"/>
      <c r="BI1653"/>
      <c r="BJ1653"/>
      <c r="BK1653"/>
    </row>
    <row r="1654" spans="40:63" ht="12.75">
      <c r="AN1654"/>
      <c r="AO1654" s="293"/>
      <c r="AP1654"/>
      <c r="AQ1654" s="145"/>
      <c r="AR1654"/>
      <c r="AS1654"/>
      <c r="AT1654"/>
      <c r="AU1654"/>
      <c r="AV1654"/>
      <c r="AW1654"/>
      <c r="AX1654"/>
      <c r="AY1654"/>
      <c r="AZ1654"/>
      <c r="BA1654"/>
      <c r="BB1654"/>
      <c r="BC1654" s="578"/>
      <c r="BD1654" s="578"/>
      <c r="BE1654"/>
      <c r="BF1654"/>
      <c r="BG1654"/>
      <c r="BH1654"/>
      <c r="BI1654"/>
      <c r="BJ1654"/>
      <c r="BK1654"/>
    </row>
    <row r="1655" spans="40:63" ht="12.75">
      <c r="AN1655"/>
      <c r="AO1655" s="293"/>
      <c r="AP1655"/>
      <c r="AQ1655" s="145"/>
      <c r="AR1655"/>
      <c r="AS1655"/>
      <c r="AT1655"/>
      <c r="AU1655"/>
      <c r="AV1655"/>
      <c r="AW1655"/>
      <c r="AX1655"/>
      <c r="AY1655"/>
      <c r="AZ1655"/>
      <c r="BA1655"/>
      <c r="BB1655"/>
      <c r="BC1655" s="578"/>
      <c r="BD1655" s="578"/>
      <c r="BE1655"/>
      <c r="BF1655"/>
      <c r="BG1655"/>
      <c r="BH1655"/>
      <c r="BI1655"/>
      <c r="BJ1655"/>
      <c r="BK1655"/>
    </row>
    <row r="1656" spans="40:63" ht="12.75">
      <c r="AN1656"/>
      <c r="AO1656" s="293"/>
      <c r="AP1656"/>
      <c r="AQ1656" s="145"/>
      <c r="AR1656"/>
      <c r="AS1656"/>
      <c r="AT1656"/>
      <c r="AU1656"/>
      <c r="AV1656"/>
      <c r="AW1656"/>
      <c r="AX1656"/>
      <c r="AY1656"/>
      <c r="AZ1656"/>
      <c r="BA1656"/>
      <c r="BB1656"/>
      <c r="BC1656" s="578"/>
      <c r="BD1656" s="578"/>
      <c r="BE1656"/>
      <c r="BF1656"/>
      <c r="BG1656"/>
      <c r="BH1656"/>
      <c r="BI1656"/>
      <c r="BJ1656"/>
      <c r="BK1656"/>
    </row>
    <row r="1657" spans="40:63" ht="12.75">
      <c r="AN1657"/>
      <c r="AO1657" s="293"/>
      <c r="AP1657"/>
      <c r="AQ1657" s="145"/>
      <c r="AR1657"/>
      <c r="AS1657"/>
      <c r="AT1657"/>
      <c r="AU1657"/>
      <c r="AV1657"/>
      <c r="AW1657"/>
      <c r="AX1657"/>
      <c r="AY1657"/>
      <c r="AZ1657"/>
      <c r="BA1657"/>
      <c r="BB1657"/>
      <c r="BC1657" s="578"/>
      <c r="BD1657" s="578"/>
      <c r="BE1657"/>
      <c r="BF1657"/>
      <c r="BG1657"/>
      <c r="BH1657"/>
      <c r="BI1657"/>
      <c r="BJ1657"/>
      <c r="BK1657"/>
    </row>
    <row r="1658" spans="40:63" ht="12.75">
      <c r="AN1658"/>
      <c r="AO1658" s="293"/>
      <c r="AP1658"/>
      <c r="AQ1658" s="145"/>
      <c r="AR1658"/>
      <c r="AS1658"/>
      <c r="AT1658"/>
      <c r="AU1658"/>
      <c r="AV1658"/>
      <c r="AW1658"/>
      <c r="AX1658"/>
      <c r="AY1658"/>
      <c r="AZ1658"/>
      <c r="BA1658"/>
      <c r="BB1658"/>
      <c r="BC1658" s="578"/>
      <c r="BD1658" s="578"/>
      <c r="BE1658"/>
      <c r="BF1658"/>
      <c r="BG1658"/>
      <c r="BH1658"/>
      <c r="BI1658"/>
      <c r="BJ1658"/>
      <c r="BK1658"/>
    </row>
    <row r="1659" spans="40:63" ht="12.75">
      <c r="AN1659"/>
      <c r="AO1659" s="293"/>
      <c r="AP1659"/>
      <c r="AQ1659" s="145"/>
      <c r="AR1659"/>
      <c r="AS1659"/>
      <c r="AT1659"/>
      <c r="AU1659"/>
      <c r="AV1659"/>
      <c r="AW1659"/>
      <c r="AX1659"/>
      <c r="AY1659"/>
      <c r="AZ1659"/>
      <c r="BA1659"/>
      <c r="BB1659"/>
      <c r="BC1659" s="578"/>
      <c r="BD1659" s="578"/>
      <c r="BE1659"/>
      <c r="BF1659"/>
      <c r="BG1659"/>
      <c r="BH1659"/>
      <c r="BI1659"/>
      <c r="BJ1659"/>
      <c r="BK1659"/>
    </row>
    <row r="1660" spans="40:63" ht="12.75">
      <c r="AN1660"/>
      <c r="AO1660" s="293"/>
      <c r="AP1660"/>
      <c r="AQ1660" s="145"/>
      <c r="AR1660"/>
      <c r="AS1660"/>
      <c r="AT1660"/>
      <c r="AU1660"/>
      <c r="AV1660"/>
      <c r="AW1660"/>
      <c r="AX1660"/>
      <c r="AY1660"/>
      <c r="AZ1660"/>
      <c r="BA1660"/>
      <c r="BB1660"/>
      <c r="BC1660" s="578"/>
      <c r="BD1660" s="578"/>
      <c r="BE1660"/>
      <c r="BF1660"/>
      <c r="BG1660"/>
      <c r="BH1660"/>
      <c r="BI1660"/>
      <c r="BJ1660"/>
      <c r="BK1660"/>
    </row>
    <row r="1661" spans="40:63" ht="12.75">
      <c r="AN1661"/>
      <c r="AO1661" s="293"/>
      <c r="AP1661"/>
      <c r="AQ1661" s="145"/>
      <c r="AR1661"/>
      <c r="AS1661"/>
      <c r="AT1661"/>
      <c r="AU1661"/>
      <c r="AV1661"/>
      <c r="AW1661"/>
      <c r="AX1661"/>
      <c r="AY1661"/>
      <c r="AZ1661"/>
      <c r="BA1661"/>
      <c r="BB1661"/>
      <c r="BC1661" s="578"/>
      <c r="BD1661" s="578"/>
      <c r="BE1661"/>
      <c r="BF1661"/>
      <c r="BG1661"/>
      <c r="BH1661"/>
      <c r="BI1661"/>
      <c r="BJ1661"/>
      <c r="BK1661"/>
    </row>
    <row r="1662" spans="40:63" ht="12.75">
      <c r="AN1662"/>
      <c r="AO1662" s="293"/>
      <c r="AP1662"/>
      <c r="AQ1662" s="145"/>
      <c r="AR1662"/>
      <c r="AS1662"/>
      <c r="AT1662"/>
      <c r="AU1662"/>
      <c r="AV1662"/>
      <c r="AW1662"/>
      <c r="AX1662"/>
      <c r="AY1662"/>
      <c r="AZ1662"/>
      <c r="BA1662"/>
      <c r="BB1662"/>
      <c r="BC1662" s="578"/>
      <c r="BD1662" s="578"/>
      <c r="BE1662"/>
      <c r="BF1662"/>
      <c r="BG1662"/>
      <c r="BH1662"/>
      <c r="BI1662"/>
      <c r="BJ1662"/>
      <c r="BK1662"/>
    </row>
    <row r="1663" spans="40:63" ht="12.75">
      <c r="AN1663"/>
      <c r="AO1663" s="293"/>
      <c r="AP1663"/>
      <c r="AQ1663" s="145"/>
      <c r="AR1663"/>
      <c r="AS1663"/>
      <c r="AT1663"/>
      <c r="AU1663"/>
      <c r="AV1663"/>
      <c r="AW1663"/>
      <c r="AX1663"/>
      <c r="AY1663"/>
      <c r="AZ1663"/>
      <c r="BA1663"/>
      <c r="BB1663"/>
      <c r="BC1663" s="578"/>
      <c r="BD1663" s="578"/>
      <c r="BE1663"/>
      <c r="BF1663"/>
      <c r="BG1663"/>
      <c r="BH1663"/>
      <c r="BI1663"/>
      <c r="BJ1663"/>
      <c r="BK1663"/>
    </row>
    <row r="1664" spans="40:63" ht="12.75">
      <c r="AN1664"/>
      <c r="AO1664" s="293"/>
      <c r="AP1664"/>
      <c r="AQ1664" s="145"/>
      <c r="AR1664"/>
      <c r="AS1664"/>
      <c r="AT1664"/>
      <c r="AU1664"/>
      <c r="AV1664"/>
      <c r="AW1664"/>
      <c r="AX1664"/>
      <c r="AY1664"/>
      <c r="AZ1664"/>
      <c r="BA1664"/>
      <c r="BB1664"/>
      <c r="BC1664" s="578"/>
      <c r="BD1664" s="578"/>
      <c r="BE1664"/>
      <c r="BF1664"/>
      <c r="BG1664"/>
      <c r="BH1664"/>
      <c r="BI1664"/>
      <c r="BJ1664"/>
      <c r="BK1664"/>
    </row>
    <row r="1665" spans="40:63" ht="12.75">
      <c r="AN1665"/>
      <c r="AO1665" s="293"/>
      <c r="AP1665"/>
      <c r="AQ1665" s="145"/>
      <c r="AR1665"/>
      <c r="AS1665"/>
      <c r="AT1665"/>
      <c r="AU1665"/>
      <c r="AV1665"/>
      <c r="AW1665"/>
      <c r="AX1665"/>
      <c r="AY1665"/>
      <c r="AZ1665"/>
      <c r="BA1665"/>
      <c r="BB1665"/>
      <c r="BC1665" s="578"/>
      <c r="BD1665" s="578"/>
      <c r="BE1665"/>
      <c r="BF1665"/>
      <c r="BG1665"/>
      <c r="BH1665"/>
      <c r="BI1665"/>
      <c r="BJ1665"/>
      <c r="BK1665"/>
    </row>
    <row r="1666" spans="40:63" ht="12.75">
      <c r="AN1666"/>
      <c r="AO1666" s="293"/>
      <c r="AP1666"/>
      <c r="AQ1666" s="145"/>
      <c r="AR1666"/>
      <c r="AS1666"/>
      <c r="AT1666"/>
      <c r="AU1666"/>
      <c r="AV1666"/>
      <c r="AW1666"/>
      <c r="AX1666"/>
      <c r="AY1666"/>
      <c r="AZ1666"/>
      <c r="BA1666"/>
      <c r="BB1666"/>
      <c r="BC1666" s="578"/>
      <c r="BD1666" s="578"/>
      <c r="BE1666"/>
      <c r="BF1666"/>
      <c r="BG1666"/>
      <c r="BH1666"/>
      <c r="BI1666"/>
      <c r="BJ1666"/>
      <c r="BK1666"/>
    </row>
    <row r="1667" spans="40:63" ht="12.75">
      <c r="AN1667"/>
      <c r="AO1667" s="293"/>
      <c r="AP1667"/>
      <c r="AQ1667" s="145"/>
      <c r="AR1667"/>
      <c r="AS1667"/>
      <c r="AT1667"/>
      <c r="AU1667"/>
      <c r="AV1667"/>
      <c r="AW1667"/>
      <c r="AX1667"/>
      <c r="AY1667"/>
      <c r="AZ1667"/>
      <c r="BA1667"/>
      <c r="BB1667"/>
      <c r="BC1667" s="578"/>
      <c r="BD1667" s="578"/>
      <c r="BE1667"/>
      <c r="BF1667"/>
      <c r="BG1667"/>
      <c r="BH1667"/>
      <c r="BI1667"/>
      <c r="BJ1667"/>
      <c r="BK1667"/>
    </row>
    <row r="1668" spans="40:63" ht="12.75">
      <c r="AN1668"/>
      <c r="AO1668" s="293"/>
      <c r="AP1668"/>
      <c r="AQ1668" s="145"/>
      <c r="AR1668"/>
      <c r="AS1668"/>
      <c r="AT1668"/>
      <c r="AU1668"/>
      <c r="AV1668"/>
      <c r="AW1668"/>
      <c r="AX1668"/>
      <c r="AY1668"/>
      <c r="AZ1668"/>
      <c r="BA1668"/>
      <c r="BB1668"/>
      <c r="BC1668" s="578"/>
      <c r="BD1668" s="578"/>
      <c r="BE1668"/>
      <c r="BF1668"/>
      <c r="BG1668"/>
      <c r="BH1668"/>
      <c r="BI1668"/>
      <c r="BJ1668"/>
      <c r="BK1668"/>
    </row>
    <row r="1669" spans="40:63" ht="12.75">
      <c r="AN1669"/>
      <c r="AO1669" s="293"/>
      <c r="AP1669"/>
      <c r="AQ1669" s="145"/>
      <c r="AR1669"/>
      <c r="AS1669"/>
      <c r="AT1669"/>
      <c r="AU1669"/>
      <c r="AV1669"/>
      <c r="AW1669"/>
      <c r="AX1669"/>
      <c r="AY1669"/>
      <c r="AZ1669"/>
      <c r="BA1669"/>
      <c r="BB1669"/>
      <c r="BC1669" s="578"/>
      <c r="BD1669" s="578"/>
      <c r="BE1669"/>
      <c r="BF1669"/>
      <c r="BG1669"/>
      <c r="BH1669"/>
      <c r="BI1669"/>
      <c r="BJ1669"/>
      <c r="BK1669"/>
    </row>
    <row r="1670" spans="40:63" ht="12.75">
      <c r="AN1670"/>
      <c r="AO1670" s="293"/>
      <c r="AP1670"/>
      <c r="AQ1670" s="145"/>
      <c r="AR1670"/>
      <c r="AS1670"/>
      <c r="AT1670"/>
      <c r="AU1670"/>
      <c r="AV1670"/>
      <c r="AW1670"/>
      <c r="AX1670"/>
      <c r="AY1670"/>
      <c r="AZ1670"/>
      <c r="BA1670"/>
      <c r="BB1670"/>
      <c r="BC1670" s="578"/>
      <c r="BD1670" s="578"/>
      <c r="BE1670"/>
      <c r="BF1670"/>
      <c r="BG1670"/>
      <c r="BH1670"/>
      <c r="BI1670"/>
      <c r="BJ1670"/>
      <c r="BK1670"/>
    </row>
    <row r="1671" spans="40:63" ht="12.75">
      <c r="AN1671"/>
      <c r="AO1671" s="293"/>
      <c r="AP1671"/>
      <c r="AQ1671" s="145"/>
      <c r="AR1671"/>
      <c r="AS1671"/>
      <c r="AT1671"/>
      <c r="AU1671"/>
      <c r="AV1671"/>
      <c r="AW1671"/>
      <c r="AX1671"/>
      <c r="AY1671"/>
      <c r="AZ1671"/>
      <c r="BA1671"/>
      <c r="BB1671"/>
      <c r="BC1671" s="578"/>
      <c r="BD1671" s="578"/>
      <c r="BE1671"/>
      <c r="BF1671"/>
      <c r="BG1671"/>
      <c r="BH1671"/>
      <c r="BI1671"/>
      <c r="BJ1671"/>
      <c r="BK1671"/>
    </row>
    <row r="1672" spans="40:63" ht="12.75">
      <c r="AN1672"/>
      <c r="AO1672" s="293"/>
      <c r="AP1672"/>
      <c r="AQ1672" s="145"/>
      <c r="AR1672"/>
      <c r="AS1672"/>
      <c r="AT1672"/>
      <c r="AU1672"/>
      <c r="AV1672"/>
      <c r="AW1672"/>
      <c r="AX1672"/>
      <c r="AY1672"/>
      <c r="AZ1672"/>
      <c r="BA1672"/>
      <c r="BB1672"/>
      <c r="BC1672" s="578"/>
      <c r="BD1672" s="578"/>
      <c r="BE1672"/>
      <c r="BF1672"/>
      <c r="BG1672"/>
      <c r="BH1672"/>
      <c r="BI1672"/>
      <c r="BJ1672"/>
      <c r="BK1672"/>
    </row>
    <row r="1673" spans="40:63" ht="12.75">
      <c r="AN1673"/>
      <c r="AO1673" s="293"/>
      <c r="AP1673"/>
      <c r="AQ1673" s="145"/>
      <c r="AR1673"/>
      <c r="AS1673"/>
      <c r="AT1673"/>
      <c r="AU1673"/>
      <c r="AV1673"/>
      <c r="AW1673"/>
      <c r="AX1673"/>
      <c r="AY1673"/>
      <c r="AZ1673"/>
      <c r="BA1673"/>
      <c r="BB1673"/>
      <c r="BC1673" s="578"/>
      <c r="BD1673" s="578"/>
      <c r="BE1673"/>
      <c r="BF1673"/>
      <c r="BG1673"/>
      <c r="BH1673"/>
      <c r="BI1673"/>
      <c r="BJ1673"/>
      <c r="BK1673"/>
    </row>
    <row r="1674" spans="40:63" ht="12.75">
      <c r="AN1674"/>
      <c r="AO1674" s="293"/>
      <c r="AP1674"/>
      <c r="AQ1674" s="145"/>
      <c r="AR1674"/>
      <c r="AS1674"/>
      <c r="AT1674"/>
      <c r="AU1674"/>
      <c r="AV1674"/>
      <c r="AW1674"/>
      <c r="AX1674"/>
      <c r="AY1674"/>
      <c r="AZ1674"/>
      <c r="BA1674"/>
      <c r="BB1674"/>
      <c r="BC1674" s="578"/>
      <c r="BD1674" s="578"/>
      <c r="BE1674"/>
      <c r="BF1674"/>
      <c r="BG1674"/>
      <c r="BH1674"/>
      <c r="BI1674"/>
      <c r="BJ1674"/>
      <c r="BK1674"/>
    </row>
    <row r="1675" spans="40:63" ht="12.75">
      <c r="AN1675"/>
      <c r="AO1675" s="293"/>
      <c r="AP1675"/>
      <c r="AQ1675" s="145"/>
      <c r="AR1675"/>
      <c r="AS1675"/>
      <c r="AT1675"/>
      <c r="AU1675"/>
      <c r="AV1675"/>
      <c r="AW1675"/>
      <c r="AX1675"/>
      <c r="AY1675"/>
      <c r="AZ1675"/>
      <c r="BA1675"/>
      <c r="BB1675"/>
      <c r="BC1675" s="578"/>
      <c r="BD1675" s="578"/>
      <c r="BE1675"/>
      <c r="BF1675"/>
      <c r="BG1675"/>
      <c r="BH1675"/>
      <c r="BI1675"/>
      <c r="BJ1675"/>
      <c r="BK1675"/>
    </row>
    <row r="1676" spans="40:63" ht="12.75">
      <c r="AN1676"/>
      <c r="AO1676" s="293"/>
      <c r="AP1676"/>
      <c r="AQ1676" s="145"/>
      <c r="AR1676"/>
      <c r="AS1676"/>
      <c r="AT1676"/>
      <c r="AU1676"/>
      <c r="AV1676"/>
      <c r="AW1676"/>
      <c r="AX1676"/>
      <c r="AY1676"/>
      <c r="AZ1676"/>
      <c r="BA1676"/>
      <c r="BB1676"/>
      <c r="BC1676" s="578"/>
      <c r="BD1676" s="578"/>
      <c r="BE1676"/>
      <c r="BF1676"/>
      <c r="BG1676"/>
      <c r="BH1676"/>
      <c r="BI1676"/>
      <c r="BJ1676"/>
      <c r="BK1676"/>
    </row>
    <row r="1677" spans="40:63" ht="12.75">
      <c r="AN1677"/>
      <c r="AO1677" s="293"/>
      <c r="AP1677"/>
      <c r="AQ1677" s="145"/>
      <c r="AR1677"/>
      <c r="AS1677"/>
      <c r="AT1677"/>
      <c r="AU1677"/>
      <c r="AV1677"/>
      <c r="AW1677"/>
      <c r="AX1677"/>
      <c r="AY1677"/>
      <c r="AZ1677"/>
      <c r="BA1677"/>
      <c r="BB1677"/>
      <c r="BC1677" s="578"/>
      <c r="BD1677" s="578"/>
      <c r="BE1677"/>
      <c r="BF1677"/>
      <c r="BG1677"/>
      <c r="BH1677"/>
      <c r="BI1677"/>
      <c r="BJ1677"/>
      <c r="BK1677"/>
    </row>
    <row r="1678" spans="40:63" ht="12.75">
      <c r="AN1678"/>
      <c r="AO1678" s="293"/>
      <c r="AP1678"/>
      <c r="AQ1678" s="145"/>
      <c r="AR1678"/>
      <c r="AS1678"/>
      <c r="AT1678"/>
      <c r="AU1678"/>
      <c r="AV1678"/>
      <c r="AW1678"/>
      <c r="AX1678"/>
      <c r="AY1678"/>
      <c r="AZ1678"/>
      <c r="BA1678"/>
      <c r="BB1678"/>
      <c r="BC1678" s="578"/>
      <c r="BD1678" s="578"/>
      <c r="BE1678"/>
      <c r="BF1678"/>
      <c r="BG1678"/>
      <c r="BH1678"/>
      <c r="BI1678"/>
      <c r="BJ1678"/>
      <c r="BK1678"/>
    </row>
    <row r="1679" spans="40:63" ht="12.75">
      <c r="AN1679"/>
      <c r="AO1679" s="293"/>
      <c r="AP1679"/>
      <c r="AQ1679" s="145"/>
      <c r="AR1679"/>
      <c r="AS1679"/>
      <c r="AT1679"/>
      <c r="AU1679"/>
      <c r="AV1679"/>
      <c r="AW1679"/>
      <c r="AX1679"/>
      <c r="AY1679"/>
      <c r="AZ1679"/>
      <c r="BA1679"/>
      <c r="BB1679"/>
      <c r="BC1679" s="578"/>
      <c r="BD1679" s="578"/>
      <c r="BE1679"/>
      <c r="BF1679"/>
      <c r="BG1679"/>
      <c r="BH1679"/>
      <c r="BI1679"/>
      <c r="BJ1679"/>
      <c r="BK1679"/>
    </row>
    <row r="1680" spans="40:63" ht="12.75">
      <c r="AN1680"/>
      <c r="AO1680" s="293"/>
      <c r="AP1680"/>
      <c r="AQ1680" s="145"/>
      <c r="AR1680"/>
      <c r="AS1680"/>
      <c r="AT1680"/>
      <c r="AU1680"/>
      <c r="AV1680"/>
      <c r="AW1680"/>
      <c r="AX1680"/>
      <c r="AY1680"/>
      <c r="AZ1680"/>
      <c r="BA1680"/>
      <c r="BB1680"/>
      <c r="BC1680" s="578"/>
      <c r="BD1680" s="578"/>
      <c r="BE1680"/>
      <c r="BF1680"/>
      <c r="BG1680"/>
      <c r="BH1680"/>
      <c r="BI1680"/>
      <c r="BJ1680"/>
      <c r="BK1680"/>
    </row>
    <row r="1681" spans="40:63" ht="12.75">
      <c r="AN1681"/>
      <c r="AO1681" s="293"/>
      <c r="AP1681"/>
      <c r="AQ1681" s="145"/>
      <c r="AR1681"/>
      <c r="AS1681"/>
      <c r="AT1681"/>
      <c r="AU1681"/>
      <c r="AV1681"/>
      <c r="AW1681"/>
      <c r="AX1681"/>
      <c r="AY1681"/>
      <c r="AZ1681"/>
      <c r="BA1681"/>
      <c r="BB1681"/>
      <c r="BC1681" s="578"/>
      <c r="BD1681" s="578"/>
      <c r="BE1681"/>
      <c r="BF1681"/>
      <c r="BG1681"/>
      <c r="BH1681"/>
      <c r="BI1681"/>
      <c r="BJ1681"/>
      <c r="BK1681"/>
    </row>
    <row r="1682" spans="40:63" ht="12.75">
      <c r="AN1682"/>
      <c r="AO1682" s="293"/>
      <c r="AP1682"/>
      <c r="AQ1682" s="145"/>
      <c r="AR1682"/>
      <c r="AS1682"/>
      <c r="AT1682"/>
      <c r="AU1682"/>
      <c r="AV1682"/>
      <c r="AW1682"/>
      <c r="AX1682"/>
      <c r="AY1682"/>
      <c r="AZ1682"/>
      <c r="BA1682"/>
      <c r="BB1682"/>
      <c r="BC1682" s="578"/>
      <c r="BD1682" s="578"/>
      <c r="BE1682"/>
      <c r="BF1682"/>
      <c r="BG1682"/>
      <c r="BH1682"/>
      <c r="BI1682"/>
      <c r="BJ1682"/>
      <c r="BK1682"/>
    </row>
    <row r="1683" spans="40:63" ht="12.75">
      <c r="AN1683"/>
      <c r="AO1683" s="293"/>
      <c r="AP1683"/>
      <c r="AQ1683" s="145"/>
      <c r="AR1683"/>
      <c r="AS1683"/>
      <c r="AT1683"/>
      <c r="AU1683"/>
      <c r="AV1683"/>
      <c r="AW1683"/>
      <c r="AX1683"/>
      <c r="AY1683"/>
      <c r="AZ1683"/>
      <c r="BA1683"/>
      <c r="BB1683"/>
      <c r="BC1683" s="578"/>
      <c r="BD1683" s="578"/>
      <c r="BE1683"/>
      <c r="BF1683"/>
      <c r="BG1683"/>
      <c r="BH1683"/>
      <c r="BI1683"/>
      <c r="BJ1683"/>
      <c r="BK1683"/>
    </row>
    <row r="1684" spans="40:63" ht="12.75">
      <c r="AN1684"/>
      <c r="AO1684" s="293"/>
      <c r="AP1684"/>
      <c r="AQ1684" s="145"/>
      <c r="AR1684"/>
      <c r="AS1684"/>
      <c r="AT1684"/>
      <c r="AU1684"/>
      <c r="AV1684"/>
      <c r="AW1684"/>
      <c r="AX1684"/>
      <c r="AY1684"/>
      <c r="AZ1684"/>
      <c r="BA1684"/>
      <c r="BB1684"/>
      <c r="BC1684" s="578"/>
      <c r="BD1684" s="578"/>
      <c r="BE1684"/>
      <c r="BF1684"/>
      <c r="BG1684"/>
      <c r="BH1684"/>
      <c r="BI1684"/>
      <c r="BJ1684"/>
      <c r="BK1684"/>
    </row>
    <row r="1685" spans="40:63" ht="12.75">
      <c r="AN1685"/>
      <c r="AO1685" s="293"/>
      <c r="AP1685"/>
      <c r="AQ1685" s="145"/>
      <c r="AR1685"/>
      <c r="AS1685"/>
      <c r="AT1685"/>
      <c r="AU1685"/>
      <c r="AV1685"/>
      <c r="AW1685"/>
      <c r="AX1685"/>
      <c r="AY1685"/>
      <c r="AZ1685"/>
      <c r="BA1685"/>
      <c r="BB1685"/>
      <c r="BC1685" s="578"/>
      <c r="BD1685" s="578"/>
      <c r="BE1685"/>
      <c r="BF1685"/>
      <c r="BG1685"/>
      <c r="BH1685"/>
      <c r="BI1685"/>
      <c r="BJ1685"/>
      <c r="BK1685"/>
    </row>
    <row r="1686" spans="40:63" ht="12.75">
      <c r="AN1686"/>
      <c r="AO1686" s="293"/>
      <c r="AP1686"/>
      <c r="AQ1686" s="145"/>
      <c r="AR1686"/>
      <c r="AS1686"/>
      <c r="AT1686"/>
      <c r="AU1686"/>
      <c r="AV1686"/>
      <c r="AW1686"/>
      <c r="AX1686"/>
      <c r="AY1686"/>
      <c r="AZ1686"/>
      <c r="BA1686"/>
      <c r="BB1686"/>
      <c r="BC1686" s="578"/>
      <c r="BD1686" s="578"/>
      <c r="BE1686"/>
      <c r="BF1686"/>
      <c r="BG1686"/>
      <c r="BH1686"/>
      <c r="BI1686"/>
      <c r="BJ1686"/>
      <c r="BK1686"/>
    </row>
    <row r="1687" spans="40:63" ht="12.75">
      <c r="AN1687"/>
      <c r="AO1687" s="293"/>
      <c r="AP1687"/>
      <c r="AQ1687" s="145"/>
      <c r="AR1687"/>
      <c r="AS1687"/>
      <c r="AT1687"/>
      <c r="AU1687"/>
      <c r="AV1687"/>
      <c r="AW1687"/>
      <c r="AX1687"/>
      <c r="AY1687"/>
      <c r="AZ1687"/>
      <c r="BA1687"/>
      <c r="BB1687"/>
      <c r="BC1687" s="578"/>
      <c r="BD1687" s="578"/>
      <c r="BE1687"/>
      <c r="BF1687"/>
      <c r="BG1687"/>
      <c r="BH1687"/>
      <c r="BI1687"/>
      <c r="BJ1687"/>
      <c r="BK1687"/>
    </row>
    <row r="1688" spans="40:63" ht="12.75">
      <c r="AN1688"/>
      <c r="AO1688" s="293"/>
      <c r="AP1688"/>
      <c r="AQ1688" s="145"/>
      <c r="AR1688"/>
      <c r="AS1688"/>
      <c r="AT1688"/>
      <c r="AU1688"/>
      <c r="AV1688"/>
      <c r="AW1688"/>
      <c r="AX1688"/>
      <c r="AY1688"/>
      <c r="AZ1688"/>
      <c r="BA1688"/>
      <c r="BB1688"/>
      <c r="BC1688" s="578"/>
      <c r="BD1688" s="578"/>
      <c r="BE1688"/>
      <c r="BF1688"/>
      <c r="BG1688"/>
      <c r="BH1688"/>
      <c r="BI1688"/>
      <c r="BJ1688"/>
      <c r="BK1688"/>
    </row>
    <row r="1689" spans="40:63" ht="12.75">
      <c r="AN1689"/>
      <c r="AO1689" s="293"/>
      <c r="AP1689"/>
      <c r="AQ1689" s="145"/>
      <c r="AR1689"/>
      <c r="AS1689"/>
      <c r="AT1689"/>
      <c r="AU1689"/>
      <c r="AV1689"/>
      <c r="AW1689"/>
      <c r="AX1689"/>
      <c r="AY1689"/>
      <c r="AZ1689"/>
      <c r="BA1689"/>
      <c r="BB1689"/>
      <c r="BC1689" s="578"/>
      <c r="BD1689" s="578"/>
      <c r="BE1689"/>
      <c r="BF1689"/>
      <c r="BG1689"/>
      <c r="BH1689"/>
      <c r="BI1689"/>
      <c r="BJ1689"/>
      <c r="BK1689"/>
    </row>
    <row r="1690" spans="40:63" ht="12.75">
      <c r="AN1690"/>
      <c r="AO1690" s="293"/>
      <c r="AP1690"/>
      <c r="AQ1690" s="145"/>
      <c r="AR1690"/>
      <c r="AS1690"/>
      <c r="AT1690"/>
      <c r="AU1690"/>
      <c r="AV1690"/>
      <c r="AW1690"/>
      <c r="AX1690"/>
      <c r="AY1690"/>
      <c r="AZ1690"/>
      <c r="BA1690"/>
      <c r="BB1690"/>
      <c r="BC1690" s="578"/>
      <c r="BD1690" s="578"/>
      <c r="BE1690"/>
      <c r="BF1690"/>
      <c r="BG1690"/>
      <c r="BH1690"/>
      <c r="BI1690"/>
      <c r="BJ1690"/>
      <c r="BK1690"/>
    </row>
    <row r="1691" spans="40:63" ht="12.75">
      <c r="AN1691"/>
      <c r="AO1691" s="293"/>
      <c r="AP1691"/>
      <c r="AQ1691" s="145"/>
      <c r="AR1691"/>
      <c r="AS1691"/>
      <c r="AT1691"/>
      <c r="AU1691"/>
      <c r="AV1691"/>
      <c r="AW1691"/>
      <c r="AX1691"/>
      <c r="AY1691"/>
      <c r="AZ1691"/>
      <c r="BA1691"/>
      <c r="BB1691"/>
      <c r="BC1691" s="578"/>
      <c r="BD1691" s="578"/>
      <c r="BE1691"/>
      <c r="BF1691"/>
      <c r="BG1691"/>
      <c r="BH1691"/>
      <c r="BI1691"/>
      <c r="BJ1691"/>
      <c r="BK1691"/>
    </row>
    <row r="1692" spans="40:63" ht="12.75">
      <c r="AN1692"/>
      <c r="AO1692" s="293"/>
      <c r="AP1692"/>
      <c r="AQ1692" s="145"/>
      <c r="AR1692"/>
      <c r="AS1692"/>
      <c r="AT1692"/>
      <c r="AU1692"/>
      <c r="AV1692"/>
      <c r="AW1692"/>
      <c r="AX1692"/>
      <c r="AY1692"/>
      <c r="AZ1692"/>
      <c r="BA1692"/>
      <c r="BB1692"/>
      <c r="BC1692" s="578"/>
      <c r="BD1692" s="578"/>
      <c r="BE1692"/>
      <c r="BF1692"/>
      <c r="BG1692"/>
      <c r="BH1692"/>
      <c r="BI1692"/>
      <c r="BJ1692"/>
      <c r="BK1692"/>
    </row>
    <row r="1693" spans="40:63" ht="12.75">
      <c r="AN1693"/>
      <c r="AO1693" s="293"/>
      <c r="AP1693"/>
      <c r="AQ1693" s="145"/>
      <c r="AR1693"/>
      <c r="AS1693"/>
      <c r="AT1693"/>
      <c r="AU1693"/>
      <c r="AV1693"/>
      <c r="AW1693"/>
      <c r="AX1693"/>
      <c r="AY1693"/>
      <c r="AZ1693"/>
      <c r="BA1693"/>
      <c r="BB1693"/>
      <c r="BC1693" s="578"/>
      <c r="BD1693" s="578"/>
      <c r="BE1693"/>
      <c r="BF1693"/>
      <c r="BG1693"/>
      <c r="BH1693"/>
      <c r="BI1693"/>
      <c r="BJ1693"/>
      <c r="BK1693"/>
    </row>
    <row r="1694" spans="40:63" ht="12.75">
      <c r="AN1694"/>
      <c r="AO1694" s="293"/>
      <c r="AP1694"/>
      <c r="AQ1694" s="145"/>
      <c r="AR1694"/>
      <c r="AS1694"/>
      <c r="AT1694"/>
      <c r="AU1694"/>
      <c r="AV1694"/>
      <c r="AW1694"/>
      <c r="AX1694"/>
      <c r="AY1694"/>
      <c r="AZ1694"/>
      <c r="BA1694"/>
      <c r="BB1694"/>
      <c r="BC1694" s="578"/>
      <c r="BD1694" s="578"/>
      <c r="BE1694"/>
      <c r="BF1694"/>
      <c r="BG1694"/>
      <c r="BH1694"/>
      <c r="BI1694"/>
      <c r="BJ1694"/>
      <c r="BK1694"/>
    </row>
    <row r="1695" spans="40:63" ht="12.75">
      <c r="AN1695"/>
      <c r="AO1695" s="293"/>
      <c r="AP1695"/>
      <c r="AQ1695" s="145"/>
      <c r="AR1695"/>
      <c r="AS1695"/>
      <c r="AT1695"/>
      <c r="AU1695"/>
      <c r="AV1695"/>
      <c r="AW1695"/>
      <c r="AX1695"/>
      <c r="AY1695"/>
      <c r="AZ1695"/>
      <c r="BA1695"/>
      <c r="BB1695"/>
      <c r="BC1695" s="578"/>
      <c r="BD1695" s="578"/>
      <c r="BE1695"/>
      <c r="BF1695"/>
      <c r="BG1695"/>
      <c r="BH1695"/>
      <c r="BI1695"/>
      <c r="BJ1695"/>
      <c r="BK1695"/>
    </row>
    <row r="1696" spans="40:63" ht="12.75">
      <c r="AN1696"/>
      <c r="AO1696" s="293"/>
      <c r="AP1696"/>
      <c r="AQ1696" s="145"/>
      <c r="AR1696"/>
      <c r="AS1696"/>
      <c r="AT1696"/>
      <c r="AU1696"/>
      <c r="AV1696"/>
      <c r="AW1696"/>
      <c r="AX1696"/>
      <c r="AY1696"/>
      <c r="AZ1696"/>
      <c r="BA1696"/>
      <c r="BB1696"/>
      <c r="BC1696" s="578"/>
      <c r="BD1696" s="578"/>
      <c r="BE1696"/>
      <c r="BF1696"/>
      <c r="BG1696"/>
      <c r="BH1696"/>
      <c r="BI1696"/>
      <c r="BJ1696"/>
      <c r="BK1696"/>
    </row>
    <row r="1697" spans="40:63" ht="12.75">
      <c r="AN1697"/>
      <c r="AO1697" s="293"/>
      <c r="AP1697"/>
      <c r="AQ1697" s="145"/>
      <c r="AR1697"/>
      <c r="AS1697"/>
      <c r="AT1697"/>
      <c r="AU1697"/>
      <c r="AV1697"/>
      <c r="AW1697"/>
      <c r="AX1697"/>
      <c r="AY1697"/>
      <c r="AZ1697"/>
      <c r="BA1697"/>
      <c r="BB1697"/>
      <c r="BC1697" s="578"/>
      <c r="BD1697" s="578"/>
      <c r="BE1697"/>
      <c r="BF1697"/>
      <c r="BG1697"/>
      <c r="BH1697"/>
      <c r="BI1697"/>
      <c r="BJ1697"/>
      <c r="BK1697"/>
    </row>
    <row r="1698" spans="40:63" ht="12.75">
      <c r="AN1698"/>
      <c r="AO1698" s="293"/>
      <c r="AP1698"/>
      <c r="AQ1698" s="145"/>
      <c r="AR1698"/>
      <c r="AS1698"/>
      <c r="AT1698"/>
      <c r="AU1698"/>
      <c r="AV1698"/>
      <c r="AW1698"/>
      <c r="AX1698"/>
      <c r="AY1698"/>
      <c r="AZ1698"/>
      <c r="BA1698"/>
      <c r="BB1698"/>
      <c r="BC1698" s="578"/>
      <c r="BD1698" s="578"/>
      <c r="BE1698"/>
      <c r="BF1698"/>
      <c r="BG1698"/>
      <c r="BH1698"/>
      <c r="BI1698"/>
      <c r="BJ1698"/>
      <c r="BK1698"/>
    </row>
    <row r="1699" spans="40:63" ht="12.75">
      <c r="AN1699"/>
      <c r="AO1699" s="293"/>
      <c r="AP1699"/>
      <c r="AQ1699" s="145"/>
      <c r="AR1699"/>
      <c r="AS1699"/>
      <c r="AT1699"/>
      <c r="AU1699"/>
      <c r="AV1699"/>
      <c r="AW1699"/>
      <c r="AX1699"/>
      <c r="AY1699"/>
      <c r="AZ1699"/>
      <c r="BA1699"/>
      <c r="BB1699"/>
      <c r="BC1699" s="578"/>
      <c r="BD1699" s="578"/>
      <c r="BE1699"/>
      <c r="BF1699"/>
      <c r="BG1699"/>
      <c r="BH1699"/>
      <c r="BI1699"/>
      <c r="BJ1699"/>
      <c r="BK1699"/>
    </row>
    <row r="1700" spans="40:63" ht="12.75">
      <c r="AN1700"/>
      <c r="AO1700" s="293"/>
      <c r="AP1700"/>
      <c r="AQ1700" s="145"/>
      <c r="AR1700"/>
      <c r="AS1700"/>
      <c r="AT1700"/>
      <c r="AU1700"/>
      <c r="AV1700"/>
      <c r="AW1700"/>
      <c r="AX1700"/>
      <c r="AY1700"/>
      <c r="AZ1700"/>
      <c r="BA1700"/>
      <c r="BB1700"/>
      <c r="BC1700" s="578"/>
      <c r="BD1700" s="578"/>
      <c r="BE1700"/>
      <c r="BF1700"/>
      <c r="BG1700"/>
      <c r="BH1700"/>
      <c r="BI1700"/>
      <c r="BJ1700"/>
      <c r="BK1700"/>
    </row>
    <row r="1701" spans="40:63" ht="12.75">
      <c r="AN1701"/>
      <c r="AO1701" s="293"/>
      <c r="AP1701"/>
      <c r="AQ1701" s="145"/>
      <c r="AR1701"/>
      <c r="AS1701"/>
      <c r="AT1701"/>
      <c r="AU1701"/>
      <c r="AV1701"/>
      <c r="AW1701"/>
      <c r="AX1701"/>
      <c r="AY1701"/>
      <c r="AZ1701"/>
      <c r="BA1701"/>
      <c r="BB1701"/>
      <c r="BC1701" s="578"/>
      <c r="BD1701" s="578"/>
      <c r="BE1701"/>
      <c r="BF1701"/>
      <c r="BG1701"/>
      <c r="BH1701"/>
      <c r="BI1701"/>
      <c r="BJ1701"/>
      <c r="BK1701"/>
    </row>
    <row r="1702" spans="40:63" ht="12.75">
      <c r="AN1702"/>
      <c r="AO1702" s="293"/>
      <c r="AP1702"/>
      <c r="AQ1702" s="145"/>
      <c r="AR1702"/>
      <c r="AS1702"/>
      <c r="AT1702"/>
      <c r="AU1702"/>
      <c r="AV1702"/>
      <c r="AW1702"/>
      <c r="AX1702"/>
      <c r="AY1702"/>
      <c r="AZ1702"/>
      <c r="BA1702"/>
      <c r="BB1702"/>
      <c r="BC1702" s="578"/>
      <c r="BD1702" s="578"/>
      <c r="BE1702"/>
      <c r="BF1702"/>
      <c r="BG1702"/>
      <c r="BH1702"/>
      <c r="BI1702"/>
      <c r="BJ1702"/>
      <c r="BK1702"/>
    </row>
    <row r="1703" spans="40:63" ht="12.75">
      <c r="AN1703"/>
      <c r="AO1703" s="293"/>
      <c r="AP1703"/>
      <c r="AQ1703" s="145"/>
      <c r="AR1703"/>
      <c r="AS1703"/>
      <c r="AT1703"/>
      <c r="AU1703"/>
      <c r="AV1703"/>
      <c r="AW1703"/>
      <c r="AX1703"/>
      <c r="AY1703"/>
      <c r="AZ1703"/>
      <c r="BA1703"/>
      <c r="BB1703"/>
      <c r="BC1703" s="578"/>
      <c r="BD1703" s="578"/>
      <c r="BE1703"/>
      <c r="BF1703"/>
      <c r="BG1703"/>
      <c r="BH1703"/>
      <c r="BI1703"/>
      <c r="BJ1703"/>
      <c r="BK1703"/>
    </row>
    <row r="1704" spans="40:63" ht="12.75">
      <c r="AN1704"/>
      <c r="AO1704" s="293"/>
      <c r="AP1704"/>
      <c r="AQ1704" s="145"/>
      <c r="AR1704"/>
      <c r="AS1704"/>
      <c r="AT1704"/>
      <c r="AU1704"/>
      <c r="AV1704"/>
      <c r="AW1704"/>
      <c r="AX1704"/>
      <c r="AY1704"/>
      <c r="AZ1704"/>
      <c r="BA1704"/>
      <c r="BB1704"/>
      <c r="BC1704" s="578"/>
      <c r="BD1704" s="578"/>
      <c r="BE1704"/>
      <c r="BF1704"/>
      <c r="BG1704"/>
      <c r="BH1704"/>
      <c r="BI1704"/>
      <c r="BJ1704"/>
      <c r="BK1704"/>
    </row>
    <row r="1705" spans="40:63" ht="12.75">
      <c r="AN1705"/>
      <c r="AO1705" s="293"/>
      <c r="AP1705"/>
      <c r="AQ1705" s="145"/>
      <c r="AR1705"/>
      <c r="AS1705"/>
      <c r="AT1705"/>
      <c r="AU1705"/>
      <c r="AV1705"/>
      <c r="AW1705"/>
      <c r="AX1705"/>
      <c r="AY1705"/>
      <c r="AZ1705"/>
      <c r="BA1705"/>
      <c r="BB1705"/>
      <c r="BC1705" s="578"/>
      <c r="BD1705" s="578"/>
      <c r="BE1705"/>
      <c r="BF1705"/>
      <c r="BG1705"/>
      <c r="BH1705"/>
      <c r="BI1705"/>
      <c r="BJ1705"/>
      <c r="BK1705"/>
    </row>
    <row r="1706" spans="40:63" ht="12.75">
      <c r="AN1706"/>
      <c r="AO1706" s="293"/>
      <c r="AP1706"/>
      <c r="AQ1706" s="145"/>
      <c r="AR1706"/>
      <c r="AS1706"/>
      <c r="AT1706"/>
      <c r="AU1706"/>
      <c r="AV1706"/>
      <c r="AW1706"/>
      <c r="AX1706"/>
      <c r="AY1706"/>
      <c r="AZ1706"/>
      <c r="BA1706"/>
      <c r="BB1706"/>
      <c r="BC1706" s="578"/>
      <c r="BD1706" s="578"/>
      <c r="BE1706"/>
      <c r="BF1706"/>
      <c r="BG1706"/>
      <c r="BH1706"/>
      <c r="BI1706"/>
      <c r="BJ1706"/>
      <c r="BK1706"/>
    </row>
    <row r="1707" spans="40:63" ht="12.75">
      <c r="AN1707"/>
      <c r="AO1707" s="293"/>
      <c r="AP1707"/>
      <c r="AQ1707" s="145"/>
      <c r="AR1707"/>
      <c r="AS1707"/>
      <c r="AT1707"/>
      <c r="AU1707"/>
      <c r="AV1707"/>
      <c r="AW1707"/>
      <c r="AX1707"/>
      <c r="AY1707"/>
      <c r="AZ1707"/>
      <c r="BA1707"/>
      <c r="BB1707"/>
      <c r="BC1707" s="578"/>
      <c r="BD1707" s="578"/>
      <c r="BE1707"/>
      <c r="BF1707"/>
      <c r="BG1707"/>
      <c r="BH1707"/>
      <c r="BI1707"/>
      <c r="BJ1707"/>
      <c r="BK1707"/>
    </row>
    <row r="1708" spans="40:63" ht="12.75">
      <c r="AN1708"/>
      <c r="AO1708" s="293"/>
      <c r="AP1708"/>
      <c r="AQ1708" s="145"/>
      <c r="AR1708"/>
      <c r="AS1708"/>
      <c r="AT1708"/>
      <c r="AU1708"/>
      <c r="AV1708"/>
      <c r="AW1708"/>
      <c r="AX1708"/>
      <c r="AY1708"/>
      <c r="AZ1708"/>
      <c r="BA1708"/>
      <c r="BB1708"/>
      <c r="BC1708" s="578"/>
      <c r="BD1708" s="578"/>
      <c r="BE1708"/>
      <c r="BF1708"/>
      <c r="BG1708"/>
      <c r="BH1708"/>
      <c r="BI1708"/>
      <c r="BJ1708"/>
      <c r="BK1708"/>
    </row>
    <row r="1709" spans="40:63" ht="12.75">
      <c r="AN1709"/>
      <c r="AO1709" s="293"/>
      <c r="AP1709"/>
      <c r="AQ1709" s="145"/>
      <c r="AR1709"/>
      <c r="AS1709"/>
      <c r="AT1709"/>
      <c r="AU1709"/>
      <c r="AV1709"/>
      <c r="AW1709"/>
      <c r="AX1709"/>
      <c r="AY1709"/>
      <c r="AZ1709"/>
      <c r="BA1709"/>
      <c r="BB1709"/>
      <c r="BC1709" s="578"/>
      <c r="BD1709" s="578"/>
      <c r="BE1709"/>
      <c r="BF1709"/>
      <c r="BG1709"/>
      <c r="BH1709"/>
      <c r="BI1709"/>
      <c r="BJ1709"/>
      <c r="BK1709"/>
    </row>
    <row r="1710" spans="40:63" ht="12.75">
      <c r="AN1710"/>
      <c r="AO1710" s="293"/>
      <c r="AP1710"/>
      <c r="AQ1710" s="145"/>
      <c r="AR1710"/>
      <c r="AS1710"/>
      <c r="AT1710"/>
      <c r="AU1710"/>
      <c r="AV1710"/>
      <c r="AW1710"/>
      <c r="AX1710"/>
      <c r="AY1710"/>
      <c r="AZ1710"/>
      <c r="BA1710"/>
      <c r="BB1710"/>
      <c r="BC1710" s="578"/>
      <c r="BD1710" s="578"/>
      <c r="BE1710"/>
      <c r="BF1710"/>
      <c r="BG1710"/>
      <c r="BH1710"/>
      <c r="BI1710"/>
      <c r="BJ1710"/>
      <c r="BK1710"/>
    </row>
    <row r="1711" spans="40:63" ht="12.75">
      <c r="AN1711"/>
      <c r="AO1711" s="293"/>
      <c r="AP1711"/>
      <c r="AQ1711" s="145"/>
      <c r="AR1711"/>
      <c r="AS1711"/>
      <c r="AT1711"/>
      <c r="AU1711"/>
      <c r="AV1711"/>
      <c r="AW1711"/>
      <c r="AX1711"/>
      <c r="AY1711"/>
      <c r="AZ1711"/>
      <c r="BA1711"/>
      <c r="BB1711"/>
      <c r="BC1711" s="578"/>
      <c r="BD1711" s="578"/>
      <c r="BE1711"/>
      <c r="BF1711"/>
      <c r="BG1711"/>
      <c r="BH1711"/>
      <c r="BI1711"/>
      <c r="BJ1711"/>
      <c r="BK1711"/>
    </row>
    <row r="1712" spans="40:63" ht="12.75">
      <c r="AN1712"/>
      <c r="AO1712" s="293"/>
      <c r="AP1712"/>
      <c r="AQ1712" s="145"/>
      <c r="AR1712"/>
      <c r="AS1712"/>
      <c r="AT1712"/>
      <c r="AU1712"/>
      <c r="AV1712"/>
      <c r="AW1712"/>
      <c r="AX1712"/>
      <c r="AY1712"/>
      <c r="AZ1712"/>
      <c r="BA1712"/>
      <c r="BB1712"/>
      <c r="BC1712" s="578"/>
      <c r="BD1712" s="578"/>
      <c r="BE1712"/>
      <c r="BF1712"/>
      <c r="BG1712"/>
      <c r="BH1712"/>
      <c r="BI1712"/>
      <c r="BJ1712"/>
      <c r="BK1712"/>
    </row>
    <row r="1713" spans="40:63" ht="12.75">
      <c r="AN1713"/>
      <c r="AO1713" s="293"/>
      <c r="AP1713"/>
      <c r="AQ1713" s="145"/>
      <c r="AR1713"/>
      <c r="AS1713"/>
      <c r="AT1713"/>
      <c r="AU1713"/>
      <c r="AV1713"/>
      <c r="AW1713"/>
      <c r="AX1713"/>
      <c r="AY1713"/>
      <c r="AZ1713"/>
      <c r="BA1713"/>
      <c r="BB1713"/>
      <c r="BC1713" s="578"/>
      <c r="BD1713" s="578"/>
      <c r="BE1713"/>
      <c r="BF1713"/>
      <c r="BG1713"/>
      <c r="BH1713"/>
      <c r="BI1713"/>
      <c r="BJ1713"/>
      <c r="BK1713"/>
    </row>
    <row r="1714" spans="40:63" ht="12.75">
      <c r="AN1714"/>
      <c r="AO1714" s="293"/>
      <c r="AP1714"/>
      <c r="AQ1714" s="145"/>
      <c r="AR1714"/>
      <c r="AS1714"/>
      <c r="AT1714"/>
      <c r="AU1714"/>
      <c r="AV1714"/>
      <c r="AW1714"/>
      <c r="AX1714"/>
      <c r="AY1714"/>
      <c r="AZ1714"/>
      <c r="BA1714"/>
      <c r="BB1714"/>
      <c r="BC1714" s="578"/>
      <c r="BD1714" s="578"/>
      <c r="BE1714"/>
      <c r="BF1714"/>
      <c r="BG1714"/>
      <c r="BH1714"/>
      <c r="BI1714"/>
      <c r="BJ1714"/>
      <c r="BK1714"/>
    </row>
    <row r="1715" spans="40:63" ht="12.75">
      <c r="AN1715"/>
      <c r="AO1715" s="293"/>
      <c r="AP1715"/>
      <c r="AQ1715" s="145"/>
      <c r="AR1715"/>
      <c r="AS1715"/>
      <c r="AT1715"/>
      <c r="AU1715"/>
      <c r="AV1715"/>
      <c r="AW1715"/>
      <c r="AX1715"/>
      <c r="AY1715"/>
      <c r="AZ1715"/>
      <c r="BA1715"/>
      <c r="BB1715"/>
      <c r="BC1715" s="578"/>
      <c r="BD1715" s="578"/>
      <c r="BE1715"/>
      <c r="BF1715"/>
      <c r="BG1715"/>
      <c r="BH1715"/>
      <c r="BI1715"/>
      <c r="BJ1715"/>
      <c r="BK1715"/>
    </row>
    <row r="1716" spans="40:63" ht="12.75">
      <c r="AN1716"/>
      <c r="AO1716" s="293"/>
      <c r="AP1716"/>
      <c r="AQ1716" s="145"/>
      <c r="AR1716"/>
      <c r="AS1716"/>
      <c r="AT1716"/>
      <c r="AU1716"/>
      <c r="AV1716"/>
      <c r="AW1716"/>
      <c r="AX1716"/>
      <c r="AY1716"/>
      <c r="AZ1716"/>
      <c r="BA1716"/>
      <c r="BB1716"/>
      <c r="BC1716" s="578"/>
      <c r="BD1716" s="578"/>
      <c r="BE1716"/>
      <c r="BF1716"/>
      <c r="BG1716"/>
      <c r="BH1716"/>
      <c r="BI1716"/>
      <c r="BJ1716"/>
      <c r="BK1716"/>
    </row>
    <row r="1717" spans="40:63" ht="12.75">
      <c r="AN1717"/>
      <c r="AO1717" s="293"/>
      <c r="AP1717"/>
      <c r="AQ1717" s="145"/>
      <c r="AR1717"/>
      <c r="AS1717"/>
      <c r="AT1717"/>
      <c r="AU1717"/>
      <c r="AV1717"/>
      <c r="AW1717"/>
      <c r="AX1717"/>
      <c r="AY1717"/>
      <c r="AZ1717"/>
      <c r="BA1717"/>
      <c r="BB1717"/>
      <c r="BC1717" s="578"/>
      <c r="BD1717" s="578"/>
      <c r="BE1717"/>
      <c r="BF1717"/>
      <c r="BG1717"/>
      <c r="BH1717"/>
      <c r="BI1717"/>
      <c r="BJ1717"/>
      <c r="BK1717"/>
    </row>
    <row r="1718" spans="40:63" ht="12.75">
      <c r="AN1718"/>
      <c r="AO1718" s="293"/>
      <c r="AP1718"/>
      <c r="AQ1718" s="145"/>
      <c r="AR1718"/>
      <c r="AS1718"/>
      <c r="AT1718"/>
      <c r="AU1718"/>
      <c r="AV1718"/>
      <c r="AW1718"/>
      <c r="AX1718"/>
      <c r="AY1718"/>
      <c r="AZ1718"/>
      <c r="BA1718"/>
      <c r="BB1718"/>
      <c r="BC1718" s="578"/>
      <c r="BD1718" s="578"/>
      <c r="BE1718"/>
      <c r="BF1718"/>
      <c r="BG1718"/>
      <c r="BH1718"/>
      <c r="BI1718"/>
      <c r="BJ1718"/>
      <c r="BK1718"/>
    </row>
    <row r="1719" spans="40:63" ht="12.75">
      <c r="AN1719"/>
      <c r="AO1719" s="293"/>
      <c r="AP1719"/>
      <c r="AQ1719" s="145"/>
      <c r="AR1719"/>
      <c r="AS1719"/>
      <c r="AT1719"/>
      <c r="AU1719"/>
      <c r="AV1719"/>
      <c r="AW1719"/>
      <c r="AX1719"/>
      <c r="AY1719"/>
      <c r="AZ1719"/>
      <c r="BA1719"/>
      <c r="BB1719"/>
      <c r="BC1719" s="578"/>
      <c r="BD1719" s="578"/>
      <c r="BE1719"/>
      <c r="BF1719"/>
      <c r="BG1719"/>
      <c r="BH1719"/>
      <c r="BI1719"/>
      <c r="BJ1719"/>
      <c r="BK1719"/>
    </row>
    <row r="1720" spans="40:63" ht="12.75">
      <c r="AN1720"/>
      <c r="AO1720" s="293"/>
      <c r="AP1720"/>
      <c r="AQ1720" s="145"/>
      <c r="AR1720"/>
      <c r="AS1720"/>
      <c r="AT1720"/>
      <c r="AU1720"/>
      <c r="AV1720"/>
      <c r="AW1720"/>
      <c r="AX1720"/>
      <c r="AY1720"/>
      <c r="AZ1720"/>
      <c r="BA1720"/>
      <c r="BB1720"/>
      <c r="BC1720" s="578"/>
      <c r="BD1720" s="578"/>
      <c r="BE1720"/>
      <c r="BF1720"/>
      <c r="BG1720"/>
      <c r="BH1720"/>
      <c r="BI1720"/>
      <c r="BJ1720"/>
      <c r="BK1720"/>
    </row>
    <row r="1721" spans="40:63" ht="12.75">
      <c r="AN1721"/>
      <c r="AO1721" s="293"/>
      <c r="AP1721"/>
      <c r="AQ1721" s="145"/>
      <c r="AR1721"/>
      <c r="AS1721"/>
      <c r="AT1721"/>
      <c r="AU1721"/>
      <c r="AV1721"/>
      <c r="AW1721"/>
      <c r="AX1721"/>
      <c r="AY1721"/>
      <c r="AZ1721"/>
      <c r="BA1721"/>
      <c r="BB1721"/>
      <c r="BC1721" s="578"/>
      <c r="BD1721" s="578"/>
      <c r="BE1721"/>
      <c r="BF1721"/>
      <c r="BG1721"/>
      <c r="BH1721"/>
      <c r="BI1721"/>
      <c r="BJ1721"/>
      <c r="BK1721"/>
    </row>
    <row r="1722" spans="40:63" ht="12.75">
      <c r="AN1722"/>
      <c r="AO1722" s="293"/>
      <c r="AP1722"/>
      <c r="AQ1722" s="145"/>
      <c r="AR1722"/>
      <c r="AS1722"/>
      <c r="AT1722"/>
      <c r="AU1722"/>
      <c r="AV1722"/>
      <c r="AW1722"/>
      <c r="AX1722"/>
      <c r="AY1722"/>
      <c r="AZ1722"/>
      <c r="BA1722"/>
      <c r="BB1722"/>
      <c r="BC1722" s="578"/>
      <c r="BD1722" s="578"/>
      <c r="BE1722"/>
      <c r="BF1722"/>
      <c r="BG1722"/>
      <c r="BH1722"/>
      <c r="BI1722"/>
      <c r="BJ1722"/>
      <c r="BK1722"/>
    </row>
    <row r="1723" spans="40:63" ht="12.75">
      <c r="AN1723"/>
      <c r="AO1723" s="293"/>
      <c r="AP1723"/>
      <c r="AQ1723" s="145"/>
      <c r="AR1723"/>
      <c r="AS1723"/>
      <c r="AT1723"/>
      <c r="AU1723"/>
      <c r="AV1723"/>
      <c r="AW1723"/>
      <c r="AX1723"/>
      <c r="AY1723"/>
      <c r="AZ1723"/>
      <c r="BA1723"/>
      <c r="BB1723"/>
      <c r="BC1723" s="578"/>
      <c r="BD1723" s="578"/>
      <c r="BE1723"/>
      <c r="BF1723"/>
      <c r="BG1723"/>
      <c r="BH1723"/>
      <c r="BI1723"/>
      <c r="BJ1723"/>
      <c r="BK1723"/>
    </row>
    <row r="1724" spans="40:63" ht="12.75">
      <c r="AN1724"/>
      <c r="AO1724" s="293"/>
      <c r="AP1724"/>
      <c r="AQ1724" s="145"/>
      <c r="AR1724"/>
      <c r="AS1724"/>
      <c r="AT1724"/>
      <c r="AU1724"/>
      <c r="AV1724"/>
      <c r="AW1724"/>
      <c r="AX1724"/>
      <c r="AY1724"/>
      <c r="AZ1724"/>
      <c r="BA1724"/>
      <c r="BB1724"/>
      <c r="BC1724" s="578"/>
      <c r="BD1724" s="578"/>
      <c r="BE1724"/>
      <c r="BF1724"/>
      <c r="BG1724"/>
      <c r="BH1724"/>
      <c r="BI1724"/>
      <c r="BJ1724"/>
      <c r="BK1724"/>
    </row>
    <row r="1725" spans="40:63" ht="12.75">
      <c r="AN1725"/>
      <c r="AO1725" s="293"/>
      <c r="AP1725"/>
      <c r="AQ1725" s="145"/>
      <c r="AR1725"/>
      <c r="AS1725"/>
      <c r="AT1725"/>
      <c r="AU1725"/>
      <c r="AV1725"/>
      <c r="AW1725"/>
      <c r="AX1725"/>
      <c r="AY1725"/>
      <c r="AZ1725"/>
      <c r="BA1725"/>
      <c r="BB1725"/>
      <c r="BC1725" s="578"/>
      <c r="BD1725" s="578"/>
      <c r="BE1725"/>
      <c r="BF1725"/>
      <c r="BG1725"/>
      <c r="BH1725"/>
      <c r="BI1725"/>
      <c r="BJ1725"/>
      <c r="BK1725"/>
    </row>
    <row r="1726" spans="40:63" ht="12.75">
      <c r="AN1726"/>
      <c r="AO1726" s="293"/>
      <c r="AP1726"/>
      <c r="AQ1726" s="145"/>
      <c r="AR1726"/>
      <c r="AS1726"/>
      <c r="AT1726"/>
      <c r="AU1726"/>
      <c r="AV1726"/>
      <c r="AW1726"/>
      <c r="AX1726"/>
      <c r="AY1726"/>
      <c r="AZ1726"/>
      <c r="BA1726"/>
      <c r="BB1726"/>
      <c r="BC1726" s="578"/>
      <c r="BD1726" s="578"/>
      <c r="BE1726"/>
      <c r="BF1726"/>
      <c r="BG1726"/>
      <c r="BH1726"/>
      <c r="BI1726"/>
      <c r="BJ1726"/>
      <c r="BK1726"/>
    </row>
    <row r="1727" spans="40:63" ht="12.75">
      <c r="AN1727"/>
      <c r="AO1727" s="293"/>
      <c r="AP1727"/>
      <c r="AQ1727" s="145"/>
      <c r="AR1727"/>
      <c r="AS1727"/>
      <c r="AT1727"/>
      <c r="AU1727"/>
      <c r="AV1727"/>
      <c r="AW1727"/>
      <c r="AX1727"/>
      <c r="AY1727"/>
      <c r="AZ1727"/>
      <c r="BA1727"/>
      <c r="BB1727"/>
      <c r="BC1727" s="578"/>
      <c r="BD1727" s="578"/>
      <c r="BE1727"/>
      <c r="BF1727"/>
      <c r="BG1727"/>
      <c r="BH1727"/>
      <c r="BI1727"/>
      <c r="BJ1727"/>
      <c r="BK1727"/>
    </row>
    <row r="1728" spans="40:63" ht="12.75">
      <c r="AN1728"/>
      <c r="AO1728" s="293"/>
      <c r="AP1728"/>
      <c r="AQ1728" s="145"/>
      <c r="AR1728"/>
      <c r="AS1728"/>
      <c r="AT1728"/>
      <c r="AU1728"/>
      <c r="AV1728"/>
      <c r="AW1728"/>
      <c r="AX1728"/>
      <c r="AY1728"/>
      <c r="AZ1728"/>
      <c r="BA1728"/>
      <c r="BB1728"/>
      <c r="BC1728" s="578"/>
      <c r="BD1728" s="578"/>
      <c r="BE1728"/>
      <c r="BF1728"/>
      <c r="BG1728"/>
      <c r="BH1728"/>
      <c r="BI1728"/>
      <c r="BJ1728"/>
      <c r="BK1728"/>
    </row>
    <row r="1729" spans="40:63" ht="12.75">
      <c r="AN1729"/>
      <c r="AO1729" s="293"/>
      <c r="AP1729"/>
      <c r="AQ1729" s="145"/>
      <c r="AR1729"/>
      <c r="AS1729"/>
      <c r="AT1729"/>
      <c r="AU1729"/>
      <c r="AV1729"/>
      <c r="AW1729"/>
      <c r="AX1729"/>
      <c r="AY1729"/>
      <c r="AZ1729"/>
      <c r="BA1729"/>
      <c r="BB1729"/>
      <c r="BC1729" s="578"/>
      <c r="BD1729" s="578"/>
      <c r="BE1729"/>
      <c r="BF1729"/>
      <c r="BG1729"/>
      <c r="BH1729"/>
      <c r="BI1729"/>
      <c r="BJ1729"/>
      <c r="BK1729"/>
    </row>
    <row r="1730" spans="40:63" ht="12.75">
      <c r="AN1730"/>
      <c r="AO1730" s="293"/>
      <c r="AP1730"/>
      <c r="AQ1730" s="145"/>
      <c r="AR1730"/>
      <c r="AS1730"/>
      <c r="AT1730"/>
      <c r="AU1730"/>
      <c r="AV1730"/>
      <c r="AW1730"/>
      <c r="AX1730"/>
      <c r="AY1730"/>
      <c r="AZ1730"/>
      <c r="BA1730"/>
      <c r="BB1730"/>
      <c r="BC1730" s="578"/>
      <c r="BD1730" s="578"/>
      <c r="BE1730"/>
      <c r="BF1730"/>
      <c r="BG1730"/>
      <c r="BH1730"/>
      <c r="BI1730"/>
      <c r="BJ1730"/>
      <c r="BK1730"/>
    </row>
    <row r="1731" spans="40:63" ht="12.75">
      <c r="AN1731"/>
      <c r="AO1731" s="293"/>
      <c r="AP1731"/>
      <c r="AQ1731" s="145"/>
      <c r="AR1731"/>
      <c r="AS1731"/>
      <c r="AT1731"/>
      <c r="AU1731"/>
      <c r="AV1731"/>
      <c r="AW1731"/>
      <c r="AX1731"/>
      <c r="AY1731"/>
      <c r="AZ1731"/>
      <c r="BA1731"/>
      <c r="BB1731"/>
      <c r="BC1731" s="578"/>
      <c r="BD1731" s="578"/>
      <c r="BE1731"/>
      <c r="BF1731"/>
      <c r="BG1731"/>
      <c r="BH1731"/>
      <c r="BI1731"/>
      <c r="BJ1731"/>
      <c r="BK1731"/>
    </row>
    <row r="1732" spans="40:63" ht="12.75">
      <c r="AN1732"/>
      <c r="AO1732" s="293"/>
      <c r="AP1732"/>
      <c r="AQ1732" s="145"/>
      <c r="AR1732"/>
      <c r="AS1732"/>
      <c r="AT1732"/>
      <c r="AU1732"/>
      <c r="AV1732"/>
      <c r="AW1732"/>
      <c r="AX1732"/>
      <c r="AY1732"/>
      <c r="AZ1732"/>
      <c r="BA1732"/>
      <c r="BB1732"/>
      <c r="BC1732" s="578"/>
      <c r="BD1732" s="578"/>
      <c r="BE1732"/>
      <c r="BF1732"/>
      <c r="BG1732"/>
      <c r="BH1732"/>
      <c r="BI1732"/>
      <c r="BJ1732"/>
      <c r="BK1732"/>
    </row>
    <row r="1733" spans="40:63" ht="12.75">
      <c r="AN1733"/>
      <c r="AO1733" s="293"/>
      <c r="AP1733"/>
      <c r="AQ1733" s="145"/>
      <c r="AR1733"/>
      <c r="AS1733"/>
      <c r="AT1733"/>
      <c r="AU1733"/>
      <c r="AV1733"/>
      <c r="AW1733"/>
      <c r="AX1733"/>
      <c r="AY1733"/>
      <c r="AZ1733"/>
      <c r="BA1733"/>
      <c r="BB1733"/>
      <c r="BC1733" s="578"/>
      <c r="BD1733" s="578"/>
      <c r="BE1733"/>
      <c r="BF1733"/>
      <c r="BG1733"/>
      <c r="BH1733"/>
      <c r="BI1733"/>
      <c r="BJ1733"/>
      <c r="BK1733"/>
    </row>
    <row r="1734" spans="40:63" ht="12.75">
      <c r="AN1734"/>
      <c r="AO1734" s="293"/>
      <c r="AP1734"/>
      <c r="AQ1734" s="145"/>
      <c r="AR1734"/>
      <c r="AS1734"/>
      <c r="AT1734"/>
      <c r="AU1734"/>
      <c r="AV1734"/>
      <c r="AW1734"/>
      <c r="AX1734"/>
      <c r="AY1734"/>
      <c r="AZ1734"/>
      <c r="BA1734"/>
      <c r="BB1734"/>
      <c r="BC1734" s="578"/>
      <c r="BD1734" s="578"/>
      <c r="BE1734"/>
      <c r="BF1734"/>
      <c r="BG1734"/>
      <c r="BH1734"/>
      <c r="BI1734"/>
      <c r="BJ1734"/>
      <c r="BK1734"/>
    </row>
    <row r="1735" spans="40:63" ht="12.75">
      <c r="AN1735"/>
      <c r="AO1735" s="293"/>
      <c r="AP1735"/>
      <c r="AQ1735" s="145"/>
      <c r="AR1735"/>
      <c r="AS1735"/>
      <c r="AT1735"/>
      <c r="AU1735"/>
      <c r="AV1735"/>
      <c r="AW1735"/>
      <c r="AX1735"/>
      <c r="AY1735"/>
      <c r="AZ1735"/>
      <c r="BA1735"/>
      <c r="BB1735"/>
      <c r="BC1735" s="578"/>
      <c r="BD1735" s="578"/>
      <c r="BE1735"/>
      <c r="BF1735"/>
      <c r="BG1735"/>
      <c r="BH1735"/>
      <c r="BI1735"/>
      <c r="BJ1735"/>
      <c r="BK1735"/>
    </row>
    <row r="1736" spans="40:63" ht="12.75">
      <c r="AN1736"/>
      <c r="AO1736" s="293"/>
      <c r="AP1736"/>
      <c r="AQ1736" s="145"/>
      <c r="AR1736"/>
      <c r="AS1736"/>
      <c r="AT1736"/>
      <c r="AU1736"/>
      <c r="AV1736"/>
      <c r="AW1736"/>
      <c r="AX1736"/>
      <c r="AY1736"/>
      <c r="AZ1736"/>
      <c r="BA1736"/>
      <c r="BB1736"/>
      <c r="BC1736" s="578"/>
      <c r="BD1736" s="578"/>
      <c r="BE1736"/>
      <c r="BF1736"/>
      <c r="BG1736"/>
      <c r="BH1736"/>
      <c r="BI1736"/>
      <c r="BJ1736"/>
      <c r="BK1736"/>
    </row>
    <row r="1737" spans="40:63" ht="12.75">
      <c r="AN1737"/>
      <c r="AO1737" s="293"/>
      <c r="AP1737"/>
      <c r="AQ1737" s="145"/>
      <c r="AR1737"/>
      <c r="AS1737"/>
      <c r="AT1737"/>
      <c r="AU1737"/>
      <c r="AV1737"/>
      <c r="AW1737"/>
      <c r="AX1737"/>
      <c r="AY1737"/>
      <c r="AZ1737"/>
      <c r="BA1737"/>
      <c r="BB1737"/>
      <c r="BC1737" s="578"/>
      <c r="BD1737" s="578"/>
      <c r="BE1737"/>
      <c r="BF1737"/>
      <c r="BG1737"/>
      <c r="BH1737"/>
      <c r="BI1737"/>
      <c r="BJ1737"/>
      <c r="BK1737"/>
    </row>
    <row r="1738" spans="40:63" ht="12.75">
      <c r="AN1738"/>
      <c r="AO1738" s="293"/>
      <c r="AP1738"/>
      <c r="AQ1738" s="145"/>
      <c r="AR1738"/>
      <c r="AS1738"/>
      <c r="AT1738"/>
      <c r="AU1738"/>
      <c r="AV1738"/>
      <c r="AW1738"/>
      <c r="AX1738"/>
      <c r="AY1738"/>
      <c r="AZ1738"/>
      <c r="BA1738"/>
      <c r="BB1738"/>
      <c r="BC1738" s="578"/>
      <c r="BD1738" s="578"/>
      <c r="BE1738"/>
      <c r="BF1738"/>
      <c r="BG1738"/>
      <c r="BH1738"/>
      <c r="BI1738"/>
      <c r="BJ1738"/>
      <c r="BK1738"/>
    </row>
    <row r="1739" spans="40:63" ht="12.75">
      <c r="AN1739"/>
      <c r="AO1739" s="293"/>
      <c r="AP1739"/>
      <c r="AQ1739" s="145"/>
      <c r="AR1739"/>
      <c r="AS1739"/>
      <c r="AT1739"/>
      <c r="AU1739"/>
      <c r="AV1739"/>
      <c r="AW1739"/>
      <c r="AX1739"/>
      <c r="AY1739"/>
      <c r="AZ1739"/>
      <c r="BA1739"/>
      <c r="BB1739"/>
      <c r="BC1739" s="578"/>
      <c r="BD1739" s="578"/>
      <c r="BE1739"/>
      <c r="BF1739"/>
      <c r="BG1739"/>
      <c r="BH1739"/>
      <c r="BI1739"/>
      <c r="BJ1739"/>
      <c r="BK1739"/>
    </row>
    <row r="1740" spans="40:63" ht="12.75">
      <c r="AN1740"/>
      <c r="AO1740" s="293"/>
      <c r="AP1740"/>
      <c r="AQ1740" s="145"/>
      <c r="AR1740"/>
      <c r="AS1740"/>
      <c r="AT1740"/>
      <c r="AU1740"/>
      <c r="AV1740"/>
      <c r="AW1740"/>
      <c r="AX1740"/>
      <c r="AY1740"/>
      <c r="AZ1740"/>
      <c r="BA1740"/>
      <c r="BB1740"/>
      <c r="BC1740" s="578"/>
      <c r="BD1740" s="578"/>
      <c r="BE1740"/>
      <c r="BF1740"/>
      <c r="BG1740"/>
      <c r="BH1740"/>
      <c r="BI1740"/>
      <c r="BJ1740"/>
      <c r="BK1740"/>
    </row>
    <row r="1741" spans="40:63" ht="12.75">
      <c r="AN1741"/>
      <c r="AO1741" s="293"/>
      <c r="AP1741"/>
      <c r="AQ1741" s="145"/>
      <c r="AR1741"/>
      <c r="AS1741"/>
      <c r="AT1741"/>
      <c r="AU1741"/>
      <c r="AV1741"/>
      <c r="AW1741"/>
      <c r="AX1741"/>
      <c r="AY1741"/>
      <c r="AZ1741"/>
      <c r="BA1741"/>
      <c r="BB1741"/>
      <c r="BC1741" s="578"/>
      <c r="BD1741" s="578"/>
      <c r="BE1741"/>
      <c r="BF1741"/>
      <c r="BG1741"/>
      <c r="BH1741"/>
      <c r="BI1741"/>
      <c r="BJ1741"/>
      <c r="BK1741"/>
    </row>
    <row r="1742" spans="40:63" ht="12.75">
      <c r="AN1742"/>
      <c r="AO1742" s="293"/>
      <c r="AP1742"/>
      <c r="AQ1742" s="145"/>
      <c r="AR1742"/>
      <c r="AS1742"/>
      <c r="AT1742"/>
      <c r="AU1742"/>
      <c r="AV1742"/>
      <c r="AW1742"/>
      <c r="AX1742"/>
      <c r="AY1742"/>
      <c r="AZ1742"/>
      <c r="BA1742"/>
      <c r="BB1742"/>
      <c r="BC1742" s="578"/>
      <c r="BD1742" s="578"/>
      <c r="BE1742"/>
      <c r="BF1742"/>
      <c r="BG1742"/>
      <c r="BH1742"/>
      <c r="BI1742"/>
      <c r="BJ1742"/>
      <c r="BK1742"/>
    </row>
    <row r="1743" spans="40:63" ht="12.75">
      <c r="AN1743"/>
      <c r="AO1743" s="293"/>
      <c r="AP1743"/>
      <c r="AQ1743" s="145"/>
      <c r="AR1743"/>
      <c r="AS1743"/>
      <c r="AT1743"/>
      <c r="AU1743"/>
      <c r="AV1743"/>
      <c r="AW1743"/>
      <c r="AX1743"/>
      <c r="AY1743"/>
      <c r="AZ1743"/>
      <c r="BA1743"/>
      <c r="BB1743"/>
      <c r="BC1743" s="578"/>
      <c r="BD1743" s="578"/>
      <c r="BE1743"/>
      <c r="BF1743"/>
      <c r="BG1743"/>
      <c r="BH1743"/>
      <c r="BI1743"/>
      <c r="BJ1743"/>
      <c r="BK1743"/>
    </row>
    <row r="1744" spans="40:63" ht="12.75">
      <c r="AN1744"/>
      <c r="AO1744" s="293"/>
      <c r="AP1744"/>
      <c r="AQ1744" s="145"/>
      <c r="AR1744"/>
      <c r="AS1744"/>
      <c r="AT1744"/>
      <c r="AU1744"/>
      <c r="AV1744"/>
      <c r="AW1744"/>
      <c r="AX1744"/>
      <c r="AY1744"/>
      <c r="AZ1744"/>
      <c r="BA1744"/>
      <c r="BB1744"/>
      <c r="BC1744" s="578"/>
      <c r="BD1744" s="578"/>
      <c r="BE1744"/>
      <c r="BF1744"/>
      <c r="BG1744"/>
      <c r="BH1744"/>
      <c r="BI1744"/>
      <c r="BJ1744"/>
      <c r="BK1744"/>
    </row>
    <row r="1745" spans="40:63" ht="12.75">
      <c r="AN1745"/>
      <c r="AO1745" s="293"/>
      <c r="AP1745"/>
      <c r="AQ1745" s="145"/>
      <c r="AR1745"/>
      <c r="AS1745"/>
      <c r="AT1745"/>
      <c r="AU1745"/>
      <c r="AV1745"/>
      <c r="AW1745"/>
      <c r="AX1745"/>
      <c r="AY1745"/>
      <c r="AZ1745"/>
      <c r="BA1745"/>
      <c r="BB1745"/>
      <c r="BC1745" s="578"/>
      <c r="BD1745" s="578"/>
      <c r="BE1745"/>
      <c r="BF1745"/>
      <c r="BG1745"/>
      <c r="BH1745"/>
      <c r="BI1745"/>
      <c r="BJ1745"/>
      <c r="BK1745"/>
    </row>
    <row r="1746" spans="40:63" ht="12.75">
      <c r="AN1746"/>
      <c r="AO1746" s="293"/>
      <c r="AP1746"/>
      <c r="AQ1746" s="145"/>
      <c r="AR1746"/>
      <c r="AS1746"/>
      <c r="AT1746"/>
      <c r="AU1746"/>
      <c r="AV1746"/>
      <c r="AW1746"/>
      <c r="AX1746"/>
      <c r="AY1746"/>
      <c r="AZ1746"/>
      <c r="BA1746"/>
      <c r="BB1746"/>
      <c r="BC1746" s="578"/>
      <c r="BD1746" s="578"/>
      <c r="BE1746"/>
      <c r="BF1746"/>
      <c r="BG1746"/>
      <c r="BH1746"/>
      <c r="BI1746"/>
      <c r="BJ1746"/>
      <c r="BK1746"/>
    </row>
    <row r="1747" spans="40:63" ht="12.75">
      <c r="AN1747"/>
      <c r="AO1747" s="293"/>
      <c r="AP1747"/>
      <c r="AQ1747" s="145"/>
      <c r="AR1747"/>
      <c r="AS1747"/>
      <c r="AT1747"/>
      <c r="AU1747"/>
      <c r="AV1747"/>
      <c r="AW1747"/>
      <c r="AX1747"/>
      <c r="AY1747"/>
      <c r="AZ1747"/>
      <c r="BA1747"/>
      <c r="BB1747"/>
      <c r="BC1747" s="578"/>
      <c r="BD1747" s="578"/>
      <c r="BE1747"/>
      <c r="BF1747"/>
      <c r="BG1747"/>
      <c r="BH1747"/>
      <c r="BI1747"/>
      <c r="BJ1747"/>
      <c r="BK1747"/>
    </row>
    <row r="1748" spans="40:63" ht="12.75">
      <c r="AN1748"/>
      <c r="AO1748" s="293"/>
      <c r="AP1748"/>
      <c r="AQ1748" s="145"/>
      <c r="AR1748"/>
      <c r="AS1748"/>
      <c r="AT1748"/>
      <c r="AU1748"/>
      <c r="AV1748"/>
      <c r="AW1748"/>
      <c r="AX1748"/>
      <c r="AY1748"/>
      <c r="AZ1748"/>
      <c r="BA1748"/>
      <c r="BB1748"/>
      <c r="BC1748" s="578"/>
      <c r="BD1748" s="578"/>
      <c r="BE1748"/>
      <c r="BF1748"/>
      <c r="BG1748"/>
      <c r="BH1748"/>
      <c r="BI1748"/>
      <c r="BJ1748"/>
      <c r="BK1748"/>
    </row>
    <row r="1749" spans="40:63" ht="12.75">
      <c r="AN1749"/>
      <c r="AO1749" s="293"/>
      <c r="AP1749"/>
      <c r="AQ1749" s="145"/>
      <c r="AR1749"/>
      <c r="AS1749"/>
      <c r="AT1749"/>
      <c r="AU1749"/>
      <c r="AV1749"/>
      <c r="AW1749"/>
      <c r="AX1749"/>
      <c r="AY1749"/>
      <c r="AZ1749"/>
      <c r="BA1749"/>
      <c r="BB1749"/>
      <c r="BC1749" s="578"/>
      <c r="BD1749" s="578"/>
      <c r="BE1749"/>
      <c r="BF1749"/>
      <c r="BG1749"/>
      <c r="BH1749"/>
      <c r="BI1749"/>
      <c r="BJ1749"/>
      <c r="BK1749"/>
    </row>
    <row r="1750" spans="40:63" ht="12.75">
      <c r="AN1750"/>
      <c r="AO1750" s="293"/>
      <c r="AP1750"/>
      <c r="AQ1750" s="145"/>
      <c r="AR1750"/>
      <c r="AS1750"/>
      <c r="AT1750"/>
      <c r="AU1750"/>
      <c r="AV1750"/>
      <c r="AW1750"/>
      <c r="AX1750"/>
      <c r="AY1750"/>
      <c r="AZ1750"/>
      <c r="BA1750"/>
      <c r="BB1750"/>
      <c r="BC1750" s="578"/>
      <c r="BD1750" s="578"/>
      <c r="BE1750"/>
      <c r="BF1750"/>
      <c r="BG1750"/>
      <c r="BH1750"/>
      <c r="BI1750"/>
      <c r="BJ1750"/>
      <c r="BK1750"/>
    </row>
    <row r="1751" spans="40:63" ht="12.75">
      <c r="AN1751"/>
      <c r="AO1751" s="293"/>
      <c r="AP1751"/>
      <c r="AQ1751" s="145"/>
      <c r="AR1751"/>
      <c r="AS1751"/>
      <c r="AT1751"/>
      <c r="AU1751"/>
      <c r="AV1751"/>
      <c r="AW1751"/>
      <c r="AX1751"/>
      <c r="AY1751"/>
      <c r="AZ1751"/>
      <c r="BA1751"/>
      <c r="BB1751"/>
      <c r="BC1751" s="578"/>
      <c r="BD1751" s="578"/>
      <c r="BE1751"/>
      <c r="BF1751"/>
      <c r="BG1751"/>
      <c r="BH1751"/>
      <c r="BI1751"/>
      <c r="BJ1751"/>
      <c r="BK1751"/>
    </row>
    <row r="1752" spans="40:63" ht="12.75">
      <c r="AN1752"/>
      <c r="AO1752" s="293"/>
      <c r="AP1752"/>
      <c r="AQ1752" s="145"/>
      <c r="AR1752"/>
      <c r="AS1752"/>
      <c r="AT1752"/>
      <c r="AU1752"/>
      <c r="AV1752"/>
      <c r="AW1752"/>
      <c r="AX1752"/>
      <c r="AY1752"/>
      <c r="AZ1752"/>
      <c r="BA1752"/>
      <c r="BB1752"/>
      <c r="BC1752" s="578"/>
      <c r="BD1752" s="578"/>
      <c r="BE1752"/>
      <c r="BF1752"/>
      <c r="BG1752"/>
      <c r="BH1752"/>
      <c r="BI1752"/>
      <c r="BJ1752"/>
      <c r="BK1752"/>
    </row>
    <row r="1753" spans="40:63" ht="12.75">
      <c r="AN1753"/>
      <c r="AO1753" s="293"/>
      <c r="AP1753"/>
      <c r="AQ1753" s="145"/>
      <c r="AR1753"/>
      <c r="AS1753"/>
      <c r="AT1753"/>
      <c r="AU1753"/>
      <c r="AV1753"/>
      <c r="AW1753"/>
      <c r="AX1753"/>
      <c r="AY1753"/>
      <c r="AZ1753"/>
      <c r="BA1753"/>
      <c r="BB1753"/>
      <c r="BC1753" s="578"/>
      <c r="BD1753" s="578"/>
      <c r="BE1753"/>
      <c r="BF1753"/>
      <c r="BG1753"/>
      <c r="BH1753"/>
      <c r="BI1753"/>
      <c r="BJ1753"/>
      <c r="BK1753"/>
    </row>
    <row r="1754" spans="40:63" ht="12.75">
      <c r="AN1754"/>
      <c r="AO1754" s="293"/>
      <c r="AP1754"/>
      <c r="AQ1754" s="145"/>
      <c r="AR1754"/>
      <c r="AS1754"/>
      <c r="AT1754"/>
      <c r="AU1754"/>
      <c r="AV1754"/>
      <c r="AW1754"/>
      <c r="AX1754"/>
      <c r="AY1754"/>
      <c r="AZ1754"/>
      <c r="BA1754"/>
      <c r="BB1754"/>
      <c r="BC1754" s="578"/>
      <c r="BD1754" s="578"/>
      <c r="BE1754"/>
      <c r="BF1754"/>
      <c r="BG1754"/>
      <c r="BH1754"/>
      <c r="BI1754"/>
      <c r="BJ1754"/>
      <c r="BK1754"/>
    </row>
    <row r="1755" spans="40:63" ht="12.75">
      <c r="AN1755"/>
      <c r="AO1755" s="293"/>
      <c r="AP1755"/>
      <c r="AQ1755" s="145"/>
      <c r="AR1755"/>
      <c r="AS1755"/>
      <c r="AT1755"/>
      <c r="AU1755"/>
      <c r="AV1755"/>
      <c r="AW1755"/>
      <c r="AX1755"/>
      <c r="AY1755"/>
      <c r="AZ1755"/>
      <c r="BA1755"/>
      <c r="BB1755"/>
      <c r="BC1755" s="578"/>
      <c r="BD1755" s="578"/>
      <c r="BE1755"/>
      <c r="BF1755"/>
      <c r="BG1755"/>
      <c r="BH1755"/>
      <c r="BI1755"/>
      <c r="BJ1755"/>
      <c r="BK1755"/>
    </row>
    <row r="1756" spans="40:63" ht="12.75">
      <c r="AN1756"/>
      <c r="AO1756" s="293"/>
      <c r="AP1756"/>
      <c r="AQ1756" s="145"/>
      <c r="AR1756"/>
      <c r="AS1756"/>
      <c r="AT1756"/>
      <c r="AU1756"/>
      <c r="AV1756"/>
      <c r="AW1756"/>
      <c r="AX1756"/>
      <c r="AY1756"/>
      <c r="AZ1756"/>
      <c r="BA1756"/>
      <c r="BB1756"/>
      <c r="BC1756" s="578"/>
      <c r="BD1756" s="578"/>
      <c r="BE1756"/>
      <c r="BF1756"/>
      <c r="BG1756"/>
      <c r="BH1756"/>
      <c r="BI1756"/>
      <c r="BJ1756"/>
      <c r="BK1756"/>
    </row>
    <row r="1757" spans="40:63" ht="12.75">
      <c r="AN1757"/>
      <c r="AO1757" s="293"/>
      <c r="AP1757"/>
      <c r="AQ1757" s="145"/>
      <c r="AR1757"/>
      <c r="AS1757"/>
      <c r="AT1757"/>
      <c r="AU1757"/>
      <c r="AV1757"/>
      <c r="AW1757"/>
      <c r="AX1757"/>
      <c r="AY1757"/>
      <c r="AZ1757"/>
      <c r="BA1757"/>
      <c r="BB1757"/>
      <c r="BC1757" s="578"/>
      <c r="BD1757" s="578"/>
      <c r="BE1757"/>
      <c r="BF1757"/>
      <c r="BG1757"/>
      <c r="BH1757"/>
      <c r="BI1757"/>
      <c r="BJ1757"/>
      <c r="BK1757"/>
    </row>
    <row r="1758" spans="40:63" ht="12.75">
      <c r="AN1758"/>
      <c r="AO1758" s="293"/>
      <c r="AP1758"/>
      <c r="AQ1758" s="145"/>
      <c r="AR1758"/>
      <c r="AS1758"/>
      <c r="AT1758"/>
      <c r="AU1758"/>
      <c r="AV1758"/>
      <c r="AW1758"/>
      <c r="AX1758"/>
      <c r="AY1758"/>
      <c r="AZ1758"/>
      <c r="BA1758"/>
      <c r="BB1758"/>
      <c r="BC1758" s="578"/>
      <c r="BD1758" s="578"/>
      <c r="BE1758"/>
      <c r="BF1758"/>
      <c r="BG1758"/>
      <c r="BH1758"/>
      <c r="BI1758"/>
      <c r="BJ1758"/>
      <c r="BK1758"/>
    </row>
    <row r="1759" spans="40:63" ht="12.75">
      <c r="AN1759"/>
      <c r="AO1759" s="293"/>
      <c r="AP1759"/>
      <c r="AQ1759" s="145"/>
      <c r="AR1759"/>
      <c r="AS1759"/>
      <c r="AT1759"/>
      <c r="AU1759"/>
      <c r="AV1759"/>
      <c r="AW1759"/>
      <c r="AX1759"/>
      <c r="AY1759"/>
      <c r="AZ1759"/>
      <c r="BA1759"/>
      <c r="BB1759"/>
      <c r="BC1759" s="578"/>
      <c r="BD1759" s="578"/>
      <c r="BE1759"/>
      <c r="BF1759"/>
      <c r="BG1759"/>
      <c r="BH1759"/>
      <c r="BI1759"/>
      <c r="BJ1759"/>
      <c r="BK1759"/>
    </row>
    <row r="1760" spans="40:63" ht="12.75">
      <c r="AN1760"/>
      <c r="AO1760" s="293"/>
      <c r="AP1760"/>
      <c r="AQ1760" s="145"/>
      <c r="AR1760"/>
      <c r="AS1760"/>
      <c r="AT1760"/>
      <c r="AU1760"/>
      <c r="AV1760"/>
      <c r="AW1760"/>
      <c r="AX1760"/>
      <c r="AY1760"/>
      <c r="AZ1760"/>
      <c r="BA1760"/>
      <c r="BB1760"/>
      <c r="BC1760" s="578"/>
      <c r="BD1760" s="578"/>
      <c r="BE1760"/>
      <c r="BF1760"/>
      <c r="BG1760"/>
      <c r="BH1760"/>
      <c r="BI1760"/>
      <c r="BJ1760"/>
      <c r="BK1760"/>
    </row>
    <row r="1761" spans="40:63" ht="12.75">
      <c r="AN1761"/>
      <c r="AO1761" s="293"/>
      <c r="AP1761"/>
      <c r="AQ1761" s="145"/>
      <c r="AR1761"/>
      <c r="AS1761"/>
      <c r="AT1761"/>
      <c r="AU1761"/>
      <c r="AV1761"/>
      <c r="AW1761"/>
      <c r="AX1761"/>
      <c r="AY1761"/>
      <c r="AZ1761"/>
      <c r="BA1761"/>
      <c r="BB1761"/>
      <c r="BC1761" s="578"/>
      <c r="BD1761" s="578"/>
      <c r="BE1761"/>
      <c r="BF1761"/>
      <c r="BG1761"/>
      <c r="BH1761"/>
      <c r="BI1761"/>
      <c r="BJ1761"/>
      <c r="BK1761"/>
    </row>
    <row r="1762" spans="40:63" ht="12.75">
      <c r="AN1762"/>
      <c r="AO1762" s="293"/>
      <c r="AP1762"/>
      <c r="AQ1762" s="145"/>
      <c r="AR1762"/>
      <c r="AS1762"/>
      <c r="AT1762"/>
      <c r="AU1762"/>
      <c r="AV1762"/>
      <c r="AW1762"/>
      <c r="AX1762"/>
      <c r="AY1762"/>
      <c r="AZ1762"/>
      <c r="BA1762"/>
      <c r="BB1762"/>
      <c r="BC1762" s="578"/>
      <c r="BD1762" s="578"/>
      <c r="BE1762"/>
      <c r="BF1762"/>
      <c r="BG1762"/>
      <c r="BH1762"/>
      <c r="BI1762"/>
      <c r="BJ1762"/>
      <c r="BK1762"/>
    </row>
    <row r="1763" spans="40:63" ht="12.75">
      <c r="AN1763"/>
      <c r="AO1763" s="293"/>
      <c r="AP1763"/>
      <c r="AQ1763" s="145"/>
      <c r="AR1763"/>
      <c r="AS1763"/>
      <c r="AT1763"/>
      <c r="AU1763"/>
      <c r="AV1763"/>
      <c r="AW1763"/>
      <c r="AX1763"/>
      <c r="AY1763"/>
      <c r="AZ1763"/>
      <c r="BA1763"/>
      <c r="BB1763"/>
      <c r="BC1763" s="578"/>
      <c r="BD1763" s="578"/>
      <c r="BE1763"/>
      <c r="BF1763"/>
      <c r="BG1763"/>
      <c r="BH1763"/>
      <c r="BI1763"/>
      <c r="BJ1763"/>
      <c r="BK1763"/>
    </row>
    <row r="1764" spans="40:63" ht="12.75">
      <c r="AN1764"/>
      <c r="AO1764" s="293"/>
      <c r="AP1764"/>
      <c r="AQ1764" s="145"/>
      <c r="AR1764"/>
      <c r="AS1764"/>
      <c r="AT1764"/>
      <c r="AU1764"/>
      <c r="AV1764"/>
      <c r="AW1764"/>
      <c r="AX1764"/>
      <c r="AY1764"/>
      <c r="AZ1764"/>
      <c r="BA1764"/>
      <c r="BB1764"/>
      <c r="BC1764" s="578"/>
      <c r="BD1764" s="578"/>
      <c r="BE1764"/>
      <c r="BF1764"/>
      <c r="BG1764"/>
      <c r="BH1764"/>
      <c r="BI1764"/>
      <c r="BJ1764"/>
      <c r="BK1764"/>
    </row>
    <row r="1765" spans="40:63" ht="12.75">
      <c r="AN1765"/>
      <c r="AO1765" s="293"/>
      <c r="AP1765"/>
      <c r="AQ1765" s="145"/>
      <c r="AR1765"/>
      <c r="AS1765"/>
      <c r="AT1765"/>
      <c r="AU1765"/>
      <c r="AV1765"/>
      <c r="AW1765"/>
      <c r="AX1765"/>
      <c r="AY1765"/>
      <c r="AZ1765"/>
      <c r="BA1765"/>
      <c r="BB1765"/>
      <c r="BC1765" s="578"/>
      <c r="BD1765" s="578"/>
      <c r="BE1765"/>
      <c r="BF1765"/>
      <c r="BG1765"/>
      <c r="BH1765"/>
      <c r="BI1765"/>
      <c r="BJ1765"/>
      <c r="BK1765"/>
    </row>
    <row r="1766" spans="40:63" ht="12.75">
      <c r="AN1766"/>
      <c r="AO1766" s="293"/>
      <c r="AP1766"/>
      <c r="AQ1766" s="145"/>
      <c r="AR1766"/>
      <c r="AS1766"/>
      <c r="AT1766"/>
      <c r="AU1766"/>
      <c r="AV1766"/>
      <c r="AW1766"/>
      <c r="AX1766"/>
      <c r="AY1766"/>
      <c r="AZ1766"/>
      <c r="BA1766"/>
      <c r="BB1766"/>
      <c r="BC1766" s="578"/>
      <c r="BD1766" s="578"/>
      <c r="BE1766"/>
      <c r="BF1766"/>
      <c r="BG1766"/>
      <c r="BH1766"/>
      <c r="BI1766"/>
      <c r="BJ1766"/>
      <c r="BK1766"/>
    </row>
    <row r="1767" spans="40:63" ht="12.75">
      <c r="AN1767"/>
      <c r="AO1767" s="293"/>
      <c r="AP1767"/>
      <c r="AQ1767" s="145"/>
      <c r="AR1767"/>
      <c r="AS1767"/>
      <c r="AT1767"/>
      <c r="AU1767"/>
      <c r="AV1767"/>
      <c r="AW1767"/>
      <c r="AX1767"/>
      <c r="AY1767"/>
      <c r="AZ1767"/>
      <c r="BA1767"/>
      <c r="BB1767"/>
      <c r="BC1767" s="578"/>
      <c r="BD1767" s="578"/>
      <c r="BE1767"/>
      <c r="BF1767"/>
      <c r="BG1767"/>
      <c r="BH1767"/>
      <c r="BI1767"/>
      <c r="BJ1767"/>
      <c r="BK1767"/>
    </row>
    <row r="1768" spans="40:63" ht="12.75">
      <c r="AN1768"/>
      <c r="AO1768" s="293"/>
      <c r="AP1768"/>
      <c r="AQ1768" s="145"/>
      <c r="AR1768"/>
      <c r="AS1768"/>
      <c r="AT1768"/>
      <c r="AU1768"/>
      <c r="AV1768"/>
      <c r="AW1768"/>
      <c r="AX1768"/>
      <c r="AY1768"/>
      <c r="AZ1768"/>
      <c r="BA1768"/>
      <c r="BB1768"/>
      <c r="BC1768" s="578"/>
      <c r="BD1768" s="578"/>
      <c r="BE1768"/>
      <c r="BF1768"/>
      <c r="BG1768"/>
      <c r="BH1768"/>
      <c r="BI1768"/>
      <c r="BJ1768"/>
      <c r="BK1768"/>
    </row>
    <row r="1769" spans="40:63" ht="12.75">
      <c r="AN1769"/>
      <c r="AO1769" s="293"/>
      <c r="AP1769"/>
      <c r="AQ1769" s="145"/>
      <c r="AR1769"/>
      <c r="AS1769"/>
      <c r="AT1769"/>
      <c r="AU1769"/>
      <c r="AV1769"/>
      <c r="AW1769"/>
      <c r="AX1769"/>
      <c r="AY1769"/>
      <c r="AZ1769"/>
      <c r="BA1769"/>
      <c r="BB1769"/>
      <c r="BC1769" s="578"/>
      <c r="BD1769" s="578"/>
      <c r="BE1769"/>
      <c r="BF1769"/>
      <c r="BG1769"/>
      <c r="BH1769"/>
      <c r="BI1769"/>
      <c r="BJ1769"/>
      <c r="BK1769"/>
    </row>
    <row r="1770" spans="40:63" ht="12.75">
      <c r="AN1770"/>
      <c r="AO1770" s="293"/>
      <c r="AP1770"/>
      <c r="AQ1770" s="145"/>
      <c r="AR1770"/>
      <c r="AS1770"/>
      <c r="AT1770"/>
      <c r="AU1770"/>
      <c r="AV1770"/>
      <c r="AW1770"/>
      <c r="AX1770"/>
      <c r="AY1770"/>
      <c r="AZ1770"/>
      <c r="BA1770"/>
      <c r="BB1770"/>
      <c r="BC1770" s="578"/>
      <c r="BD1770" s="578"/>
      <c r="BE1770"/>
      <c r="BF1770"/>
      <c r="BG1770"/>
      <c r="BH1770"/>
      <c r="BI1770"/>
      <c r="BJ1770"/>
      <c r="BK1770"/>
    </row>
    <row r="1771" spans="40:63" ht="12.75">
      <c r="AN1771"/>
      <c r="AO1771" s="293"/>
      <c r="AP1771"/>
      <c r="AQ1771" s="145"/>
      <c r="AR1771"/>
      <c r="AS1771"/>
      <c r="AT1771"/>
      <c r="AU1771"/>
      <c r="AV1771"/>
      <c r="AW1771"/>
      <c r="AX1771"/>
      <c r="AY1771"/>
      <c r="AZ1771"/>
      <c r="BA1771"/>
      <c r="BB1771"/>
      <c r="BC1771" s="578"/>
      <c r="BD1771" s="578"/>
      <c r="BE1771"/>
      <c r="BF1771"/>
      <c r="BG1771"/>
      <c r="BH1771"/>
      <c r="BI1771"/>
      <c r="BJ1771"/>
      <c r="BK1771"/>
    </row>
    <row r="1772" spans="40:63" ht="12.75">
      <c r="AN1772"/>
      <c r="AO1772" s="293"/>
      <c r="AP1772"/>
      <c r="AQ1772" s="145"/>
      <c r="AR1772"/>
      <c r="AS1772"/>
      <c r="AT1772"/>
      <c r="AU1772"/>
      <c r="AV1772"/>
      <c r="AW1772"/>
      <c r="AX1772"/>
      <c r="AY1772"/>
      <c r="AZ1772"/>
      <c r="BA1772"/>
      <c r="BB1772"/>
      <c r="BC1772" s="578"/>
      <c r="BD1772" s="578"/>
      <c r="BE1772"/>
      <c r="BF1772"/>
      <c r="BG1772"/>
      <c r="BH1772"/>
      <c r="BI1772"/>
      <c r="BJ1772"/>
      <c r="BK1772"/>
    </row>
    <row r="1773" spans="40:63" ht="12.75">
      <c r="AN1773"/>
      <c r="AO1773" s="293"/>
      <c r="AP1773"/>
      <c r="AQ1773" s="145"/>
      <c r="AR1773"/>
      <c r="AS1773"/>
      <c r="AT1773"/>
      <c r="AU1773"/>
      <c r="AV1773"/>
      <c r="AW1773"/>
      <c r="AX1773"/>
      <c r="AY1773"/>
      <c r="AZ1773"/>
      <c r="BA1773"/>
      <c r="BB1773"/>
      <c r="BC1773" s="578"/>
      <c r="BD1773" s="578"/>
      <c r="BE1773"/>
      <c r="BF1773"/>
      <c r="BG1773"/>
      <c r="BH1773"/>
      <c r="BI1773"/>
      <c r="BJ1773"/>
      <c r="BK1773"/>
    </row>
    <row r="1774" spans="40:63" ht="12.75">
      <c r="AN1774"/>
      <c r="AO1774" s="293"/>
      <c r="AP1774"/>
      <c r="AQ1774" s="145"/>
      <c r="AR1774"/>
      <c r="AS1774"/>
      <c r="AT1774"/>
      <c r="AU1774"/>
      <c r="AV1774"/>
      <c r="AW1774"/>
      <c r="AX1774"/>
      <c r="AY1774"/>
      <c r="AZ1774"/>
      <c r="BA1774"/>
      <c r="BB1774"/>
      <c r="BC1774" s="578"/>
      <c r="BD1774" s="578"/>
      <c r="BE1774"/>
      <c r="BF1774"/>
      <c r="BG1774"/>
      <c r="BH1774"/>
      <c r="BI1774"/>
      <c r="BJ1774"/>
      <c r="BK1774"/>
    </row>
    <row r="1775" spans="40:63" ht="12.75">
      <c r="AN1775"/>
      <c r="AO1775" s="293"/>
      <c r="AP1775"/>
      <c r="AQ1775" s="145"/>
      <c r="AR1775"/>
      <c r="AS1775"/>
      <c r="AT1775"/>
      <c r="AU1775"/>
      <c r="AV1775"/>
      <c r="AW1775"/>
      <c r="AX1775"/>
      <c r="AY1775"/>
      <c r="AZ1775"/>
      <c r="BA1775"/>
      <c r="BB1775"/>
      <c r="BC1775" s="578"/>
      <c r="BD1775" s="578"/>
      <c r="BE1775"/>
      <c r="BF1775"/>
      <c r="BG1775"/>
      <c r="BH1775"/>
      <c r="BI1775"/>
      <c r="BJ1775"/>
      <c r="BK1775"/>
    </row>
    <row r="1776" spans="40:63" ht="12.75">
      <c r="AN1776"/>
      <c r="AO1776" s="293"/>
      <c r="AP1776"/>
      <c r="AQ1776" s="145"/>
      <c r="AR1776"/>
      <c r="AS1776"/>
      <c r="AT1776"/>
      <c r="AU1776"/>
      <c r="AV1776"/>
      <c r="AW1776"/>
      <c r="AX1776"/>
      <c r="AY1776"/>
      <c r="AZ1776"/>
      <c r="BA1776"/>
      <c r="BB1776"/>
      <c r="BC1776" s="578"/>
      <c r="BD1776" s="578"/>
      <c r="BE1776"/>
      <c r="BF1776"/>
      <c r="BG1776"/>
      <c r="BH1776"/>
      <c r="BI1776"/>
      <c r="BJ1776"/>
      <c r="BK1776"/>
    </row>
    <row r="1777" spans="40:63" ht="12.75">
      <c r="AN1777"/>
      <c r="AO1777" s="293"/>
      <c r="AP1777"/>
      <c r="AQ1777" s="145"/>
      <c r="AR1777"/>
      <c r="AS1777"/>
      <c r="AT1777"/>
      <c r="AU1777"/>
      <c r="AV1777"/>
      <c r="AW1777"/>
      <c r="AX1777"/>
      <c r="AY1777"/>
      <c r="AZ1777"/>
      <c r="BA1777"/>
      <c r="BB1777"/>
      <c r="BC1777" s="578"/>
      <c r="BD1777" s="578"/>
      <c r="BE1777"/>
      <c r="BF1777"/>
      <c r="BG1777"/>
      <c r="BH1777"/>
      <c r="BI1777"/>
      <c r="BJ1777"/>
      <c r="BK1777"/>
    </row>
    <row r="1778" spans="40:63" ht="12.75">
      <c r="AN1778"/>
      <c r="AO1778" s="293"/>
      <c r="AP1778"/>
      <c r="AQ1778" s="145"/>
      <c r="AR1778"/>
      <c r="AS1778"/>
      <c r="AT1778"/>
      <c r="AU1778"/>
      <c r="AV1778"/>
      <c r="AW1778"/>
      <c r="AX1778"/>
      <c r="AY1778"/>
      <c r="AZ1778"/>
      <c r="BA1778"/>
      <c r="BB1778"/>
      <c r="BC1778" s="578"/>
      <c r="BD1778" s="578"/>
      <c r="BE1778"/>
      <c r="BF1778"/>
      <c r="BG1778"/>
      <c r="BH1778"/>
      <c r="BI1778"/>
      <c r="BJ1778"/>
      <c r="BK1778"/>
    </row>
    <row r="1779" spans="40:63" ht="12.75">
      <c r="AN1779"/>
      <c r="AO1779" s="293"/>
      <c r="AP1779"/>
      <c r="AQ1779" s="145"/>
      <c r="AR1779"/>
      <c r="AS1779"/>
      <c r="AT1779"/>
      <c r="AU1779"/>
      <c r="AV1779"/>
      <c r="AW1779"/>
      <c r="AX1779"/>
      <c r="AY1779"/>
      <c r="AZ1779"/>
      <c r="BA1779"/>
      <c r="BB1779"/>
      <c r="BC1779" s="578"/>
      <c r="BD1779" s="578"/>
      <c r="BE1779"/>
      <c r="BF1779"/>
      <c r="BG1779"/>
      <c r="BH1779"/>
      <c r="BI1779"/>
      <c r="BJ1779"/>
      <c r="BK1779"/>
    </row>
    <row r="1780" spans="40:63" ht="12.75">
      <c r="AN1780"/>
      <c r="AO1780" s="293"/>
      <c r="AP1780"/>
      <c r="AQ1780" s="145"/>
      <c r="AR1780"/>
      <c r="AS1780"/>
      <c r="AT1780"/>
      <c r="AU1780"/>
      <c r="AV1780"/>
      <c r="AW1780"/>
      <c r="AX1780"/>
      <c r="AY1780"/>
      <c r="AZ1780"/>
      <c r="BA1780"/>
      <c r="BB1780"/>
      <c r="BC1780" s="578"/>
      <c r="BD1780" s="578"/>
      <c r="BE1780"/>
      <c r="BF1780"/>
      <c r="BG1780"/>
      <c r="BH1780"/>
      <c r="BI1780"/>
      <c r="BJ1780"/>
      <c r="BK1780"/>
    </row>
    <row r="1781" spans="40:63" ht="12.75">
      <c r="AN1781"/>
      <c r="AO1781" s="293"/>
      <c r="AP1781"/>
      <c r="AQ1781" s="145"/>
      <c r="AR1781"/>
      <c r="AS1781"/>
      <c r="AT1781"/>
      <c r="AU1781"/>
      <c r="AV1781"/>
      <c r="AW1781"/>
      <c r="AX1781"/>
      <c r="AY1781"/>
      <c r="AZ1781"/>
      <c r="BA1781"/>
      <c r="BB1781"/>
      <c r="BC1781" s="578"/>
      <c r="BD1781" s="578"/>
      <c r="BE1781"/>
      <c r="BF1781"/>
      <c r="BG1781"/>
      <c r="BH1781"/>
      <c r="BI1781"/>
      <c r="BJ1781"/>
      <c r="BK1781"/>
    </row>
    <row r="1782" spans="40:63" ht="12.75">
      <c r="AN1782"/>
      <c r="AO1782" s="293"/>
      <c r="AP1782"/>
      <c r="AQ1782" s="145"/>
      <c r="AR1782"/>
      <c r="AS1782"/>
      <c r="AT1782"/>
      <c r="AU1782"/>
      <c r="AV1782"/>
      <c r="AW1782"/>
      <c r="AX1782"/>
      <c r="AY1782"/>
      <c r="AZ1782"/>
      <c r="BA1782"/>
      <c r="BB1782"/>
      <c r="BC1782" s="578"/>
      <c r="BD1782" s="578"/>
      <c r="BE1782"/>
      <c r="BF1782"/>
      <c r="BG1782"/>
      <c r="BH1782"/>
      <c r="BI1782"/>
      <c r="BJ1782"/>
      <c r="BK1782"/>
    </row>
    <row r="1783" spans="40:63" ht="12.75">
      <c r="AN1783"/>
      <c r="AO1783" s="293"/>
      <c r="AP1783"/>
      <c r="AQ1783" s="145"/>
      <c r="AR1783"/>
      <c r="AS1783"/>
      <c r="AT1783"/>
      <c r="AU1783"/>
      <c r="AV1783"/>
      <c r="AW1783"/>
      <c r="AX1783"/>
      <c r="AY1783"/>
      <c r="AZ1783"/>
      <c r="BA1783"/>
      <c r="BB1783"/>
      <c r="BC1783" s="578"/>
      <c r="BD1783" s="578"/>
      <c r="BE1783"/>
      <c r="BF1783"/>
      <c r="BG1783"/>
      <c r="BH1783"/>
      <c r="BI1783"/>
      <c r="BJ1783"/>
      <c r="BK1783"/>
    </row>
    <row r="1784" spans="40:63" ht="12.75">
      <c r="AN1784"/>
      <c r="AO1784" s="293"/>
      <c r="AP1784"/>
      <c r="AQ1784" s="145"/>
      <c r="AR1784"/>
      <c r="AS1784"/>
      <c r="AT1784"/>
      <c r="AU1784"/>
      <c r="AV1784"/>
      <c r="AW1784"/>
      <c r="AX1784"/>
      <c r="AY1784"/>
      <c r="AZ1784"/>
      <c r="BA1784"/>
      <c r="BB1784"/>
      <c r="BC1784" s="578"/>
      <c r="BD1784" s="578"/>
      <c r="BE1784"/>
      <c r="BF1784"/>
      <c r="BG1784"/>
      <c r="BH1784"/>
      <c r="BI1784"/>
      <c r="BJ1784"/>
      <c r="BK1784"/>
    </row>
    <row r="1785" spans="40:63" ht="12.75">
      <c r="AN1785"/>
      <c r="AO1785" s="293"/>
      <c r="AP1785"/>
      <c r="AQ1785" s="145"/>
      <c r="AR1785"/>
      <c r="AS1785"/>
      <c r="AT1785"/>
      <c r="AU1785"/>
      <c r="AV1785"/>
      <c r="AW1785"/>
      <c r="AX1785"/>
      <c r="AY1785"/>
      <c r="AZ1785"/>
      <c r="BA1785"/>
      <c r="BB1785"/>
      <c r="BC1785" s="578"/>
      <c r="BD1785" s="578"/>
      <c r="BE1785"/>
      <c r="BF1785"/>
      <c r="BG1785"/>
      <c r="BH1785"/>
      <c r="BI1785"/>
      <c r="BJ1785"/>
      <c r="BK1785"/>
    </row>
    <row r="1786" spans="40:63" ht="12.75">
      <c r="AN1786"/>
      <c r="AO1786" s="293"/>
      <c r="AP1786"/>
      <c r="AQ1786" s="145"/>
      <c r="AR1786"/>
      <c r="AS1786"/>
      <c r="AT1786"/>
      <c r="AU1786"/>
      <c r="AV1786"/>
      <c r="AW1786"/>
      <c r="AX1786"/>
      <c r="AY1786"/>
      <c r="AZ1786"/>
      <c r="BA1786"/>
      <c r="BB1786"/>
      <c r="BC1786" s="578"/>
      <c r="BD1786" s="578"/>
      <c r="BE1786"/>
      <c r="BF1786"/>
      <c r="BG1786"/>
      <c r="BH1786"/>
      <c r="BI1786"/>
      <c r="BJ1786"/>
      <c r="BK1786"/>
    </row>
    <row r="1787" spans="40:63" ht="12.75">
      <c r="AN1787"/>
      <c r="AO1787" s="293"/>
      <c r="AP1787"/>
      <c r="AQ1787" s="145"/>
      <c r="AR1787"/>
      <c r="AS1787"/>
      <c r="AT1787"/>
      <c r="AU1787"/>
      <c r="AV1787"/>
      <c r="AW1787"/>
      <c r="AX1787"/>
      <c r="AY1787"/>
      <c r="AZ1787"/>
      <c r="BA1787"/>
      <c r="BB1787"/>
      <c r="BC1787" s="578"/>
      <c r="BD1787" s="578"/>
      <c r="BE1787"/>
      <c r="BF1787"/>
      <c r="BG1787"/>
      <c r="BH1787"/>
      <c r="BI1787"/>
      <c r="BJ1787"/>
      <c r="BK1787"/>
    </row>
    <row r="1788" spans="40:63" ht="12.75">
      <c r="AN1788"/>
      <c r="AO1788" s="293"/>
      <c r="AP1788"/>
      <c r="AQ1788" s="145"/>
      <c r="AR1788"/>
      <c r="AS1788"/>
      <c r="AT1788"/>
      <c r="AU1788"/>
      <c r="AV1788"/>
      <c r="AW1788"/>
      <c r="AX1788"/>
      <c r="AY1788"/>
      <c r="AZ1788"/>
      <c r="BA1788"/>
      <c r="BB1788"/>
      <c r="BC1788" s="578"/>
      <c r="BD1788" s="578"/>
      <c r="BE1788"/>
      <c r="BF1788"/>
      <c r="BG1788"/>
      <c r="BH1788"/>
      <c r="BI1788"/>
      <c r="BJ1788"/>
      <c r="BK1788"/>
    </row>
    <row r="1789" spans="40:63" ht="12.75">
      <c r="AN1789"/>
      <c r="AO1789" s="293"/>
      <c r="AP1789"/>
      <c r="AQ1789" s="145"/>
      <c r="AR1789"/>
      <c r="AS1789"/>
      <c r="AT1789"/>
      <c r="AU1789"/>
      <c r="AV1789"/>
      <c r="AW1789"/>
      <c r="AX1789"/>
      <c r="AY1789"/>
      <c r="AZ1789"/>
      <c r="BA1789"/>
      <c r="BB1789"/>
      <c r="BC1789" s="578"/>
      <c r="BD1789" s="578"/>
      <c r="BE1789"/>
      <c r="BF1789"/>
      <c r="BG1789"/>
      <c r="BH1789"/>
      <c r="BI1789"/>
      <c r="BJ1789"/>
      <c r="BK1789"/>
    </row>
    <row r="1790" spans="40:63" ht="12.75">
      <c r="AN1790"/>
      <c r="AO1790" s="293"/>
      <c r="AP1790"/>
      <c r="AQ1790" s="145"/>
      <c r="AR1790"/>
      <c r="AS1790"/>
      <c r="AT1790"/>
      <c r="AU1790"/>
      <c r="AV1790"/>
      <c r="AW1790"/>
      <c r="AX1790"/>
      <c r="AY1790"/>
      <c r="AZ1790"/>
      <c r="BA1790"/>
      <c r="BB1790"/>
      <c r="BC1790" s="578"/>
      <c r="BD1790" s="578"/>
      <c r="BE1790"/>
      <c r="BF1790"/>
      <c r="BG1790"/>
      <c r="BH1790"/>
      <c r="BI1790"/>
      <c r="BJ1790"/>
      <c r="BK1790"/>
    </row>
    <row r="1791" spans="40:63" ht="12.75">
      <c r="AN1791"/>
      <c r="AO1791" s="293"/>
      <c r="AP1791"/>
      <c r="AQ1791" s="145"/>
      <c r="AR1791"/>
      <c r="AS1791"/>
      <c r="AT1791"/>
      <c r="AU1791"/>
      <c r="AV1791"/>
      <c r="AW1791"/>
      <c r="AX1791"/>
      <c r="AY1791"/>
      <c r="AZ1791"/>
      <c r="BA1791"/>
      <c r="BB1791"/>
      <c r="BC1791" s="578"/>
      <c r="BD1791" s="578"/>
      <c r="BE1791"/>
      <c r="BF1791"/>
      <c r="BG1791"/>
      <c r="BH1791"/>
      <c r="BI1791"/>
      <c r="BJ1791"/>
      <c r="BK1791"/>
    </row>
    <row r="1792" spans="40:63" ht="12.75">
      <c r="AN1792"/>
      <c r="AO1792" s="293"/>
      <c r="AP1792"/>
      <c r="AQ1792" s="145"/>
      <c r="AR1792"/>
      <c r="AS1792"/>
      <c r="AT1792"/>
      <c r="AU1792"/>
      <c r="AV1792"/>
      <c r="AW1792"/>
      <c r="AX1792"/>
      <c r="AY1792"/>
      <c r="AZ1792"/>
      <c r="BA1792"/>
      <c r="BB1792"/>
      <c r="BC1792" s="578"/>
      <c r="BD1792" s="578"/>
      <c r="BE1792"/>
      <c r="BF1792"/>
      <c r="BG1792"/>
      <c r="BH1792"/>
      <c r="BI1792"/>
      <c r="BJ1792"/>
      <c r="BK1792"/>
    </row>
    <row r="1793" spans="40:63" ht="12.75">
      <c r="AN1793"/>
      <c r="AO1793" s="293"/>
      <c r="AP1793"/>
      <c r="AQ1793" s="145"/>
      <c r="AR1793"/>
      <c r="AS1793"/>
      <c r="AT1793"/>
      <c r="AU1793"/>
      <c r="AV1793"/>
      <c r="AW1793"/>
      <c r="AX1793"/>
      <c r="AY1793"/>
      <c r="AZ1793"/>
      <c r="BA1793"/>
      <c r="BB1793"/>
      <c r="BC1793" s="578"/>
      <c r="BD1793" s="578"/>
      <c r="BE1793"/>
      <c r="BF1793"/>
      <c r="BG1793"/>
      <c r="BH1793"/>
      <c r="BI1793"/>
      <c r="BJ1793"/>
      <c r="BK1793"/>
    </row>
    <row r="1794" spans="40:63" ht="12.75">
      <c r="AN1794"/>
      <c r="AO1794" s="293"/>
      <c r="AP1794"/>
      <c r="AQ1794" s="145"/>
      <c r="AR1794"/>
      <c r="AS1794"/>
      <c r="AT1794"/>
      <c r="AU1794"/>
      <c r="AV1794"/>
      <c r="AW1794"/>
      <c r="AX1794"/>
      <c r="AY1794"/>
      <c r="AZ1794"/>
      <c r="BA1794"/>
      <c r="BB1794"/>
      <c r="BC1794" s="578"/>
      <c r="BD1794" s="578"/>
      <c r="BE1794"/>
      <c r="BF1794"/>
      <c r="BG1794"/>
      <c r="BH1794"/>
      <c r="BI1794"/>
      <c r="BJ1794"/>
      <c r="BK1794"/>
    </row>
    <row r="1795" spans="40:63" ht="12.75">
      <c r="AN1795"/>
      <c r="AO1795" s="293"/>
      <c r="AP1795"/>
      <c r="AQ1795" s="145"/>
      <c r="AR1795"/>
      <c r="AS1795"/>
      <c r="AT1795"/>
      <c r="AU1795"/>
      <c r="AV1795"/>
      <c r="AW1795"/>
      <c r="AX1795"/>
      <c r="AY1795"/>
      <c r="AZ1795"/>
      <c r="BA1795"/>
      <c r="BB1795"/>
      <c r="BC1795" s="578"/>
      <c r="BD1795" s="578"/>
      <c r="BE1795"/>
      <c r="BF1795"/>
      <c r="BG1795"/>
      <c r="BH1795"/>
      <c r="BI1795"/>
      <c r="BJ1795"/>
      <c r="BK1795"/>
    </row>
    <row r="1796" spans="40:63" ht="12.75">
      <c r="AN1796"/>
      <c r="AO1796" s="293"/>
      <c r="AP1796"/>
      <c r="AQ1796" s="145"/>
      <c r="AR1796"/>
      <c r="AS1796"/>
      <c r="AT1796"/>
      <c r="AU1796"/>
      <c r="AV1796"/>
      <c r="AW1796"/>
      <c r="AX1796"/>
      <c r="AY1796"/>
      <c r="AZ1796"/>
      <c r="BA1796"/>
      <c r="BB1796"/>
      <c r="BC1796" s="578"/>
      <c r="BD1796" s="578"/>
      <c r="BE1796"/>
      <c r="BF1796"/>
      <c r="BG1796"/>
      <c r="BH1796"/>
      <c r="BI1796"/>
      <c r="BJ1796"/>
      <c r="BK1796"/>
    </row>
    <row r="1797" spans="40:63" ht="12.75">
      <c r="AN1797"/>
      <c r="AO1797" s="293"/>
      <c r="AP1797"/>
      <c r="AQ1797" s="145"/>
      <c r="AR1797"/>
      <c r="AS1797"/>
      <c r="AT1797"/>
      <c r="AU1797"/>
      <c r="AV1797"/>
      <c r="AW1797"/>
      <c r="AX1797"/>
      <c r="AY1797"/>
      <c r="AZ1797"/>
      <c r="BA1797"/>
      <c r="BB1797"/>
      <c r="BC1797" s="578"/>
      <c r="BD1797" s="578"/>
      <c r="BE1797"/>
      <c r="BF1797"/>
      <c r="BG1797"/>
      <c r="BH1797"/>
      <c r="BI1797"/>
      <c r="BJ1797"/>
      <c r="BK1797"/>
    </row>
    <row r="1798" spans="40:63" ht="12.75">
      <c r="AN1798"/>
      <c r="AO1798" s="293"/>
      <c r="AP1798"/>
      <c r="AQ1798" s="145"/>
      <c r="AR1798"/>
      <c r="AS1798"/>
      <c r="AT1798"/>
      <c r="AU1798"/>
      <c r="AV1798"/>
      <c r="AW1798"/>
      <c r="AX1798"/>
      <c r="AY1798"/>
      <c r="AZ1798"/>
      <c r="BA1798"/>
      <c r="BB1798"/>
      <c r="BC1798" s="578"/>
      <c r="BD1798" s="578"/>
      <c r="BE1798"/>
      <c r="BF1798"/>
      <c r="BG1798"/>
      <c r="BH1798"/>
      <c r="BI1798"/>
      <c r="BJ1798"/>
      <c r="BK1798"/>
    </row>
    <row r="1799" spans="40:63" ht="12.75">
      <c r="AN1799"/>
      <c r="AO1799" s="293"/>
      <c r="AP1799"/>
      <c r="AQ1799" s="145"/>
      <c r="AR1799"/>
      <c r="AS1799"/>
      <c r="AT1799"/>
      <c r="AU1799"/>
      <c r="AV1799"/>
      <c r="AW1799"/>
      <c r="AX1799"/>
      <c r="AY1799"/>
      <c r="AZ1799"/>
      <c r="BA1799"/>
      <c r="BB1799"/>
      <c r="BC1799" s="578"/>
      <c r="BD1799" s="578"/>
      <c r="BE1799"/>
      <c r="BF1799"/>
      <c r="BG1799"/>
      <c r="BH1799"/>
      <c r="BI1799"/>
      <c r="BJ1799"/>
      <c r="BK1799"/>
    </row>
    <row r="1800" spans="40:63" ht="12.75">
      <c r="AN1800"/>
      <c r="AO1800" s="293"/>
      <c r="AP1800"/>
      <c r="AQ1800" s="145"/>
      <c r="AR1800"/>
      <c r="AS1800"/>
      <c r="AT1800"/>
      <c r="AU1800"/>
      <c r="AV1800"/>
      <c r="AW1800"/>
      <c r="AX1800"/>
      <c r="AY1800"/>
      <c r="AZ1800"/>
      <c r="BA1800"/>
      <c r="BB1800"/>
      <c r="BC1800" s="578"/>
      <c r="BD1800" s="578"/>
      <c r="BE1800"/>
      <c r="BF1800"/>
      <c r="BG1800"/>
      <c r="BH1800"/>
      <c r="BI1800"/>
      <c r="BJ1800"/>
      <c r="BK1800"/>
    </row>
    <row r="1801" spans="40:63" ht="12.75">
      <c r="AN1801"/>
      <c r="AO1801" s="293"/>
      <c r="AP1801"/>
      <c r="AQ1801" s="145"/>
      <c r="AR1801"/>
      <c r="AS1801"/>
      <c r="AT1801"/>
      <c r="AU1801"/>
      <c r="AV1801"/>
      <c r="AW1801"/>
      <c r="AX1801"/>
      <c r="AY1801"/>
      <c r="AZ1801"/>
      <c r="BA1801"/>
      <c r="BB1801"/>
      <c r="BC1801" s="578"/>
      <c r="BD1801" s="578"/>
      <c r="BE1801"/>
      <c r="BF1801"/>
      <c r="BG1801"/>
      <c r="BH1801"/>
      <c r="BI1801"/>
      <c r="BJ1801"/>
      <c r="BK1801"/>
    </row>
    <row r="1802" spans="40:63" ht="12.75">
      <c r="AN1802"/>
      <c r="AO1802" s="293"/>
      <c r="AP1802"/>
      <c r="AQ1802" s="145"/>
      <c r="AR1802"/>
      <c r="AS1802"/>
      <c r="AT1802"/>
      <c r="AU1802"/>
      <c r="AV1802"/>
      <c r="AW1802"/>
      <c r="AX1802"/>
      <c r="AY1802"/>
      <c r="AZ1802"/>
      <c r="BA1802"/>
      <c r="BB1802"/>
      <c r="BC1802" s="578"/>
      <c r="BD1802" s="578"/>
      <c r="BE1802"/>
      <c r="BF1802"/>
      <c r="BG1802"/>
      <c r="BH1802"/>
      <c r="BI1802"/>
      <c r="BJ1802"/>
      <c r="BK1802"/>
    </row>
    <row r="1803" spans="40:63" ht="12.75">
      <c r="AN1803"/>
      <c r="AO1803" s="293"/>
      <c r="AP1803"/>
      <c r="AQ1803" s="145"/>
      <c r="AR1803"/>
      <c r="AS1803"/>
      <c r="AT1803"/>
      <c r="AU1803"/>
      <c r="AV1803"/>
      <c r="AW1803"/>
      <c r="AX1803"/>
      <c r="AY1803"/>
      <c r="AZ1803"/>
      <c r="BA1803"/>
      <c r="BB1803"/>
      <c r="BC1803" s="578"/>
      <c r="BD1803" s="578"/>
      <c r="BE1803"/>
      <c r="BF1803"/>
      <c r="BG1803"/>
      <c r="BH1803"/>
      <c r="BI1803"/>
      <c r="BJ1803"/>
      <c r="BK1803"/>
    </row>
    <row r="1804" spans="40:63" ht="12.75">
      <c r="AN1804"/>
      <c r="AO1804" s="293"/>
      <c r="AP1804"/>
      <c r="AQ1804" s="145"/>
      <c r="AR1804"/>
      <c r="AS1804"/>
      <c r="AT1804"/>
      <c r="AU1804"/>
      <c r="AV1804"/>
      <c r="AW1804"/>
      <c r="AX1804"/>
      <c r="AY1804"/>
      <c r="AZ1804"/>
      <c r="BA1804"/>
      <c r="BB1804"/>
      <c r="BC1804" s="578"/>
      <c r="BD1804" s="578"/>
      <c r="BE1804"/>
      <c r="BF1804"/>
      <c r="BG1804"/>
      <c r="BH1804"/>
      <c r="BI1804"/>
      <c r="BJ1804"/>
      <c r="BK1804"/>
    </row>
    <row r="1805" spans="40:63" ht="12.75">
      <c r="AN1805"/>
      <c r="AO1805" s="293"/>
      <c r="AP1805"/>
      <c r="AQ1805" s="145"/>
      <c r="AR1805"/>
      <c r="AS1805"/>
      <c r="AT1805"/>
      <c r="AU1805"/>
      <c r="AV1805"/>
      <c r="AW1805"/>
      <c r="AX1805"/>
      <c r="AY1805"/>
      <c r="AZ1805"/>
      <c r="BA1805"/>
      <c r="BB1805"/>
      <c r="BC1805" s="578"/>
      <c r="BD1805" s="578"/>
      <c r="BE1805"/>
      <c r="BF1805"/>
      <c r="BG1805"/>
      <c r="BH1805"/>
      <c r="BI1805"/>
      <c r="BJ1805"/>
      <c r="BK1805"/>
    </row>
    <row r="1806" spans="40:63" ht="12.75">
      <c r="AN1806"/>
      <c r="AO1806" s="293"/>
      <c r="AP1806"/>
      <c r="AQ1806" s="145"/>
      <c r="AR1806"/>
      <c r="AS1806"/>
      <c r="AT1806"/>
      <c r="AU1806"/>
      <c r="AV1806"/>
      <c r="AW1806"/>
      <c r="AX1806"/>
      <c r="AY1806"/>
      <c r="AZ1806"/>
      <c r="BA1806"/>
      <c r="BB1806"/>
      <c r="BC1806" s="578"/>
      <c r="BD1806" s="578"/>
      <c r="BE1806"/>
      <c r="BF1806"/>
      <c r="BG1806"/>
      <c r="BH1806"/>
      <c r="BI1806"/>
      <c r="BJ1806"/>
      <c r="BK1806"/>
    </row>
    <row r="1807" spans="40:63" ht="12.75">
      <c r="AN1807"/>
      <c r="AO1807" s="293"/>
      <c r="AP1807"/>
      <c r="AQ1807" s="145"/>
      <c r="AR1807"/>
      <c r="AS1807"/>
      <c r="AT1807"/>
      <c r="AU1807"/>
      <c r="AV1807"/>
      <c r="AW1807"/>
      <c r="AX1807"/>
      <c r="AY1807"/>
      <c r="AZ1807"/>
      <c r="BA1807"/>
      <c r="BB1807"/>
      <c r="BC1807" s="578"/>
      <c r="BD1807" s="578"/>
      <c r="BE1807"/>
      <c r="BF1807"/>
      <c r="BG1807"/>
      <c r="BH1807"/>
      <c r="BI1807"/>
      <c r="BJ1807"/>
      <c r="BK1807"/>
    </row>
    <row r="1808" spans="40:63" ht="12.75">
      <c r="AN1808"/>
      <c r="AO1808" s="293"/>
      <c r="AP1808"/>
      <c r="AQ1808" s="145"/>
      <c r="AR1808"/>
      <c r="AS1808"/>
      <c r="AT1808"/>
      <c r="AU1808"/>
      <c r="AV1808"/>
      <c r="AW1808"/>
      <c r="AX1808"/>
      <c r="AY1808"/>
      <c r="AZ1808"/>
      <c r="BA1808"/>
      <c r="BB1808"/>
      <c r="BC1808" s="578"/>
      <c r="BD1808" s="578"/>
      <c r="BE1808"/>
      <c r="BF1808"/>
      <c r="BG1808"/>
      <c r="BH1808"/>
      <c r="BI1808"/>
      <c r="BJ1808"/>
      <c r="BK1808"/>
    </row>
    <row r="1809" spans="40:63" ht="12.75">
      <c r="AN1809"/>
      <c r="AO1809" s="293"/>
      <c r="AP1809"/>
      <c r="AQ1809" s="145"/>
      <c r="AR1809"/>
      <c r="AS1809"/>
      <c r="AT1809"/>
      <c r="AU1809"/>
      <c r="AV1809"/>
      <c r="AW1809"/>
      <c r="AX1809"/>
      <c r="AY1809"/>
      <c r="AZ1809"/>
      <c r="BA1809"/>
      <c r="BB1809"/>
      <c r="BC1809" s="578"/>
      <c r="BD1809" s="578"/>
      <c r="BE1809"/>
      <c r="BF1809"/>
      <c r="BG1809"/>
      <c r="BH1809"/>
      <c r="BI1809"/>
      <c r="BJ1809"/>
      <c r="BK1809"/>
    </row>
    <row r="1810" spans="40:63" ht="12.75">
      <c r="AN1810"/>
      <c r="AO1810" s="293"/>
      <c r="AP1810"/>
      <c r="AQ1810" s="145"/>
      <c r="AR1810"/>
      <c r="AS1810"/>
      <c r="AT1810"/>
      <c r="AU1810"/>
      <c r="AV1810"/>
      <c r="AW1810"/>
      <c r="AX1810"/>
      <c r="AY1810"/>
      <c r="AZ1810"/>
      <c r="BA1810"/>
      <c r="BB1810"/>
      <c r="BC1810" s="578"/>
      <c r="BD1810" s="578"/>
      <c r="BE1810"/>
      <c r="BF1810"/>
      <c r="BG1810"/>
      <c r="BH1810"/>
      <c r="BI1810"/>
      <c r="BJ1810"/>
      <c r="BK1810"/>
    </row>
    <row r="1811" spans="40:63" ht="12.75">
      <c r="AN1811"/>
      <c r="AO1811" s="293"/>
      <c r="AP1811"/>
      <c r="AQ1811" s="145"/>
      <c r="AR1811"/>
      <c r="AS1811"/>
      <c r="AT1811"/>
      <c r="AU1811"/>
      <c r="AV1811"/>
      <c r="AW1811"/>
      <c r="AX1811"/>
      <c r="AY1811"/>
      <c r="AZ1811"/>
      <c r="BA1811"/>
      <c r="BB1811"/>
      <c r="BC1811" s="578"/>
      <c r="BD1811" s="578"/>
      <c r="BE1811"/>
      <c r="BF1811"/>
      <c r="BG1811"/>
      <c r="BH1811"/>
      <c r="BI1811"/>
      <c r="BJ1811"/>
      <c r="BK1811"/>
    </row>
    <row r="1812" spans="40:63" ht="12.75">
      <c r="AN1812"/>
      <c r="AO1812" s="293"/>
      <c r="AP1812"/>
      <c r="AQ1812" s="145"/>
      <c r="AR1812"/>
      <c r="AS1812"/>
      <c r="AT1812"/>
      <c r="AU1812"/>
      <c r="AV1812"/>
      <c r="AW1812"/>
      <c r="AX1812"/>
      <c r="AY1812"/>
      <c r="AZ1812"/>
      <c r="BA1812"/>
      <c r="BB1812"/>
      <c r="BC1812" s="578"/>
      <c r="BD1812" s="578"/>
      <c r="BE1812"/>
      <c r="BF1812"/>
      <c r="BG1812"/>
      <c r="BH1812"/>
      <c r="BI1812"/>
      <c r="BJ1812"/>
      <c r="BK1812"/>
    </row>
    <row r="1813" spans="40:63" ht="12.75">
      <c r="AN1813"/>
      <c r="AO1813" s="293"/>
      <c r="AP1813"/>
      <c r="AQ1813" s="145"/>
      <c r="AR1813"/>
      <c r="AS1813"/>
      <c r="AT1813"/>
      <c r="AU1813"/>
      <c r="AV1813"/>
      <c r="AW1813"/>
      <c r="AX1813"/>
      <c r="AY1813"/>
      <c r="AZ1813"/>
      <c r="BA1813"/>
      <c r="BB1813"/>
      <c r="BC1813" s="578"/>
      <c r="BD1813" s="578"/>
      <c r="BE1813"/>
      <c r="BF1813"/>
      <c r="BG1813"/>
      <c r="BH1813"/>
      <c r="BI1813"/>
      <c r="BJ1813"/>
      <c r="BK1813"/>
    </row>
    <row r="1814" spans="40:63" ht="12.75">
      <c r="AN1814"/>
      <c r="AO1814" s="293"/>
      <c r="AP1814"/>
      <c r="AQ1814" s="145"/>
      <c r="AR1814"/>
      <c r="AS1814"/>
      <c r="AT1814"/>
      <c r="AU1814"/>
      <c r="AV1814"/>
      <c r="AW1814"/>
      <c r="AX1814"/>
      <c r="AY1814"/>
      <c r="AZ1814"/>
      <c r="BA1814"/>
      <c r="BB1814"/>
      <c r="BC1814" s="578"/>
      <c r="BD1814" s="578"/>
      <c r="BE1814"/>
      <c r="BF1814"/>
      <c r="BG1814"/>
      <c r="BH1814"/>
      <c r="BI1814"/>
      <c r="BJ1814"/>
      <c r="BK1814"/>
    </row>
    <row r="1815" spans="40:63" ht="12.75">
      <c r="AN1815"/>
      <c r="AO1815" s="293"/>
      <c r="AP1815"/>
      <c r="AQ1815" s="145"/>
      <c r="AR1815"/>
      <c r="AS1815"/>
      <c r="AT1815"/>
      <c r="AU1815"/>
      <c r="AV1815"/>
      <c r="AW1815"/>
      <c r="AX1815"/>
      <c r="AY1815"/>
      <c r="AZ1815"/>
      <c r="BA1815"/>
      <c r="BB1815"/>
      <c r="BC1815" s="578"/>
      <c r="BD1815" s="578"/>
      <c r="BE1815"/>
      <c r="BF1815"/>
      <c r="BG1815"/>
      <c r="BH1815"/>
      <c r="BI1815"/>
      <c r="BJ1815"/>
      <c r="BK1815"/>
    </row>
    <row r="1816" spans="40:63" ht="12.75">
      <c r="AN1816"/>
      <c r="AO1816" s="293"/>
      <c r="AP1816"/>
      <c r="AQ1816" s="145"/>
      <c r="AR1816"/>
      <c r="AS1816"/>
      <c r="AT1816"/>
      <c r="AU1816"/>
      <c r="AV1816"/>
      <c r="AW1816"/>
      <c r="AX1816"/>
      <c r="AY1816"/>
      <c r="AZ1816"/>
      <c r="BA1816"/>
      <c r="BB1816"/>
      <c r="BC1816" s="578"/>
      <c r="BD1816" s="578"/>
      <c r="BE1816"/>
      <c r="BF1816"/>
      <c r="BG1816"/>
      <c r="BH1816"/>
      <c r="BI1816"/>
      <c r="BJ1816"/>
      <c r="BK1816"/>
    </row>
    <row r="1817" spans="40:63" ht="12.75">
      <c r="AN1817"/>
      <c r="AO1817" s="293"/>
      <c r="AP1817"/>
      <c r="AQ1817" s="145"/>
      <c r="AR1817"/>
      <c r="AS1817"/>
      <c r="AT1817"/>
      <c r="AU1817"/>
      <c r="AV1817"/>
      <c r="AW1817"/>
      <c r="AX1817"/>
      <c r="AY1817"/>
      <c r="AZ1817"/>
      <c r="BA1817"/>
      <c r="BB1817"/>
      <c r="BC1817" s="578"/>
      <c r="BD1817" s="578"/>
      <c r="BE1817"/>
      <c r="BF1817"/>
      <c r="BG1817"/>
      <c r="BH1817"/>
      <c r="BI1817"/>
      <c r="BJ1817"/>
      <c r="BK1817"/>
    </row>
    <row r="1818" spans="40:63" ht="12.75">
      <c r="AN1818"/>
      <c r="AO1818" s="293"/>
      <c r="AP1818"/>
      <c r="AQ1818" s="145"/>
      <c r="AR1818"/>
      <c r="AS1818"/>
      <c r="AT1818"/>
      <c r="AU1818"/>
      <c r="AV1818"/>
      <c r="AW1818"/>
      <c r="AX1818"/>
      <c r="AY1818"/>
      <c r="AZ1818"/>
      <c r="BA1818"/>
      <c r="BB1818"/>
      <c r="BC1818" s="578"/>
      <c r="BD1818" s="578"/>
      <c r="BE1818"/>
      <c r="BF1818"/>
      <c r="BG1818"/>
      <c r="BH1818"/>
      <c r="BI1818"/>
      <c r="BJ1818"/>
      <c r="BK1818"/>
    </row>
    <row r="1819" spans="40:63" ht="12.75">
      <c r="AN1819"/>
      <c r="AO1819" s="293"/>
      <c r="AP1819"/>
      <c r="AQ1819" s="145"/>
      <c r="AR1819"/>
      <c r="AS1819"/>
      <c r="AT1819"/>
      <c r="AU1819"/>
      <c r="AV1819"/>
      <c r="AW1819"/>
      <c r="AX1819"/>
      <c r="AY1819"/>
      <c r="AZ1819"/>
      <c r="BA1819"/>
      <c r="BB1819"/>
      <c r="BC1819" s="578"/>
      <c r="BD1819" s="578"/>
      <c r="BE1819"/>
      <c r="BF1819"/>
      <c r="BG1819"/>
      <c r="BH1819"/>
      <c r="BI1819"/>
      <c r="BJ1819"/>
      <c r="BK1819"/>
    </row>
    <row r="1820" spans="40:63" ht="12.75">
      <c r="AN1820"/>
      <c r="AO1820" s="293"/>
      <c r="AP1820"/>
      <c r="AQ1820" s="145"/>
      <c r="AR1820"/>
      <c r="AS1820"/>
      <c r="AT1820"/>
      <c r="AU1820"/>
      <c r="AV1820"/>
      <c r="AW1820"/>
      <c r="AX1820"/>
      <c r="AY1820"/>
      <c r="AZ1820"/>
      <c r="BA1820"/>
      <c r="BB1820"/>
      <c r="BC1820" s="578"/>
      <c r="BD1820" s="578"/>
      <c r="BE1820"/>
      <c r="BF1820"/>
      <c r="BG1820"/>
      <c r="BH1820"/>
      <c r="BI1820"/>
      <c r="BJ1820"/>
      <c r="BK1820"/>
    </row>
    <row r="1821" spans="40:63" ht="12.75">
      <c r="AN1821"/>
      <c r="AO1821" s="293"/>
      <c r="AP1821"/>
      <c r="AQ1821" s="145"/>
      <c r="AR1821"/>
      <c r="AS1821"/>
      <c r="AT1821"/>
      <c r="AU1821"/>
      <c r="AV1821"/>
      <c r="AW1821"/>
      <c r="AX1821"/>
      <c r="AY1821"/>
      <c r="AZ1821"/>
      <c r="BA1821"/>
      <c r="BB1821"/>
      <c r="BC1821" s="578"/>
      <c r="BD1821" s="578"/>
      <c r="BE1821"/>
      <c r="BF1821"/>
      <c r="BG1821"/>
      <c r="BH1821"/>
      <c r="BI1821"/>
      <c r="BJ1821"/>
      <c r="BK1821"/>
    </row>
    <row r="1822" spans="40:63" ht="12.75">
      <c r="AN1822"/>
      <c r="AO1822" s="293"/>
      <c r="AP1822"/>
      <c r="AQ1822" s="145"/>
      <c r="AR1822"/>
      <c r="AS1822"/>
      <c r="AT1822"/>
      <c r="AU1822"/>
      <c r="AV1822"/>
      <c r="AW1822"/>
      <c r="AX1822"/>
      <c r="AY1822"/>
      <c r="AZ1822"/>
      <c r="BA1822"/>
      <c r="BB1822"/>
      <c r="BC1822" s="578"/>
      <c r="BD1822" s="578"/>
      <c r="BE1822"/>
      <c r="BF1822"/>
      <c r="BG1822"/>
      <c r="BH1822"/>
      <c r="BI1822"/>
      <c r="BJ1822"/>
      <c r="BK1822"/>
    </row>
    <row r="1823" spans="40:63" ht="12.75">
      <c r="AN1823"/>
      <c r="AO1823" s="293"/>
      <c r="AP1823"/>
      <c r="AQ1823" s="145"/>
      <c r="AR1823"/>
      <c r="AS1823"/>
      <c r="AT1823"/>
      <c r="AU1823"/>
      <c r="AV1823"/>
      <c r="AW1823"/>
      <c r="AX1823"/>
      <c r="AY1823"/>
      <c r="AZ1823"/>
      <c r="BA1823"/>
      <c r="BB1823"/>
      <c r="BC1823" s="578"/>
      <c r="BD1823" s="578"/>
      <c r="BE1823"/>
      <c r="BF1823"/>
      <c r="BG1823"/>
      <c r="BH1823"/>
      <c r="BI1823"/>
      <c r="BJ1823"/>
      <c r="BK1823"/>
    </row>
    <row r="1824" spans="40:63" ht="12.75">
      <c r="AN1824"/>
      <c r="AO1824" s="293"/>
      <c r="AP1824"/>
      <c r="AQ1824" s="145"/>
      <c r="AR1824"/>
      <c r="AS1824"/>
      <c r="AT1824"/>
      <c r="AU1824"/>
      <c r="AV1824"/>
      <c r="AW1824"/>
      <c r="AX1824"/>
      <c r="AY1824"/>
      <c r="AZ1824"/>
      <c r="BA1824"/>
      <c r="BB1824"/>
      <c r="BC1824" s="578"/>
      <c r="BD1824" s="578"/>
      <c r="BE1824"/>
      <c r="BF1824"/>
      <c r="BG1824"/>
      <c r="BH1824"/>
      <c r="BI1824"/>
      <c r="BJ1824"/>
      <c r="BK1824"/>
    </row>
    <row r="1825" spans="40:63" ht="12.75">
      <c r="AN1825"/>
      <c r="AO1825" s="293"/>
      <c r="AP1825"/>
      <c r="AQ1825" s="145"/>
      <c r="AR1825"/>
      <c r="AS1825"/>
      <c r="AT1825"/>
      <c r="AU1825"/>
      <c r="AV1825"/>
      <c r="AW1825"/>
      <c r="AX1825"/>
      <c r="AY1825"/>
      <c r="AZ1825"/>
      <c r="BA1825"/>
      <c r="BB1825"/>
      <c r="BC1825" s="578"/>
      <c r="BD1825" s="578"/>
      <c r="BE1825"/>
      <c r="BF1825"/>
      <c r="BG1825"/>
      <c r="BH1825"/>
      <c r="BI1825"/>
      <c r="BJ1825"/>
      <c r="BK1825"/>
    </row>
    <row r="1826" spans="40:63" ht="12.75">
      <c r="AN1826"/>
      <c r="AO1826" s="293"/>
      <c r="AP1826"/>
      <c r="AQ1826" s="145"/>
      <c r="AR1826"/>
      <c r="AS1826"/>
      <c r="AT1826"/>
      <c r="AU1826"/>
      <c r="AV1826"/>
      <c r="AW1826"/>
      <c r="AX1826"/>
      <c r="AY1826"/>
      <c r="AZ1826"/>
      <c r="BA1826"/>
      <c r="BB1826"/>
      <c r="BC1826" s="578"/>
      <c r="BD1826" s="578"/>
      <c r="BE1826"/>
      <c r="BF1826"/>
      <c r="BG1826"/>
      <c r="BH1826"/>
      <c r="BI1826"/>
      <c r="BJ1826"/>
      <c r="BK1826"/>
    </row>
    <row r="1827" spans="40:63" ht="12.75">
      <c r="AN1827"/>
      <c r="AO1827" s="293"/>
      <c r="AP1827"/>
      <c r="AQ1827" s="145"/>
      <c r="AR1827"/>
      <c r="AS1827"/>
      <c r="AT1827"/>
      <c r="AU1827"/>
      <c r="AV1827"/>
      <c r="AW1827"/>
      <c r="AX1827"/>
      <c r="AY1827"/>
      <c r="AZ1827"/>
      <c r="BA1827"/>
      <c r="BB1827"/>
      <c r="BC1827" s="578"/>
      <c r="BD1827" s="578"/>
      <c r="BE1827"/>
      <c r="BF1827"/>
      <c r="BG1827"/>
      <c r="BH1827"/>
      <c r="BI1827"/>
      <c r="BJ1827"/>
      <c r="BK1827"/>
    </row>
    <row r="1828" spans="40:63" ht="12.75">
      <c r="AN1828"/>
      <c r="AO1828" s="293"/>
      <c r="AP1828"/>
      <c r="AQ1828" s="145"/>
      <c r="AR1828"/>
      <c r="AS1828"/>
      <c r="AT1828"/>
      <c r="AU1828"/>
      <c r="AV1828"/>
      <c r="AW1828"/>
      <c r="AX1828"/>
      <c r="AY1828"/>
      <c r="AZ1828"/>
      <c r="BA1828"/>
      <c r="BB1828"/>
      <c r="BC1828" s="578"/>
      <c r="BD1828" s="578"/>
      <c r="BE1828"/>
      <c r="BF1828"/>
      <c r="BG1828"/>
      <c r="BH1828"/>
      <c r="BI1828"/>
      <c r="BJ1828"/>
      <c r="BK1828"/>
    </row>
    <row r="1829" spans="40:63" ht="12.75">
      <c r="AN1829"/>
      <c r="AO1829" s="293"/>
      <c r="AP1829"/>
      <c r="AQ1829" s="145"/>
      <c r="AR1829"/>
      <c r="AS1829"/>
      <c r="AT1829"/>
      <c r="AU1829"/>
      <c r="AV1829"/>
      <c r="AW1829"/>
      <c r="AX1829"/>
      <c r="AY1829"/>
      <c r="AZ1829"/>
      <c r="BA1829"/>
      <c r="BB1829"/>
      <c r="BC1829" s="578"/>
      <c r="BD1829" s="578"/>
      <c r="BE1829"/>
      <c r="BF1829"/>
      <c r="BG1829"/>
      <c r="BH1829"/>
      <c r="BI1829"/>
      <c r="BJ1829"/>
      <c r="BK1829"/>
    </row>
    <row r="1830" spans="40:63" ht="12.75">
      <c r="AN1830"/>
      <c r="AO1830" s="293"/>
      <c r="AP1830"/>
      <c r="AQ1830" s="145"/>
      <c r="AR1830"/>
      <c r="AS1830"/>
      <c r="AT1830"/>
      <c r="AU1830"/>
      <c r="AV1830"/>
      <c r="AW1830"/>
      <c r="AX1830"/>
      <c r="AY1830"/>
      <c r="AZ1830"/>
      <c r="BA1830"/>
      <c r="BB1830"/>
      <c r="BC1830" s="578"/>
      <c r="BD1830" s="578"/>
      <c r="BE1830"/>
      <c r="BF1830"/>
      <c r="BG1830"/>
      <c r="BH1830"/>
      <c r="BI1830"/>
      <c r="BJ1830"/>
      <c r="BK1830"/>
    </row>
    <row r="1831" spans="40:63" ht="12.75">
      <c r="AN1831"/>
      <c r="AO1831" s="293"/>
      <c r="AP1831"/>
      <c r="AQ1831" s="145"/>
      <c r="AR1831"/>
      <c r="AS1831"/>
      <c r="AT1831"/>
      <c r="AU1831"/>
      <c r="AV1831"/>
      <c r="AW1831"/>
      <c r="AX1831"/>
      <c r="AY1831"/>
      <c r="AZ1831"/>
      <c r="BA1831"/>
      <c r="BB1831"/>
      <c r="BC1831" s="578"/>
      <c r="BD1831" s="578"/>
      <c r="BE1831"/>
      <c r="BF1831"/>
      <c r="BG1831"/>
      <c r="BH1831"/>
      <c r="BI1831"/>
      <c r="BJ1831"/>
      <c r="BK1831"/>
    </row>
    <row r="1832" spans="40:63" ht="12.75">
      <c r="AN1832"/>
      <c r="AO1832" s="293"/>
      <c r="AP1832"/>
      <c r="AQ1832" s="145"/>
      <c r="AR1832"/>
      <c r="AS1832"/>
      <c r="AT1832"/>
      <c r="AU1832"/>
      <c r="AV1832"/>
      <c r="AW1832"/>
      <c r="AX1832"/>
      <c r="AY1832"/>
      <c r="AZ1832"/>
      <c r="BA1832"/>
      <c r="BB1832"/>
      <c r="BC1832" s="578"/>
      <c r="BD1832" s="578"/>
      <c r="BE1832"/>
      <c r="BF1832"/>
      <c r="BG1832"/>
      <c r="BH1832"/>
      <c r="BI1832"/>
      <c r="BJ1832"/>
      <c r="BK1832"/>
    </row>
    <row r="1833" spans="40:63" ht="12.75">
      <c r="AN1833"/>
      <c r="AO1833" s="293"/>
      <c r="AP1833"/>
      <c r="AQ1833" s="145"/>
      <c r="AR1833"/>
      <c r="AS1833"/>
      <c r="AT1833"/>
      <c r="AU1833"/>
      <c r="AV1833"/>
      <c r="AW1833"/>
      <c r="AX1833"/>
      <c r="AY1833"/>
      <c r="AZ1833"/>
      <c r="BA1833"/>
      <c r="BB1833"/>
      <c r="BC1833" s="578"/>
      <c r="BD1833" s="578"/>
      <c r="BE1833"/>
      <c r="BF1833"/>
      <c r="BG1833"/>
      <c r="BH1833"/>
      <c r="BI1833"/>
      <c r="BJ1833"/>
      <c r="BK1833"/>
    </row>
    <row r="1834" spans="40:63" ht="12.75">
      <c r="AN1834"/>
      <c r="AO1834" s="293"/>
      <c r="AP1834"/>
      <c r="AQ1834" s="145"/>
      <c r="AR1834"/>
      <c r="AS1834"/>
      <c r="AT1834"/>
      <c r="AU1834"/>
      <c r="AV1834"/>
      <c r="AW1834"/>
      <c r="AX1834"/>
      <c r="AY1834"/>
      <c r="AZ1834"/>
      <c r="BA1834"/>
      <c r="BB1834"/>
      <c r="BC1834" s="578"/>
      <c r="BD1834" s="578"/>
      <c r="BE1834"/>
      <c r="BF1834"/>
      <c r="BG1834"/>
      <c r="BH1834"/>
      <c r="BI1834"/>
      <c r="BJ1834"/>
      <c r="BK1834"/>
    </row>
    <row r="1835" spans="40:63" ht="12.75">
      <c r="AN1835"/>
      <c r="AO1835" s="293"/>
      <c r="AP1835"/>
      <c r="AQ1835" s="145"/>
      <c r="AR1835"/>
      <c r="AS1835"/>
      <c r="AT1835"/>
      <c r="AU1835"/>
      <c r="AV1835"/>
      <c r="AW1835"/>
      <c r="AX1835"/>
      <c r="AY1835"/>
      <c r="AZ1835"/>
      <c r="BA1835"/>
      <c r="BB1835"/>
      <c r="BC1835" s="578"/>
      <c r="BD1835" s="578"/>
      <c r="BE1835"/>
      <c r="BF1835"/>
      <c r="BG1835"/>
      <c r="BH1835"/>
      <c r="BI1835"/>
      <c r="BJ1835"/>
      <c r="BK1835"/>
    </row>
    <row r="1836" spans="40:63" ht="12.75">
      <c r="AN1836"/>
      <c r="AO1836" s="293"/>
      <c r="AP1836"/>
      <c r="AQ1836" s="145"/>
      <c r="AR1836"/>
      <c r="AS1836"/>
      <c r="AT1836"/>
      <c r="AU1836"/>
      <c r="AV1836"/>
      <c r="AW1836"/>
      <c r="AX1836"/>
      <c r="AY1836"/>
      <c r="AZ1836"/>
      <c r="BA1836"/>
      <c r="BB1836"/>
      <c r="BC1836" s="578"/>
      <c r="BD1836" s="578"/>
      <c r="BE1836"/>
      <c r="BF1836"/>
      <c r="BG1836"/>
      <c r="BH1836"/>
      <c r="BI1836"/>
      <c r="BJ1836"/>
      <c r="BK1836"/>
    </row>
    <row r="1837" spans="40:63" ht="12.75">
      <c r="AN1837"/>
      <c r="AO1837" s="293"/>
      <c r="AP1837"/>
      <c r="AQ1837" s="145"/>
      <c r="AR1837"/>
      <c r="AS1837"/>
      <c r="AT1837"/>
      <c r="AU1837"/>
      <c r="AV1837"/>
      <c r="AW1837"/>
      <c r="AX1837"/>
      <c r="AY1837"/>
      <c r="AZ1837"/>
      <c r="BA1837"/>
      <c r="BB1837"/>
      <c r="BC1837" s="578"/>
      <c r="BD1837" s="578"/>
      <c r="BE1837"/>
      <c r="BF1837"/>
      <c r="BG1837"/>
      <c r="BH1837"/>
      <c r="BI1837"/>
      <c r="BJ1837"/>
      <c r="BK1837"/>
    </row>
    <row r="1838" spans="40:63" ht="12.75">
      <c r="AN1838"/>
      <c r="AO1838" s="293"/>
      <c r="AP1838"/>
      <c r="AQ1838" s="145"/>
      <c r="AR1838"/>
      <c r="AS1838"/>
      <c r="AT1838"/>
      <c r="AU1838"/>
      <c r="AV1838"/>
      <c r="AW1838"/>
      <c r="AX1838"/>
      <c r="AY1838"/>
      <c r="AZ1838"/>
      <c r="BA1838"/>
      <c r="BB1838"/>
      <c r="BC1838" s="578"/>
      <c r="BD1838" s="578"/>
      <c r="BE1838"/>
      <c r="BF1838"/>
      <c r="BG1838"/>
      <c r="BH1838"/>
      <c r="BI1838"/>
      <c r="BJ1838"/>
      <c r="BK1838"/>
    </row>
    <row r="1839" spans="40:63" ht="12.75">
      <c r="AN1839"/>
      <c r="AO1839" s="293"/>
      <c r="AP1839"/>
      <c r="AQ1839" s="145"/>
      <c r="AR1839"/>
      <c r="AS1839"/>
      <c r="AT1839"/>
      <c r="AU1839"/>
      <c r="AV1839"/>
      <c r="AW1839"/>
      <c r="AX1839"/>
      <c r="AY1839"/>
      <c r="AZ1839"/>
      <c r="BA1839"/>
      <c r="BB1839"/>
      <c r="BC1839" s="578"/>
      <c r="BD1839" s="578"/>
      <c r="BE1839"/>
      <c r="BF1839"/>
      <c r="BG1839"/>
      <c r="BH1839"/>
      <c r="BI1839"/>
      <c r="BJ1839"/>
      <c r="BK1839"/>
    </row>
    <row r="1840" spans="40:63" ht="12.75">
      <c r="AN1840"/>
      <c r="AO1840" s="293"/>
      <c r="AP1840"/>
      <c r="AQ1840" s="145"/>
      <c r="AR1840"/>
      <c r="AS1840"/>
      <c r="AT1840"/>
      <c r="AU1840"/>
      <c r="AV1840"/>
      <c r="AW1840"/>
      <c r="AX1840"/>
      <c r="AY1840"/>
      <c r="AZ1840"/>
      <c r="BA1840"/>
      <c r="BB1840"/>
      <c r="BC1840" s="578"/>
      <c r="BD1840" s="578"/>
      <c r="BE1840"/>
      <c r="BF1840"/>
      <c r="BG1840"/>
      <c r="BH1840"/>
      <c r="BI1840"/>
      <c r="BJ1840"/>
      <c r="BK1840"/>
    </row>
    <row r="1841" spans="40:63" ht="12.75">
      <c r="AN1841"/>
      <c r="AO1841" s="293"/>
      <c r="AP1841"/>
      <c r="AQ1841" s="145"/>
      <c r="AR1841"/>
      <c r="AS1841"/>
      <c r="AT1841"/>
      <c r="AU1841"/>
      <c r="AV1841"/>
      <c r="AW1841"/>
      <c r="AX1841"/>
      <c r="AY1841"/>
      <c r="AZ1841"/>
      <c r="BA1841"/>
      <c r="BB1841"/>
      <c r="BC1841" s="578"/>
      <c r="BD1841" s="578"/>
      <c r="BE1841"/>
      <c r="BF1841"/>
      <c r="BG1841"/>
      <c r="BH1841"/>
      <c r="BI1841"/>
      <c r="BJ1841"/>
      <c r="BK1841"/>
    </row>
    <row r="1842" spans="40:63" ht="12.75">
      <c r="AN1842"/>
      <c r="AO1842" s="293"/>
      <c r="AP1842"/>
      <c r="AQ1842" s="145"/>
      <c r="AR1842"/>
      <c r="AS1842"/>
      <c r="AT1842"/>
      <c r="AU1842"/>
      <c r="AV1842"/>
      <c r="AW1842"/>
      <c r="AX1842"/>
      <c r="AY1842"/>
      <c r="AZ1842"/>
      <c r="BA1842"/>
      <c r="BB1842"/>
      <c r="BC1842" s="578"/>
      <c r="BD1842" s="578"/>
      <c r="BE1842"/>
      <c r="BF1842"/>
      <c r="BG1842"/>
      <c r="BH1842"/>
      <c r="BI1842"/>
      <c r="BJ1842"/>
      <c r="BK1842"/>
    </row>
    <row r="1843" spans="40:63" ht="12.75">
      <c r="AN1843"/>
      <c r="AO1843" s="293"/>
      <c r="AP1843"/>
      <c r="AQ1843" s="145"/>
      <c r="AR1843"/>
      <c r="AS1843"/>
      <c r="AT1843"/>
      <c r="AU1843"/>
      <c r="AV1843"/>
      <c r="AW1843"/>
      <c r="AX1843"/>
      <c r="AY1843"/>
      <c r="AZ1843"/>
      <c r="BA1843"/>
      <c r="BB1843"/>
      <c r="BC1843" s="578"/>
      <c r="BD1843" s="578"/>
      <c r="BE1843"/>
      <c r="BF1843"/>
      <c r="BG1843"/>
      <c r="BH1843"/>
      <c r="BI1843"/>
      <c r="BJ1843"/>
      <c r="BK1843"/>
    </row>
    <row r="1844" spans="40:63" ht="12.75">
      <c r="AN1844"/>
      <c r="AO1844" s="293"/>
      <c r="AP1844"/>
      <c r="AQ1844" s="145"/>
      <c r="AR1844"/>
      <c r="AS1844"/>
      <c r="AT1844"/>
      <c r="AU1844"/>
      <c r="AV1844"/>
      <c r="AW1844"/>
      <c r="AX1844"/>
      <c r="AY1844"/>
      <c r="AZ1844"/>
      <c r="BA1844"/>
      <c r="BB1844"/>
      <c r="BC1844" s="578"/>
      <c r="BD1844" s="578"/>
      <c r="BE1844"/>
      <c r="BF1844"/>
      <c r="BG1844"/>
      <c r="BH1844"/>
      <c r="BI1844"/>
      <c r="BJ1844"/>
      <c r="BK1844"/>
    </row>
    <row r="1845" spans="40:63" ht="12.75">
      <c r="AN1845"/>
      <c r="AO1845" s="293"/>
      <c r="AP1845"/>
      <c r="AQ1845" s="145"/>
      <c r="AR1845"/>
      <c r="AS1845"/>
      <c r="AT1845"/>
      <c r="AU1845"/>
      <c r="AV1845"/>
      <c r="AW1845"/>
      <c r="AX1845"/>
      <c r="AY1845"/>
      <c r="AZ1845"/>
      <c r="BA1845"/>
      <c r="BB1845"/>
      <c r="BC1845" s="578"/>
      <c r="BD1845" s="578"/>
      <c r="BE1845"/>
      <c r="BF1845"/>
      <c r="BG1845"/>
      <c r="BH1845"/>
      <c r="BI1845"/>
      <c r="BJ1845"/>
      <c r="BK1845"/>
    </row>
    <row r="1846" spans="40:63" ht="12.75">
      <c r="AN1846"/>
      <c r="AO1846" s="293"/>
      <c r="AP1846"/>
      <c r="AQ1846" s="145"/>
      <c r="AR1846"/>
      <c r="AS1846"/>
      <c r="AT1846"/>
      <c r="AU1846"/>
      <c r="AV1846"/>
      <c r="AW1846"/>
      <c r="AX1846"/>
      <c r="AY1846"/>
      <c r="AZ1846"/>
      <c r="BA1846"/>
      <c r="BB1846"/>
      <c r="BC1846" s="578"/>
      <c r="BD1846" s="578"/>
      <c r="BE1846"/>
      <c r="BF1846"/>
      <c r="BG1846"/>
      <c r="BH1846"/>
      <c r="BI1846"/>
      <c r="BJ1846"/>
      <c r="BK1846"/>
    </row>
    <row r="1847" spans="40:63" ht="12.75">
      <c r="AN1847"/>
      <c r="AO1847" s="293"/>
      <c r="AP1847"/>
      <c r="AQ1847" s="145"/>
      <c r="AR1847"/>
      <c r="AS1847"/>
      <c r="AT1847"/>
      <c r="AU1847"/>
      <c r="AV1847"/>
      <c r="AW1847"/>
      <c r="AX1847"/>
      <c r="AY1847"/>
      <c r="AZ1847"/>
      <c r="BA1847"/>
      <c r="BB1847"/>
      <c r="BC1847" s="578"/>
      <c r="BD1847" s="578"/>
      <c r="BE1847"/>
      <c r="BF1847"/>
      <c r="BG1847"/>
      <c r="BH1847"/>
      <c r="BI1847"/>
      <c r="BJ1847"/>
      <c r="BK1847"/>
    </row>
    <row r="1848" spans="40:63" ht="12.75">
      <c r="AN1848"/>
      <c r="AO1848" s="293"/>
      <c r="AP1848"/>
      <c r="AQ1848" s="145"/>
      <c r="AR1848"/>
      <c r="AS1848"/>
      <c r="AT1848"/>
      <c r="AU1848"/>
      <c r="AV1848"/>
      <c r="AW1848"/>
      <c r="AX1848"/>
      <c r="AY1848"/>
      <c r="AZ1848"/>
      <c r="BA1848"/>
      <c r="BB1848"/>
      <c r="BC1848" s="578"/>
      <c r="BD1848" s="578"/>
      <c r="BE1848"/>
      <c r="BF1848"/>
      <c r="BG1848"/>
      <c r="BH1848"/>
      <c r="BI1848"/>
      <c r="BJ1848"/>
      <c r="BK1848"/>
    </row>
    <row r="1849" spans="40:63" ht="12.75">
      <c r="AN1849"/>
      <c r="AO1849" s="293"/>
      <c r="AP1849"/>
      <c r="AQ1849" s="145"/>
      <c r="AR1849"/>
      <c r="AS1849"/>
      <c r="AT1849"/>
      <c r="AU1849"/>
      <c r="AV1849"/>
      <c r="AW1849"/>
      <c r="AX1849"/>
      <c r="AY1849"/>
      <c r="AZ1849"/>
      <c r="BA1849"/>
      <c r="BB1849"/>
      <c r="BC1849" s="578"/>
      <c r="BD1849" s="578"/>
      <c r="BE1849"/>
      <c r="BF1849"/>
      <c r="BG1849"/>
      <c r="BH1849"/>
      <c r="BI1849"/>
      <c r="BJ1849"/>
      <c r="BK1849"/>
    </row>
    <row r="1850" spans="40:63" ht="12.75">
      <c r="AN1850"/>
      <c r="AO1850" s="293"/>
      <c r="AP1850"/>
      <c r="AQ1850" s="145"/>
      <c r="AR1850"/>
      <c r="AS1850"/>
      <c r="AT1850"/>
      <c r="AU1850"/>
      <c r="AV1850"/>
      <c r="AW1850"/>
      <c r="AX1850"/>
      <c r="AY1850"/>
      <c r="AZ1850"/>
      <c r="BA1850"/>
      <c r="BB1850"/>
      <c r="BC1850" s="578"/>
      <c r="BD1850" s="578"/>
      <c r="BE1850"/>
      <c r="BF1850"/>
      <c r="BG1850"/>
      <c r="BH1850"/>
      <c r="BI1850"/>
      <c r="BJ1850"/>
      <c r="BK1850"/>
    </row>
    <row r="1851" spans="40:63" ht="12.75">
      <c r="AN1851"/>
      <c r="AO1851" s="293"/>
      <c r="AP1851"/>
      <c r="AQ1851" s="145"/>
      <c r="AR1851"/>
      <c r="AS1851"/>
      <c r="AT1851"/>
      <c r="AU1851"/>
      <c r="AV1851"/>
      <c r="AW1851"/>
      <c r="AX1851"/>
      <c r="AY1851"/>
      <c r="AZ1851"/>
      <c r="BA1851"/>
      <c r="BB1851"/>
      <c r="BC1851" s="578"/>
      <c r="BD1851" s="578"/>
      <c r="BE1851"/>
      <c r="BF1851"/>
      <c r="BG1851"/>
      <c r="BH1851"/>
      <c r="BI1851"/>
      <c r="BJ1851"/>
      <c r="BK1851"/>
    </row>
    <row r="1852" spans="40:63" ht="12.75">
      <c r="AN1852"/>
      <c r="AO1852" s="293"/>
      <c r="AP1852"/>
      <c r="AQ1852" s="145"/>
      <c r="AR1852"/>
      <c r="AS1852"/>
      <c r="AT1852"/>
      <c r="AU1852"/>
      <c r="AV1852"/>
      <c r="AW1852"/>
      <c r="AX1852"/>
      <c r="AY1852"/>
      <c r="AZ1852"/>
      <c r="BA1852"/>
      <c r="BB1852"/>
      <c r="BC1852" s="578"/>
      <c r="BD1852" s="578"/>
      <c r="BE1852"/>
      <c r="BF1852"/>
      <c r="BG1852"/>
      <c r="BH1852"/>
      <c r="BI1852"/>
      <c r="BJ1852"/>
      <c r="BK1852"/>
    </row>
    <row r="1853" spans="40:63" ht="12.75">
      <c r="AN1853"/>
      <c r="AO1853" s="293"/>
      <c r="AP1853"/>
      <c r="AQ1853" s="145"/>
      <c r="AR1853"/>
      <c r="AS1853"/>
      <c r="AT1853"/>
      <c r="AU1853"/>
      <c r="AV1853"/>
      <c r="AW1853"/>
      <c r="AX1853"/>
      <c r="AY1853"/>
      <c r="AZ1853"/>
      <c r="BA1853"/>
      <c r="BB1853"/>
      <c r="BC1853" s="578"/>
      <c r="BD1853" s="578"/>
      <c r="BE1853"/>
      <c r="BF1853"/>
      <c r="BG1853"/>
      <c r="BH1853"/>
      <c r="BI1853"/>
      <c r="BJ1853"/>
      <c r="BK1853"/>
    </row>
    <row r="1854" spans="40:63" ht="12.75">
      <c r="AN1854"/>
      <c r="AO1854" s="293"/>
      <c r="AP1854"/>
      <c r="AQ1854" s="145"/>
      <c r="AR1854"/>
      <c r="AS1854"/>
      <c r="AT1854"/>
      <c r="AU1854"/>
      <c r="AV1854"/>
      <c r="AW1854"/>
      <c r="AX1854"/>
      <c r="AY1854"/>
      <c r="AZ1854"/>
      <c r="BA1854"/>
      <c r="BB1854"/>
      <c r="BC1854" s="578"/>
      <c r="BD1854" s="578"/>
      <c r="BE1854"/>
      <c r="BF1854"/>
      <c r="BG1854"/>
      <c r="BH1854"/>
      <c r="BI1854"/>
      <c r="BJ1854"/>
      <c r="BK1854"/>
    </row>
    <row r="1855" spans="40:63" ht="12.75">
      <c r="AN1855"/>
      <c r="AO1855" s="293"/>
      <c r="AP1855"/>
      <c r="AQ1855" s="145"/>
      <c r="AR1855"/>
      <c r="AS1855"/>
      <c r="AT1855"/>
      <c r="AU1855"/>
      <c r="AV1855"/>
      <c r="AW1855"/>
      <c r="AX1855"/>
      <c r="AY1855"/>
      <c r="AZ1855"/>
      <c r="BA1855"/>
      <c r="BB1855"/>
      <c r="BC1855" s="578"/>
      <c r="BD1855" s="578"/>
      <c r="BE1855"/>
      <c r="BF1855"/>
      <c r="BG1855"/>
      <c r="BH1855"/>
      <c r="BI1855"/>
      <c r="BJ1855"/>
      <c r="BK1855"/>
    </row>
    <row r="1856" spans="40:63" ht="12.75">
      <c r="AN1856"/>
      <c r="AO1856" s="293"/>
      <c r="AP1856"/>
      <c r="AQ1856" s="145"/>
      <c r="AR1856"/>
      <c r="AS1856"/>
      <c r="AT1856"/>
      <c r="AU1856"/>
      <c r="AV1856"/>
      <c r="AW1856"/>
      <c r="AX1856"/>
      <c r="AY1856"/>
      <c r="AZ1856"/>
      <c r="BA1856"/>
      <c r="BB1856"/>
      <c r="BC1856" s="578"/>
      <c r="BD1856" s="578"/>
      <c r="BE1856"/>
      <c r="BF1856"/>
      <c r="BG1856"/>
      <c r="BH1856"/>
      <c r="BI1856"/>
      <c r="BJ1856"/>
      <c r="BK1856"/>
    </row>
    <row r="1857" spans="40:63" ht="12.75">
      <c r="AN1857"/>
      <c r="AO1857" s="293"/>
      <c r="AP1857"/>
      <c r="AQ1857" s="145"/>
      <c r="AR1857"/>
      <c r="AS1857"/>
      <c r="AT1857"/>
      <c r="AU1857"/>
      <c r="AV1857"/>
      <c r="AW1857"/>
      <c r="AX1857"/>
      <c r="AY1857"/>
      <c r="AZ1857"/>
      <c r="BA1857"/>
      <c r="BB1857"/>
      <c r="BC1857" s="578"/>
      <c r="BD1857" s="578"/>
      <c r="BE1857"/>
      <c r="BF1857"/>
      <c r="BG1857"/>
      <c r="BH1857"/>
      <c r="BI1857"/>
      <c r="BJ1857"/>
      <c r="BK1857"/>
    </row>
    <row r="1858" spans="40:63" ht="12.75">
      <c r="AN1858"/>
      <c r="AO1858" s="293"/>
      <c r="AP1858"/>
      <c r="AQ1858" s="145"/>
      <c r="AR1858"/>
      <c r="AS1858"/>
      <c r="AT1858"/>
      <c r="AU1858"/>
      <c r="AV1858"/>
      <c r="AW1858"/>
      <c r="AX1858"/>
      <c r="AY1858"/>
      <c r="AZ1858"/>
      <c r="BA1858"/>
      <c r="BB1858"/>
      <c r="BC1858" s="578"/>
      <c r="BD1858" s="578"/>
      <c r="BE1858"/>
      <c r="BF1858"/>
      <c r="BG1858"/>
      <c r="BH1858"/>
      <c r="BI1858"/>
      <c r="BJ1858"/>
      <c r="BK1858"/>
    </row>
    <row r="1859" spans="40:63" ht="12.75">
      <c r="AN1859"/>
      <c r="AO1859" s="293"/>
      <c r="AP1859"/>
      <c r="AQ1859" s="145"/>
      <c r="AR1859"/>
      <c r="AS1859"/>
      <c r="AT1859"/>
      <c r="AU1859"/>
      <c r="AV1859"/>
      <c r="AW1859"/>
      <c r="AX1859"/>
      <c r="AY1859"/>
      <c r="AZ1859"/>
      <c r="BA1859"/>
      <c r="BB1859"/>
      <c r="BC1859" s="578"/>
      <c r="BD1859" s="578"/>
      <c r="BE1859"/>
      <c r="BF1859"/>
      <c r="BG1859"/>
      <c r="BH1859"/>
      <c r="BI1859"/>
      <c r="BJ1859"/>
      <c r="BK1859"/>
    </row>
    <row r="1860" spans="40:63" ht="12.75">
      <c r="AN1860"/>
      <c r="AO1860" s="293"/>
      <c r="AP1860"/>
      <c r="AQ1860" s="145"/>
      <c r="AR1860"/>
      <c r="AS1860"/>
      <c r="AT1860"/>
      <c r="AU1860"/>
      <c r="AV1860"/>
      <c r="AW1860"/>
      <c r="AX1860"/>
      <c r="AY1860"/>
      <c r="AZ1860"/>
      <c r="BA1860"/>
      <c r="BB1860"/>
      <c r="BC1860" s="578"/>
      <c r="BD1860" s="578"/>
      <c r="BE1860"/>
      <c r="BF1860"/>
      <c r="BG1860"/>
      <c r="BH1860"/>
      <c r="BI1860"/>
      <c r="BJ1860"/>
      <c r="BK1860"/>
    </row>
    <row r="1861" spans="40:63" ht="12.75">
      <c r="AN1861"/>
      <c r="AO1861" s="293"/>
      <c r="AP1861"/>
      <c r="AQ1861" s="145"/>
      <c r="AR1861"/>
      <c r="AS1861"/>
      <c r="AT1861"/>
      <c r="AU1861"/>
      <c r="AV1861"/>
      <c r="AW1861"/>
      <c r="AX1861"/>
      <c r="AY1861"/>
      <c r="AZ1861"/>
      <c r="BA1861"/>
      <c r="BB1861"/>
      <c r="BC1861" s="578"/>
      <c r="BD1861" s="578"/>
      <c r="BE1861"/>
      <c r="BF1861"/>
      <c r="BG1861"/>
      <c r="BH1861"/>
      <c r="BI1861"/>
      <c r="BJ1861"/>
      <c r="BK1861"/>
    </row>
    <row r="1862" spans="40:63" ht="12.75">
      <c r="AN1862"/>
      <c r="AO1862" s="293"/>
      <c r="AP1862"/>
      <c r="AQ1862" s="145"/>
      <c r="AR1862"/>
      <c r="AS1862"/>
      <c r="AT1862"/>
      <c r="AU1862"/>
      <c r="AV1862"/>
      <c r="AW1862"/>
      <c r="AX1862"/>
      <c r="AY1862"/>
      <c r="AZ1862"/>
      <c r="BA1862"/>
      <c r="BB1862"/>
      <c r="BC1862" s="578"/>
      <c r="BD1862" s="578"/>
      <c r="BE1862"/>
      <c r="BF1862"/>
      <c r="BG1862"/>
      <c r="BH1862"/>
      <c r="BI1862"/>
      <c r="BJ1862"/>
      <c r="BK1862"/>
    </row>
    <row r="1863" spans="40:63" ht="12.75">
      <c r="AN1863"/>
      <c r="AO1863" s="293"/>
      <c r="AP1863"/>
      <c r="AQ1863" s="145"/>
      <c r="AR1863"/>
      <c r="AS1863"/>
      <c r="AT1863"/>
      <c r="AU1863"/>
      <c r="AV1863"/>
      <c r="AW1863"/>
      <c r="AX1863"/>
      <c r="AY1863"/>
      <c r="AZ1863"/>
      <c r="BA1863"/>
      <c r="BB1863"/>
      <c r="BC1863" s="578"/>
      <c r="BD1863" s="578"/>
      <c r="BE1863"/>
      <c r="BF1863"/>
      <c r="BG1863"/>
      <c r="BH1863"/>
      <c r="BI1863"/>
      <c r="BJ1863"/>
      <c r="BK1863"/>
    </row>
    <row r="1864" spans="40:63" ht="12.75">
      <c r="AN1864"/>
      <c r="AO1864" s="293"/>
      <c r="AP1864"/>
      <c r="AQ1864" s="145"/>
      <c r="AR1864"/>
      <c r="AS1864"/>
      <c r="AT1864"/>
      <c r="AU1864"/>
      <c r="AV1864"/>
      <c r="AW1864"/>
      <c r="AX1864"/>
      <c r="AY1864"/>
      <c r="AZ1864"/>
      <c r="BA1864"/>
      <c r="BB1864"/>
      <c r="BC1864" s="578"/>
      <c r="BD1864" s="578"/>
      <c r="BE1864"/>
      <c r="BF1864"/>
      <c r="BG1864"/>
      <c r="BH1864"/>
      <c r="BI1864"/>
      <c r="BJ1864"/>
      <c r="BK1864"/>
    </row>
    <row r="1865" spans="40:63" ht="12.75">
      <c r="AN1865"/>
      <c r="AO1865" s="293"/>
      <c r="AP1865"/>
      <c r="AQ1865" s="145"/>
      <c r="AR1865"/>
      <c r="AS1865"/>
      <c r="AT1865"/>
      <c r="AU1865"/>
      <c r="AV1865"/>
      <c r="AW1865"/>
      <c r="AX1865"/>
      <c r="AY1865"/>
      <c r="AZ1865"/>
      <c r="BA1865"/>
      <c r="BB1865"/>
      <c r="BC1865" s="578"/>
      <c r="BD1865" s="578"/>
      <c r="BE1865"/>
      <c r="BF1865"/>
      <c r="BG1865"/>
      <c r="BH1865"/>
      <c r="BI1865"/>
      <c r="BJ1865"/>
      <c r="BK1865"/>
    </row>
    <row r="1866" spans="40:63" ht="12.75">
      <c r="AN1866"/>
      <c r="AO1866" s="293"/>
      <c r="AP1866"/>
      <c r="AQ1866" s="145"/>
      <c r="AR1866"/>
      <c r="AS1866"/>
      <c r="AT1866"/>
      <c r="AU1866"/>
      <c r="AV1866"/>
      <c r="AW1866"/>
      <c r="AX1866"/>
      <c r="AY1866"/>
      <c r="AZ1866"/>
      <c r="BA1866"/>
      <c r="BB1866"/>
      <c r="BC1866" s="578"/>
      <c r="BD1866" s="578"/>
      <c r="BE1866"/>
      <c r="BF1866"/>
      <c r="BG1866"/>
      <c r="BH1866"/>
      <c r="BI1866"/>
      <c r="BJ1866"/>
      <c r="BK1866"/>
    </row>
    <row r="1867" spans="40:63" ht="12.75">
      <c r="AN1867"/>
      <c r="AO1867" s="293"/>
      <c r="AP1867"/>
      <c r="AQ1867" s="145"/>
      <c r="AR1867"/>
      <c r="AS1867"/>
      <c r="AT1867"/>
      <c r="AU1867"/>
      <c r="AV1867"/>
      <c r="AW1867"/>
      <c r="AX1867"/>
      <c r="AY1867"/>
      <c r="AZ1867"/>
      <c r="BA1867"/>
      <c r="BB1867"/>
      <c r="BC1867" s="578"/>
      <c r="BD1867" s="578"/>
      <c r="BE1867"/>
      <c r="BF1867"/>
      <c r="BG1867"/>
      <c r="BH1867"/>
      <c r="BI1867"/>
      <c r="BJ1867"/>
      <c r="BK1867"/>
    </row>
    <row r="1868" spans="40:63" ht="12.75">
      <c r="AN1868"/>
      <c r="AO1868" s="293"/>
      <c r="AP1868"/>
      <c r="AQ1868" s="145"/>
      <c r="AR1868"/>
      <c r="AS1868"/>
      <c r="AT1868"/>
      <c r="AU1868"/>
      <c r="AV1868"/>
      <c r="AW1868"/>
      <c r="AX1868"/>
      <c r="AY1868"/>
      <c r="AZ1868"/>
      <c r="BA1868"/>
      <c r="BB1868"/>
      <c r="BC1868" s="578"/>
      <c r="BD1868" s="578"/>
      <c r="BE1868"/>
      <c r="BF1868"/>
      <c r="BG1868"/>
      <c r="BH1868"/>
      <c r="BI1868"/>
      <c r="BJ1868"/>
      <c r="BK1868"/>
    </row>
    <row r="1869" spans="40:63" ht="12.75">
      <c r="AN1869"/>
      <c r="AO1869" s="293"/>
      <c r="AP1869"/>
      <c r="AQ1869" s="145"/>
      <c r="AR1869"/>
      <c r="AS1869"/>
      <c r="AT1869"/>
      <c r="AU1869"/>
      <c r="AV1869"/>
      <c r="AW1869"/>
      <c r="AX1869"/>
      <c r="AY1869"/>
      <c r="AZ1869"/>
      <c r="BA1869"/>
      <c r="BB1869"/>
      <c r="BC1869" s="578"/>
      <c r="BD1869" s="578"/>
      <c r="BE1869"/>
      <c r="BF1869"/>
      <c r="BG1869"/>
      <c r="BH1869"/>
      <c r="BI1869"/>
      <c r="BJ1869"/>
      <c r="BK1869"/>
    </row>
    <row r="1870" spans="40:63" ht="12.75">
      <c r="AN1870"/>
      <c r="AO1870" s="293"/>
      <c r="AP1870"/>
      <c r="AQ1870" s="145"/>
      <c r="AR1870"/>
      <c r="AS1870"/>
      <c r="AT1870"/>
      <c r="AU1870"/>
      <c r="AV1870"/>
      <c r="AW1870"/>
      <c r="AX1870"/>
      <c r="AY1870"/>
      <c r="AZ1870"/>
      <c r="BA1870"/>
      <c r="BB1870"/>
      <c r="BC1870" s="578"/>
      <c r="BD1870" s="578"/>
      <c r="BE1870"/>
      <c r="BF1870"/>
      <c r="BG1870"/>
      <c r="BH1870"/>
      <c r="BI1870"/>
      <c r="BJ1870"/>
      <c r="BK1870"/>
    </row>
    <row r="1871" spans="40:63" ht="12.75">
      <c r="AN1871"/>
      <c r="AO1871" s="293"/>
      <c r="AP1871"/>
      <c r="AQ1871" s="145"/>
      <c r="AR1871"/>
      <c r="AS1871"/>
      <c r="AT1871"/>
      <c r="AU1871"/>
      <c r="AV1871"/>
      <c r="AW1871"/>
      <c r="AX1871"/>
      <c r="AY1871"/>
      <c r="AZ1871"/>
      <c r="BA1871"/>
      <c r="BB1871"/>
      <c r="BC1871" s="578"/>
      <c r="BD1871" s="578"/>
      <c r="BE1871"/>
      <c r="BF1871"/>
      <c r="BG1871"/>
      <c r="BH1871"/>
      <c r="BI1871"/>
      <c r="BJ1871"/>
      <c r="BK1871"/>
    </row>
    <row r="1872" spans="40:63" ht="12.75">
      <c r="AN1872"/>
      <c r="AO1872" s="293"/>
      <c r="AP1872"/>
      <c r="AQ1872" s="145"/>
      <c r="AR1872"/>
      <c r="AS1872"/>
      <c r="AT1872"/>
      <c r="AU1872"/>
      <c r="AV1872"/>
      <c r="AW1872"/>
      <c r="AX1872"/>
      <c r="AY1872"/>
      <c r="AZ1872"/>
      <c r="BA1872"/>
      <c r="BB1872"/>
      <c r="BC1872" s="578"/>
      <c r="BD1872" s="578"/>
      <c r="BE1872"/>
      <c r="BF1872"/>
      <c r="BG1872"/>
      <c r="BH1872"/>
      <c r="BI1872"/>
      <c r="BJ1872"/>
      <c r="BK1872"/>
    </row>
    <row r="1873" spans="40:63" ht="12.75">
      <c r="AN1873"/>
      <c r="AO1873" s="293"/>
      <c r="AP1873"/>
      <c r="AQ1873" s="145"/>
      <c r="AR1873"/>
      <c r="AS1873"/>
      <c r="AT1873"/>
      <c r="AU1873"/>
      <c r="AV1873"/>
      <c r="AW1873"/>
      <c r="AX1873"/>
      <c r="AY1873"/>
      <c r="AZ1873"/>
      <c r="BA1873"/>
      <c r="BB1873"/>
      <c r="BC1873" s="578"/>
      <c r="BD1873" s="578"/>
      <c r="BE1873"/>
      <c r="BF1873"/>
      <c r="BG1873"/>
      <c r="BH1873"/>
      <c r="BI1873"/>
      <c r="BJ1873"/>
      <c r="BK1873"/>
    </row>
    <row r="1874" spans="40:63" ht="12.75">
      <c r="AN1874"/>
      <c r="AO1874" s="293"/>
      <c r="AP1874"/>
      <c r="AQ1874" s="145"/>
      <c r="AR1874"/>
      <c r="AS1874"/>
      <c r="AT1874"/>
      <c r="AU1874"/>
      <c r="AV1874"/>
      <c r="AW1874"/>
      <c r="AX1874"/>
      <c r="AY1874"/>
      <c r="AZ1874"/>
      <c r="BA1874"/>
      <c r="BB1874"/>
      <c r="BC1874" s="578"/>
      <c r="BD1874" s="578"/>
      <c r="BE1874"/>
      <c r="BF1874"/>
      <c r="BG1874"/>
      <c r="BH1874"/>
      <c r="BI1874"/>
      <c r="BJ1874"/>
      <c r="BK1874"/>
    </row>
    <row r="1875" spans="40:63" ht="12.75">
      <c r="AN1875"/>
      <c r="AO1875" s="293"/>
      <c r="AP1875"/>
      <c r="AQ1875" s="145"/>
      <c r="AR1875"/>
      <c r="AS1875"/>
      <c r="AT1875"/>
      <c r="AU1875"/>
      <c r="AV1875"/>
      <c r="AW1875"/>
      <c r="AX1875"/>
      <c r="AY1875"/>
      <c r="AZ1875"/>
      <c r="BA1875"/>
      <c r="BB1875"/>
      <c r="BC1875" s="578"/>
      <c r="BD1875" s="578"/>
      <c r="BE1875"/>
      <c r="BF1875"/>
      <c r="BG1875"/>
      <c r="BH1875"/>
      <c r="BI1875"/>
      <c r="BJ1875"/>
      <c r="BK1875"/>
    </row>
    <row r="1876" spans="40:63" ht="12.75">
      <c r="AN1876"/>
      <c r="AO1876" s="293"/>
      <c r="AP1876"/>
      <c r="AQ1876" s="145"/>
      <c r="AR1876"/>
      <c r="AS1876"/>
      <c r="AT1876"/>
      <c r="AU1876"/>
      <c r="AV1876"/>
      <c r="AW1876"/>
      <c r="AX1876"/>
      <c r="AY1876"/>
      <c r="AZ1876"/>
      <c r="BA1876"/>
      <c r="BB1876"/>
      <c r="BC1876" s="578"/>
      <c r="BD1876" s="578"/>
      <c r="BE1876"/>
      <c r="BF1876"/>
      <c r="BG1876"/>
      <c r="BH1876"/>
      <c r="BI1876"/>
      <c r="BJ1876"/>
      <c r="BK1876"/>
    </row>
    <row r="1877" spans="40:63" ht="12.75">
      <c r="AN1877"/>
      <c r="AO1877" s="293"/>
      <c r="AP1877"/>
      <c r="AQ1877" s="145"/>
      <c r="AR1877"/>
      <c r="AS1877"/>
      <c r="AT1877"/>
      <c r="AU1877"/>
      <c r="AV1877"/>
      <c r="AW1877"/>
      <c r="AX1877"/>
      <c r="AY1877"/>
      <c r="AZ1877"/>
      <c r="BA1877"/>
      <c r="BB1877"/>
      <c r="BC1877" s="578"/>
      <c r="BD1877" s="578"/>
      <c r="BE1877"/>
      <c r="BF1877"/>
      <c r="BG1877"/>
      <c r="BH1877"/>
      <c r="BI1877"/>
      <c r="BJ1877"/>
      <c r="BK1877"/>
    </row>
    <row r="1878" spans="40:63" ht="12.75">
      <c r="AN1878"/>
      <c r="AO1878" s="293"/>
      <c r="AP1878"/>
      <c r="AQ1878" s="145"/>
      <c r="AR1878"/>
      <c r="AS1878"/>
      <c r="AT1878"/>
      <c r="AU1878"/>
      <c r="AV1878"/>
      <c r="AW1878"/>
      <c r="AX1878"/>
      <c r="AY1878"/>
      <c r="AZ1878"/>
      <c r="BA1878"/>
      <c r="BB1878"/>
      <c r="BC1878" s="578"/>
      <c r="BD1878" s="578"/>
      <c r="BE1878"/>
      <c r="BF1878"/>
      <c r="BG1878"/>
      <c r="BH1878"/>
      <c r="BI1878"/>
      <c r="BJ1878"/>
      <c r="BK1878"/>
    </row>
    <row r="1879" spans="40:63" ht="12.75">
      <c r="AN1879"/>
      <c r="AO1879" s="293"/>
      <c r="AP1879"/>
      <c r="AQ1879" s="145"/>
      <c r="AR1879"/>
      <c r="AS1879"/>
      <c r="AT1879"/>
      <c r="AU1879"/>
      <c r="AV1879"/>
      <c r="AW1879"/>
      <c r="AX1879"/>
      <c r="AY1879"/>
      <c r="AZ1879"/>
      <c r="BA1879"/>
      <c r="BB1879"/>
      <c r="BC1879" s="578"/>
      <c r="BD1879" s="578"/>
      <c r="BE1879"/>
      <c r="BF1879"/>
      <c r="BG1879"/>
      <c r="BH1879"/>
      <c r="BI1879"/>
      <c r="BJ1879"/>
      <c r="BK1879"/>
    </row>
    <row r="1880" spans="40:63" ht="12.75">
      <c r="AN1880"/>
      <c r="AO1880" s="293"/>
      <c r="AP1880"/>
      <c r="AQ1880" s="145"/>
      <c r="AR1880"/>
      <c r="AS1880"/>
      <c r="AT1880"/>
      <c r="AU1880"/>
      <c r="AV1880"/>
      <c r="AW1880"/>
      <c r="AX1880"/>
      <c r="AY1880"/>
      <c r="AZ1880"/>
      <c r="BA1880"/>
      <c r="BB1880"/>
      <c r="BC1880" s="578"/>
      <c r="BD1880" s="578"/>
      <c r="BE1880"/>
      <c r="BF1880"/>
      <c r="BG1880"/>
      <c r="BH1880"/>
      <c r="BI1880"/>
      <c r="BJ1880"/>
      <c r="BK1880"/>
    </row>
    <row r="1881" spans="40:63" ht="12.75">
      <c r="AN1881"/>
      <c r="AO1881" s="293"/>
      <c r="AP1881"/>
      <c r="AQ1881" s="145"/>
      <c r="AR1881"/>
      <c r="AS1881"/>
      <c r="AT1881"/>
      <c r="AU1881"/>
      <c r="AV1881"/>
      <c r="AW1881"/>
      <c r="AX1881"/>
      <c r="AY1881"/>
      <c r="AZ1881"/>
      <c r="BA1881"/>
      <c r="BB1881"/>
      <c r="BC1881" s="578"/>
      <c r="BD1881" s="578"/>
      <c r="BE1881"/>
      <c r="BF1881"/>
      <c r="BG1881"/>
      <c r="BH1881"/>
      <c r="BI1881"/>
      <c r="BJ1881"/>
      <c r="BK1881"/>
    </row>
    <row r="1882" spans="40:63" ht="12.75">
      <c r="AN1882"/>
      <c r="AO1882" s="293"/>
      <c r="AP1882"/>
      <c r="AQ1882" s="145"/>
      <c r="AR1882"/>
      <c r="AS1882"/>
      <c r="AT1882"/>
      <c r="AU1882"/>
      <c r="AV1882"/>
      <c r="AW1882"/>
      <c r="AX1882"/>
      <c r="AY1882"/>
      <c r="AZ1882"/>
      <c r="BA1882"/>
      <c r="BB1882"/>
      <c r="BC1882" s="578"/>
      <c r="BD1882" s="578"/>
      <c r="BE1882"/>
      <c r="BF1882"/>
      <c r="BG1882"/>
      <c r="BH1882"/>
      <c r="BI1882"/>
      <c r="BJ1882"/>
      <c r="BK1882"/>
    </row>
    <row r="1883" spans="40:63" ht="12.75">
      <c r="AN1883"/>
      <c r="AO1883" s="293"/>
      <c r="AP1883"/>
      <c r="AQ1883" s="145"/>
      <c r="AR1883"/>
      <c r="AS1883"/>
      <c r="AT1883"/>
      <c r="AU1883"/>
      <c r="AV1883"/>
      <c r="AW1883"/>
      <c r="AX1883"/>
      <c r="AY1883"/>
      <c r="AZ1883"/>
      <c r="BA1883"/>
      <c r="BB1883"/>
      <c r="BC1883" s="578"/>
      <c r="BD1883" s="578"/>
      <c r="BE1883"/>
      <c r="BF1883"/>
      <c r="BG1883"/>
      <c r="BH1883"/>
      <c r="BI1883"/>
      <c r="BJ1883"/>
      <c r="BK1883"/>
    </row>
    <row r="1884" spans="40:63" ht="12.75">
      <c r="AN1884"/>
      <c r="AO1884" s="293"/>
      <c r="AP1884"/>
      <c r="AQ1884" s="145"/>
      <c r="AR1884"/>
      <c r="AS1884"/>
      <c r="AT1884"/>
      <c r="AU1884"/>
      <c r="AV1884"/>
      <c r="AW1884"/>
      <c r="AX1884"/>
      <c r="AY1884"/>
      <c r="AZ1884"/>
      <c r="BA1884"/>
      <c r="BB1884"/>
      <c r="BC1884" s="578"/>
      <c r="BD1884" s="578"/>
      <c r="BE1884"/>
      <c r="BF1884"/>
      <c r="BG1884"/>
      <c r="BH1884"/>
      <c r="BI1884"/>
      <c r="BJ1884"/>
      <c r="BK1884" s="6"/>
    </row>
    <row r="1885" spans="40:63" ht="12.75">
      <c r="AN1885"/>
      <c r="AO1885" s="293"/>
      <c r="AP1885"/>
      <c r="AQ1885" s="145"/>
      <c r="AR1885"/>
      <c r="AS1885"/>
      <c r="AT1885"/>
      <c r="AU1885"/>
      <c r="AV1885"/>
      <c r="AW1885"/>
      <c r="AX1885"/>
      <c r="AY1885"/>
      <c r="AZ1885"/>
      <c r="BA1885"/>
      <c r="BB1885"/>
      <c r="BC1885" s="578"/>
      <c r="BD1885" s="578"/>
      <c r="BE1885"/>
      <c r="BF1885"/>
      <c r="BG1885"/>
      <c r="BH1885"/>
      <c r="BI1885"/>
      <c r="BJ1885"/>
      <c r="BK1885" s="6"/>
    </row>
    <row r="1886" spans="40:63" ht="12.75">
      <c r="AN1886"/>
      <c r="AO1886" s="293"/>
      <c r="AP1886"/>
      <c r="AQ1886" s="145"/>
      <c r="AR1886"/>
      <c r="AS1886"/>
      <c r="AT1886"/>
      <c r="AU1886"/>
      <c r="AV1886"/>
      <c r="AW1886"/>
      <c r="AX1886"/>
      <c r="AY1886"/>
      <c r="AZ1886"/>
      <c r="BA1886"/>
      <c r="BB1886"/>
      <c r="BC1886" s="578"/>
      <c r="BD1886" s="578"/>
      <c r="BE1886"/>
      <c r="BF1886"/>
      <c r="BG1886"/>
      <c r="BH1886"/>
      <c r="BI1886"/>
      <c r="BJ1886"/>
      <c r="BK1886" s="6"/>
    </row>
    <row r="1887" spans="40:63" ht="12.75">
      <c r="AN1887"/>
      <c r="AO1887" s="293"/>
      <c r="AP1887"/>
      <c r="AQ1887" s="145"/>
      <c r="AR1887"/>
      <c r="AS1887"/>
      <c r="AT1887"/>
      <c r="AU1887"/>
      <c r="AV1887"/>
      <c r="AW1887"/>
      <c r="AX1887"/>
      <c r="AY1887"/>
      <c r="AZ1887"/>
      <c r="BA1887"/>
      <c r="BB1887"/>
      <c r="BC1887" s="578"/>
      <c r="BD1887" s="578"/>
      <c r="BE1887"/>
      <c r="BF1887"/>
      <c r="BG1887"/>
      <c r="BH1887"/>
      <c r="BI1887"/>
      <c r="BJ1887"/>
      <c r="BK1887" s="6"/>
    </row>
    <row r="1888" spans="40:63" ht="12.75">
      <c r="AN1888"/>
      <c r="AO1888" s="293"/>
      <c r="AP1888"/>
      <c r="AQ1888" s="145"/>
      <c r="AR1888"/>
      <c r="AS1888"/>
      <c r="AT1888"/>
      <c r="AU1888"/>
      <c r="AV1888"/>
      <c r="AW1888"/>
      <c r="AX1888"/>
      <c r="AY1888"/>
      <c r="AZ1888"/>
      <c r="BA1888"/>
      <c r="BB1888"/>
      <c r="BC1888" s="578"/>
      <c r="BD1888" s="578"/>
      <c r="BE1888"/>
      <c r="BF1888"/>
      <c r="BG1888"/>
      <c r="BH1888"/>
      <c r="BI1888"/>
      <c r="BJ1888"/>
      <c r="BK1888" s="6"/>
    </row>
    <row r="1889" spans="40:63" ht="12.75">
      <c r="AN1889"/>
      <c r="AO1889" s="293"/>
      <c r="AP1889"/>
      <c r="AQ1889" s="145"/>
      <c r="AR1889"/>
      <c r="AS1889"/>
      <c r="AT1889"/>
      <c r="AU1889"/>
      <c r="AV1889"/>
      <c r="AW1889"/>
      <c r="AX1889"/>
      <c r="AY1889"/>
      <c r="AZ1889"/>
      <c r="BA1889"/>
      <c r="BB1889"/>
      <c r="BC1889" s="578"/>
      <c r="BD1889" s="578"/>
      <c r="BE1889"/>
      <c r="BF1889"/>
      <c r="BG1889"/>
      <c r="BH1889"/>
      <c r="BI1889"/>
      <c r="BJ1889"/>
      <c r="BK1889" s="6"/>
    </row>
    <row r="1890" spans="40:63" ht="12.75">
      <c r="AN1890"/>
      <c r="AO1890" s="293"/>
      <c r="AP1890"/>
      <c r="AQ1890" s="145"/>
      <c r="AR1890"/>
      <c r="AS1890"/>
      <c r="AT1890"/>
      <c r="AU1890"/>
      <c r="AV1890"/>
      <c r="AW1890"/>
      <c r="AX1890"/>
      <c r="AY1890"/>
      <c r="AZ1890"/>
      <c r="BA1890"/>
      <c r="BB1890"/>
      <c r="BC1890" s="578"/>
      <c r="BD1890" s="578"/>
      <c r="BE1890"/>
      <c r="BF1890"/>
      <c r="BG1890"/>
      <c r="BH1890"/>
      <c r="BI1890"/>
      <c r="BJ1890"/>
      <c r="BK1890" s="6"/>
    </row>
  </sheetData>
  <phoneticPr fontId="13"/>
  <conditionalFormatting sqref="C3">
    <cfRule type="duplicateValues" dxfId="248" priority="59"/>
  </conditionalFormatting>
  <conditionalFormatting sqref="F3">
    <cfRule type="containsText" dxfId="247" priority="42" operator="containsText" text="E-Cap">
      <formula>NOT(ISERROR(SEARCH("E-Cap",F3)))</formula>
    </cfRule>
    <cfRule type="containsText" dxfId="246" priority="43" operator="containsText" text="POSCAP">
      <formula>NOT(ISERROR(SEARCH("POSCAP",F3)))</formula>
    </cfRule>
    <cfRule type="containsText" dxfId="245" priority="44" operator="containsText" text="SP-Cap">
      <formula>NOT(ISERROR(SEARCH("SP-Cap",F3)))</formula>
    </cfRule>
  </conditionalFormatting>
  <conditionalFormatting sqref="AM3:AV3">
    <cfRule type="containsText" dxfId="244" priority="34" operator="containsText" text="OS-CON">
      <formula>NOT(ISERROR(SEARCH("OS-CON",AM3)))</formula>
    </cfRule>
    <cfRule type="containsText" dxfId="243" priority="35" operator="containsText" text="SP-Cap">
      <formula>NOT(ISERROR(SEARCH("SP-Cap",AM3)))</formula>
    </cfRule>
    <cfRule type="containsText" dxfId="242" priority="36" operator="containsText" text="POSCAP">
      <formula>NOT(ISERROR(SEARCH("POSCAP",AM3)))</formula>
    </cfRule>
    <cfRule type="containsText" dxfId="241" priority="37" operator="containsText" text="Hybrid">
      <formula>NOT(ISERROR(SEARCH("Hybrid",AM3)))</formula>
    </cfRule>
  </conditionalFormatting>
  <conditionalFormatting sqref="AN1:AN5 AP1:AP1048576 AR1:AR1048576 AT1:AT1048576 AN7:AN1048576">
    <cfRule type="expression" dxfId="240" priority="18">
      <formula>$BE1&lt;&gt;""</formula>
    </cfRule>
  </conditionalFormatting>
  <conditionalFormatting sqref="AN1:AN1048576 AP1:AP1048576 AR1:AR1048576 AT1:AT1048576">
    <cfRule type="notContainsBlanks" dxfId="239" priority="11">
      <formula>LEN(TRIM(AN1))&gt;0</formula>
    </cfRule>
  </conditionalFormatting>
  <conditionalFormatting sqref="AO7:AO116">
    <cfRule type="expression" dxfId="238" priority="13">
      <formula>$BE7&lt;&gt;""</formula>
    </cfRule>
  </conditionalFormatting>
  <conditionalFormatting sqref="AP1:AP1048576 AR1:AR1048576">
    <cfRule type="dataBar" priority="24">
      <dataBar>
        <cfvo type="min"/>
        <cfvo type="max"/>
        <color rgb="FFFFB628"/>
      </dataBar>
      <extLst>
        <ext xmlns:x14="http://schemas.microsoft.com/office/spreadsheetml/2009/9/main" uri="{B025F937-C7B1-47D3-B67F-A62EFF666E3E}">
          <x14:id>{D9D3F022-1B2D-41EA-9C95-15764D3DE9A6}</x14:id>
        </ext>
      </extLst>
    </cfRule>
  </conditionalFormatting>
  <conditionalFormatting sqref="AP3 AN3:AN4 AS3:AS4 AU3:AU4 AW3:AW4 AY3:AY4">
    <cfRule type="expression" dxfId="237" priority="66">
      <formula>#REF!&lt;&gt;""</formula>
    </cfRule>
  </conditionalFormatting>
  <conditionalFormatting sqref="AP4">
    <cfRule type="expression" dxfId="236" priority="7">
      <formula>#REF!&lt;&gt;""</formula>
    </cfRule>
  </conditionalFormatting>
  <conditionalFormatting sqref="AR4 AT4">
    <cfRule type="dataBar" priority="20">
      <dataBar>
        <cfvo type="min"/>
        <cfvo type="max"/>
        <color rgb="FFFFB628"/>
      </dataBar>
      <extLst>
        <ext xmlns:x14="http://schemas.microsoft.com/office/spreadsheetml/2009/9/main" uri="{B025F937-C7B1-47D3-B67F-A62EFF666E3E}">
          <x14:id>{E1B7210A-0082-4DD0-9EEB-F271F8CB9630}</x14:id>
        </ext>
      </extLst>
    </cfRule>
    <cfRule type="expression" dxfId="235" priority="21">
      <formula>#REF!&lt;&gt;""</formula>
    </cfRule>
  </conditionalFormatting>
  <conditionalFormatting sqref="AT1:AT1048576">
    <cfRule type="dataBar" priority="25">
      <dataBar>
        <cfvo type="min"/>
        <cfvo type="max"/>
        <color rgb="FFFFB628"/>
      </dataBar>
      <extLst>
        <ext xmlns:x14="http://schemas.microsoft.com/office/spreadsheetml/2009/9/main" uri="{B025F937-C7B1-47D3-B67F-A62EFF666E3E}">
          <x14:id>{818957AA-53CB-4F31-99B7-65B788C1BC10}</x14:id>
        </ext>
      </extLst>
    </cfRule>
  </conditionalFormatting>
  <conditionalFormatting sqref="AV4 AX4">
    <cfRule type="expression" dxfId="234" priority="4">
      <formula>#REF!&lt;&gt;""</formula>
    </cfRule>
  </conditionalFormatting>
  <conditionalFormatting sqref="AW4">
    <cfRule type="dataBar" priority="3">
      <dataBar>
        <cfvo type="min"/>
        <cfvo type="max"/>
        <color rgb="FF92D050"/>
      </dataBar>
      <extLst>
        <ext xmlns:x14="http://schemas.microsoft.com/office/spreadsheetml/2009/9/main" uri="{B025F937-C7B1-47D3-B67F-A62EFF666E3E}">
          <x14:id>{A062CA0F-5080-41E0-8D10-29E8DA112303}</x14:id>
        </ext>
      </extLst>
    </cfRule>
    <cfRule type="expression" dxfId="233" priority="5">
      <formula>#REF!&lt;&gt;""</formula>
    </cfRule>
  </conditionalFormatting>
  <conditionalFormatting sqref="AX1:AX1048576">
    <cfRule type="dataBar" priority="26">
      <dataBar>
        <cfvo type="min"/>
        <cfvo type="max"/>
        <color rgb="FF92D050"/>
      </dataBar>
      <extLst>
        <ext xmlns:x14="http://schemas.microsoft.com/office/spreadsheetml/2009/9/main" uri="{B025F937-C7B1-47D3-B67F-A62EFF666E3E}">
          <x14:id>{C4812BE9-1898-4CC9-8F73-D49685DA40AD}</x14:id>
        </ext>
      </extLst>
    </cfRule>
  </conditionalFormatting>
  <conditionalFormatting sqref="AZ1:AZ1048576">
    <cfRule type="containsText" dxfId="232" priority="1" operator="containsText" text="UD">
      <formula>NOT(ISERROR(SEARCH("UD",AZ1)))</formula>
    </cfRule>
  </conditionalFormatting>
  <conditionalFormatting sqref="BA4">
    <cfRule type="dataBar" priority="15">
      <dataBar>
        <cfvo type="min"/>
        <cfvo type="max"/>
        <color rgb="FFFFB628"/>
      </dataBar>
      <extLst>
        <ext xmlns:x14="http://schemas.microsoft.com/office/spreadsheetml/2009/9/main" uri="{B025F937-C7B1-47D3-B67F-A62EFF666E3E}">
          <x14:id>{2A759C29-E443-47F2-976D-30FD2244C967}</x14:id>
        </ext>
      </extLst>
    </cfRule>
    <cfRule type="expression" dxfId="231" priority="16">
      <formula>#REF!&lt;&gt;""</formula>
    </cfRule>
  </conditionalFormatting>
  <conditionalFormatting sqref="BE1:BE2 BE5:BE1048576">
    <cfRule type="duplicateValues" dxfId="230" priority="6"/>
  </conditionalFormatting>
  <conditionalFormatting sqref="BE3:BE4">
    <cfRule type="duplicateValues" dxfId="229" priority="2"/>
  </conditionalFormatting>
  <conditionalFormatting sqref="BH3:BI4 BG5:BI5 BJ7:BJ1048576">
    <cfRule type="containsText" dxfId="228" priority="9" operator="containsText" text="Panasonic">
      <formula>NOT(ISERROR(SEARCH("Panasonic",BG3)))</formula>
    </cfRule>
  </conditionalFormatting>
  <conditionalFormatting sqref="BJ1:BJ2">
    <cfRule type="containsText" dxfId="227" priority="28" operator="containsText" text="Panasonic">
      <formula>NOT(ISERROR(SEARCH("Panasonic",BJ1)))</formula>
    </cfRule>
  </conditionalFormatting>
  <conditionalFormatting sqref="BJ3:BJ5">
    <cfRule type="containsText" dxfId="226" priority="8" operator="containsText" text="New">
      <formula>NOT(ISERROR(SEARCH("New",BJ3)))</formula>
    </cfRule>
  </conditionalFormatting>
  <conditionalFormatting sqref="BK1:BK2 BK8:BK1048576">
    <cfRule type="containsText" dxfId="225" priority="23" operator="containsText" text="New">
      <formula>NOT(ISERROR(SEARCH("New",BK1)))</formula>
    </cfRule>
  </conditionalFormatting>
  <pageMargins left="0.25" right="0.25" top="0.75" bottom="0.75" header="0.3" footer="0.3"/>
  <pageSetup paperSize="9" scale="78" fitToHeight="0" orientation="portrait" horizontalDpi="1200" verticalDpi="1200" r:id="rId2"/>
  <colBreaks count="1" manualBreakCount="1">
    <brk id="39" max="1048575" man="1"/>
  </colBreaks>
  <drawing r:id="rId3"/>
  <legacyDrawing r:id="rId4"/>
  <mc:AlternateContent xmlns:mc="http://schemas.openxmlformats.org/markup-compatibility/2006">
    <mc:Choice Requires="x14">
      <controls>
        <mc:AlternateContent xmlns:mc="http://schemas.openxmlformats.org/markup-compatibility/2006">
          <mc:Choice Requires="x14">
            <control shapeId="83970" r:id="rId5" name="Button 2">
              <controlPr defaultSize="0" print="0" autoFill="0" autoPict="0" macro="[0]!PV_FiltClear">
                <anchor moveWithCells="1" sizeWithCells="1">
                  <from>
                    <xdr:col>5</xdr:col>
                    <xdr:colOff>1000125</xdr:colOff>
                    <xdr:row>2</xdr:row>
                    <xdr:rowOff>66675</xdr:rowOff>
                  </from>
                  <to>
                    <xdr:col>6</xdr:col>
                    <xdr:colOff>933450</xdr:colOff>
                    <xdr:row>2</xdr:row>
                    <xdr:rowOff>247650</xdr:rowOff>
                  </to>
                </anchor>
              </controlPr>
            </control>
          </mc:Choice>
        </mc:AlternateContent>
        <mc:AlternateContent xmlns:mc="http://schemas.openxmlformats.org/markup-compatibility/2006">
          <mc:Choice Requires="x14">
            <control shapeId="83972" r:id="rId6" name="Button 4">
              <controlPr defaultSize="0" print="0" autoFill="0" autoPict="0" macro="[0]!ListToPaste">
                <anchor moveWithCells="1" sizeWithCells="1">
                  <from>
                    <xdr:col>52</xdr:col>
                    <xdr:colOff>228600</xdr:colOff>
                    <xdr:row>5</xdr:row>
                    <xdr:rowOff>209550</xdr:rowOff>
                  </from>
                  <to>
                    <xdr:col>52</xdr:col>
                    <xdr:colOff>876300</xdr:colOff>
                    <xdr:row>5</xdr:row>
                    <xdr:rowOff>381000</xdr:rowOff>
                  </to>
                </anchor>
              </controlPr>
            </control>
          </mc:Choice>
        </mc:AlternateContent>
        <mc:AlternateContent xmlns:mc="http://schemas.openxmlformats.org/markup-compatibility/2006">
          <mc:Choice Requires="x14">
            <control shapeId="84652" r:id="rId7" name="Button 684">
              <controlPr defaultSize="0" print="0" autoFill="0" autoPict="0" macro="[0]!ListToPaste_Auto.ListToPasteRow1">
                <anchor moveWithCells="1" sizeWithCells="1">
                  <from>
                    <xdr:col>56</xdr:col>
                    <xdr:colOff>19050</xdr:colOff>
                    <xdr:row>6</xdr:row>
                    <xdr:rowOff>0</xdr:rowOff>
                  </from>
                  <to>
                    <xdr:col>60</xdr:col>
                    <xdr:colOff>0</xdr:colOff>
                    <xdr:row>7</xdr:row>
                    <xdr:rowOff>0</xdr:rowOff>
                  </to>
                </anchor>
              </controlPr>
            </control>
          </mc:Choice>
        </mc:AlternateContent>
        <mc:AlternateContent xmlns:mc="http://schemas.openxmlformats.org/markup-compatibility/2006">
          <mc:Choice Requires="x14">
            <control shapeId="84653" r:id="rId8" name="Button 685">
              <controlPr defaultSize="0" print="0" autoFill="0" autoPict="0" macro="[0]!ListToPaste_Auto.ListToPasteRow2">
                <anchor moveWithCells="1" sizeWithCells="1">
                  <from>
                    <xdr:col>56</xdr:col>
                    <xdr:colOff>19050</xdr:colOff>
                    <xdr:row>7</xdr:row>
                    <xdr:rowOff>0</xdr:rowOff>
                  </from>
                  <to>
                    <xdr:col>60</xdr:col>
                    <xdr:colOff>0</xdr:colOff>
                    <xdr:row>8</xdr:row>
                    <xdr:rowOff>0</xdr:rowOff>
                  </to>
                </anchor>
              </controlPr>
            </control>
          </mc:Choice>
        </mc:AlternateContent>
        <mc:AlternateContent xmlns:mc="http://schemas.openxmlformats.org/markup-compatibility/2006">
          <mc:Choice Requires="x14">
            <control shapeId="84654" r:id="rId9" name="Button 686">
              <controlPr defaultSize="0" print="0" autoFill="0" autoPict="0" macro="[0]!ListToPaste_Auto.ListToPasteRow3">
                <anchor moveWithCells="1" sizeWithCells="1">
                  <from>
                    <xdr:col>56</xdr:col>
                    <xdr:colOff>19050</xdr:colOff>
                    <xdr:row>8</xdr:row>
                    <xdr:rowOff>0</xdr:rowOff>
                  </from>
                  <to>
                    <xdr:col>60</xdr:col>
                    <xdr:colOff>0</xdr:colOff>
                    <xdr:row>9</xdr:row>
                    <xdr:rowOff>0</xdr:rowOff>
                  </to>
                </anchor>
              </controlPr>
            </control>
          </mc:Choice>
        </mc:AlternateContent>
        <mc:AlternateContent xmlns:mc="http://schemas.openxmlformats.org/markup-compatibility/2006">
          <mc:Choice Requires="x14">
            <control shapeId="84655" r:id="rId10" name="Button 687">
              <controlPr defaultSize="0" print="0" autoFill="0" autoPict="0" macro="[0]!ListToPaste_Auto.ListToPasteRow4">
                <anchor moveWithCells="1" sizeWithCells="1">
                  <from>
                    <xdr:col>56</xdr:col>
                    <xdr:colOff>19050</xdr:colOff>
                    <xdr:row>9</xdr:row>
                    <xdr:rowOff>0</xdr:rowOff>
                  </from>
                  <to>
                    <xdr:col>60</xdr:col>
                    <xdr:colOff>0</xdr:colOff>
                    <xdr:row>10</xdr:row>
                    <xdr:rowOff>0</xdr:rowOff>
                  </to>
                </anchor>
              </controlPr>
            </control>
          </mc:Choice>
        </mc:AlternateContent>
        <mc:AlternateContent xmlns:mc="http://schemas.openxmlformats.org/markup-compatibility/2006">
          <mc:Choice Requires="x14">
            <control shapeId="84656" r:id="rId11" name="Button 688">
              <controlPr defaultSize="0" print="0" autoFill="0" autoPict="0" macro="[0]!ListToPaste_Auto.ListToPasteRow5">
                <anchor moveWithCells="1" sizeWithCells="1">
                  <from>
                    <xdr:col>56</xdr:col>
                    <xdr:colOff>19050</xdr:colOff>
                    <xdr:row>10</xdr:row>
                    <xdr:rowOff>0</xdr:rowOff>
                  </from>
                  <to>
                    <xdr:col>60</xdr:col>
                    <xdr:colOff>0</xdr:colOff>
                    <xdr:row>11</xdr:row>
                    <xdr:rowOff>0</xdr:rowOff>
                  </to>
                </anchor>
              </controlPr>
            </control>
          </mc:Choice>
        </mc:AlternateContent>
        <mc:AlternateContent xmlns:mc="http://schemas.openxmlformats.org/markup-compatibility/2006">
          <mc:Choice Requires="x14">
            <control shapeId="84657" r:id="rId12" name="Button 689">
              <controlPr defaultSize="0" print="0" autoFill="0" autoPict="0" macro="[0]!ListToPaste_Auto.ListToPasteRow6">
                <anchor moveWithCells="1" sizeWithCells="1">
                  <from>
                    <xdr:col>56</xdr:col>
                    <xdr:colOff>19050</xdr:colOff>
                    <xdr:row>11</xdr:row>
                    <xdr:rowOff>0</xdr:rowOff>
                  </from>
                  <to>
                    <xdr:col>60</xdr:col>
                    <xdr:colOff>0</xdr:colOff>
                    <xdr:row>12</xdr:row>
                    <xdr:rowOff>0</xdr:rowOff>
                  </to>
                </anchor>
              </controlPr>
            </control>
          </mc:Choice>
        </mc:AlternateContent>
        <mc:AlternateContent xmlns:mc="http://schemas.openxmlformats.org/markup-compatibility/2006">
          <mc:Choice Requires="x14">
            <control shapeId="84658" r:id="rId13" name="Button 690">
              <controlPr defaultSize="0" print="0" autoFill="0" autoPict="0" macro="[0]!ListToPaste_Auto.ListToPasteRow7">
                <anchor moveWithCells="1" sizeWithCells="1">
                  <from>
                    <xdr:col>56</xdr:col>
                    <xdr:colOff>19050</xdr:colOff>
                    <xdr:row>12</xdr:row>
                    <xdr:rowOff>0</xdr:rowOff>
                  </from>
                  <to>
                    <xdr:col>60</xdr:col>
                    <xdr:colOff>0</xdr:colOff>
                    <xdr:row>13</xdr:row>
                    <xdr:rowOff>0</xdr:rowOff>
                  </to>
                </anchor>
              </controlPr>
            </control>
          </mc:Choice>
        </mc:AlternateContent>
        <mc:AlternateContent xmlns:mc="http://schemas.openxmlformats.org/markup-compatibility/2006">
          <mc:Choice Requires="x14">
            <control shapeId="84659" r:id="rId14" name="Button 691">
              <controlPr defaultSize="0" print="0" autoFill="0" autoPict="0" macro="[0]!ListToPaste_Auto.ListToPasteRow8">
                <anchor moveWithCells="1" sizeWithCells="1">
                  <from>
                    <xdr:col>56</xdr:col>
                    <xdr:colOff>19050</xdr:colOff>
                    <xdr:row>13</xdr:row>
                    <xdr:rowOff>0</xdr:rowOff>
                  </from>
                  <to>
                    <xdr:col>60</xdr:col>
                    <xdr:colOff>0</xdr:colOff>
                    <xdr:row>14</xdr:row>
                    <xdr:rowOff>0</xdr:rowOff>
                  </to>
                </anchor>
              </controlPr>
            </control>
          </mc:Choice>
        </mc:AlternateContent>
        <mc:AlternateContent xmlns:mc="http://schemas.openxmlformats.org/markup-compatibility/2006">
          <mc:Choice Requires="x14">
            <control shapeId="84660" r:id="rId15" name="Button 692">
              <controlPr defaultSize="0" print="0" autoFill="0" autoPict="0" macro="[0]!ListToPaste_Auto.ListToPasteRow9">
                <anchor moveWithCells="1" sizeWithCells="1">
                  <from>
                    <xdr:col>56</xdr:col>
                    <xdr:colOff>19050</xdr:colOff>
                    <xdr:row>14</xdr:row>
                    <xdr:rowOff>0</xdr:rowOff>
                  </from>
                  <to>
                    <xdr:col>60</xdr:col>
                    <xdr:colOff>0</xdr:colOff>
                    <xdr:row>15</xdr:row>
                    <xdr:rowOff>0</xdr:rowOff>
                  </to>
                </anchor>
              </controlPr>
            </control>
          </mc:Choice>
        </mc:AlternateContent>
        <mc:AlternateContent xmlns:mc="http://schemas.openxmlformats.org/markup-compatibility/2006">
          <mc:Choice Requires="x14">
            <control shapeId="84661" r:id="rId16" name="Button 693">
              <controlPr defaultSize="0" print="0" autoFill="0" autoPict="0" macro="[0]!ListToPaste_Auto.ListToPasteRow10">
                <anchor moveWithCells="1" sizeWithCells="1">
                  <from>
                    <xdr:col>56</xdr:col>
                    <xdr:colOff>19050</xdr:colOff>
                    <xdr:row>15</xdr:row>
                    <xdr:rowOff>0</xdr:rowOff>
                  </from>
                  <to>
                    <xdr:col>60</xdr:col>
                    <xdr:colOff>0</xdr:colOff>
                    <xdr:row>16</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D9D3F022-1B2D-41EA-9C95-15764D3DE9A6}">
            <x14:dataBar minLength="0" maxLength="100">
              <x14:cfvo type="autoMin"/>
              <x14:cfvo type="autoMax"/>
              <x14:negativeFillColor rgb="FFFF0000"/>
              <x14:axisColor rgb="FF000000"/>
            </x14:dataBar>
          </x14:cfRule>
          <xm:sqref>AP1:AP1048576 AR1:AR1048576</xm:sqref>
        </x14:conditionalFormatting>
        <x14:conditionalFormatting xmlns:xm="http://schemas.microsoft.com/office/excel/2006/main">
          <x14:cfRule type="dataBar" id="{E1B7210A-0082-4DD0-9EEB-F271F8CB9630}">
            <x14:dataBar minLength="0" maxLength="100">
              <x14:cfvo type="autoMin"/>
              <x14:cfvo type="autoMax"/>
              <x14:negativeFillColor rgb="FFFF0000"/>
              <x14:axisColor rgb="FF000000"/>
            </x14:dataBar>
          </x14:cfRule>
          <xm:sqref>AR4 AT4</xm:sqref>
        </x14:conditionalFormatting>
        <x14:conditionalFormatting xmlns:xm="http://schemas.microsoft.com/office/excel/2006/main">
          <x14:cfRule type="dataBar" id="{818957AA-53CB-4F31-99B7-65B788C1BC10}">
            <x14:dataBar minLength="0" maxLength="100">
              <x14:cfvo type="autoMin"/>
              <x14:cfvo type="autoMax"/>
              <x14:negativeFillColor rgb="FFFF0000"/>
              <x14:axisColor rgb="FF000000"/>
            </x14:dataBar>
          </x14:cfRule>
          <xm:sqref>AT1:AT1048576</xm:sqref>
        </x14:conditionalFormatting>
        <x14:conditionalFormatting xmlns:xm="http://schemas.microsoft.com/office/excel/2006/main">
          <x14:cfRule type="dataBar" id="{A062CA0F-5080-41E0-8D10-29E8DA112303}">
            <x14:dataBar minLength="0" maxLength="100">
              <x14:cfvo type="autoMin"/>
              <x14:cfvo type="autoMax"/>
              <x14:negativeFillColor rgb="FFFF0000"/>
              <x14:axisColor rgb="FF000000"/>
            </x14:dataBar>
          </x14:cfRule>
          <xm:sqref>AW4</xm:sqref>
        </x14:conditionalFormatting>
        <x14:conditionalFormatting xmlns:xm="http://schemas.microsoft.com/office/excel/2006/main">
          <x14:cfRule type="dataBar" id="{C4812BE9-1898-4CC9-8F73-D49685DA40AD}">
            <x14:dataBar minLength="0" maxLength="100">
              <x14:cfvo type="autoMin"/>
              <x14:cfvo type="autoMax"/>
              <x14:negativeFillColor rgb="FFFF0000"/>
              <x14:axisColor rgb="FF000000"/>
            </x14:dataBar>
          </x14:cfRule>
          <xm:sqref>AX1:AX1048576</xm:sqref>
        </x14:conditionalFormatting>
        <x14:conditionalFormatting xmlns:xm="http://schemas.microsoft.com/office/excel/2006/main">
          <x14:cfRule type="dataBar" id="{2A759C29-E443-47F2-976D-30FD2244C967}">
            <x14:dataBar minLength="0" maxLength="100">
              <x14:cfvo type="autoMin"/>
              <x14:cfvo type="autoMax"/>
              <x14:negativeFillColor rgb="FFFF0000"/>
              <x14:axisColor rgb="FF000000"/>
            </x14:dataBar>
          </x14:cfRule>
          <xm:sqref>BA4</xm:sqref>
        </x14:conditionalFormatting>
        <x14:conditionalFormatting xmlns:xm="http://schemas.microsoft.com/office/excel/2006/main">
          <x14:cfRule type="containsText" priority="45" operator="containsText" id="{9549E033-AD21-4E2F-B194-55B7146D6FFA}">
            <xm:f>NOT(ISERROR(SEARCH("Hybrid",F3)))</xm:f>
            <xm:f>"Hybrid"</xm:f>
            <x14:dxf>
              <font>
                <b/>
                <i val="0"/>
                <color theme="0"/>
              </font>
              <fill>
                <patternFill>
                  <bgColor rgb="FF00B050"/>
                </patternFill>
              </fill>
            </x14:dxf>
          </x14:cfRule>
          <x14:cfRule type="containsText" priority="46" operator="containsText" id="{5E77C36C-C116-4E1E-B43B-3F759B5B241F}">
            <xm:f>NOT(ISERROR(SEARCH("OS-CON",F3)))</xm:f>
            <xm:f>"OS-CON"</xm:f>
            <x14:dxf>
              <font>
                <b/>
                <i val="0"/>
                <color theme="0"/>
              </font>
              <fill>
                <patternFill>
                  <bgColor rgb="FF7030A0"/>
                </patternFill>
              </fill>
            </x14:dxf>
          </x14:cfRule>
          <xm:sqref>F3</xm:sqref>
        </x14:conditionalFormatting>
      </x14:conditionalFormattings>
    </ext>
    <ext xmlns:x14="http://schemas.microsoft.com/office/spreadsheetml/2009/9/main" uri="{A8765BA9-456A-4dab-B4F3-ACF838C121DE}">
      <x14:slicerList>
        <x14:slicer r:id="rId17"/>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1">
    <tabColor rgb="FF0070C0"/>
    <pageSetUpPr fitToPage="1"/>
  </sheetPr>
  <dimension ref="A1:W106"/>
  <sheetViews>
    <sheetView showGridLines="0" workbookViewId="0">
      <selection activeCell="F7" sqref="F7"/>
    </sheetView>
  </sheetViews>
  <sheetFormatPr defaultColWidth="30.7109375" defaultRowHeight="15"/>
  <cols>
    <col min="1" max="1" width="0.85546875" style="39" customWidth="1"/>
    <col min="2" max="2" width="2.7109375" style="39" customWidth="1"/>
    <col min="3" max="3" width="6.7109375" style="39" customWidth="1"/>
    <col min="4" max="4" width="13" style="39" customWidth="1"/>
    <col min="5" max="5" width="4.7109375" style="39" customWidth="1"/>
    <col min="6" max="6" width="18.7109375" style="51" customWidth="1"/>
    <col min="7" max="7" width="8.7109375" style="51" customWidth="1"/>
    <col min="8" max="8" width="10.5703125" style="66" customWidth="1"/>
    <col min="9" max="9" width="10.140625" style="39" customWidth="1"/>
    <col min="10" max="10" width="8.42578125" style="39" customWidth="1"/>
    <col min="11" max="16" width="8.7109375" style="39" customWidth="1"/>
    <col min="17" max="17" width="11.7109375" style="41" customWidth="1"/>
    <col min="18" max="19" width="10.85546875" style="58" customWidth="1"/>
    <col min="20" max="20" width="11.28515625" style="39" customWidth="1"/>
    <col min="21" max="21" width="39.7109375" style="51" customWidth="1"/>
    <col min="22" max="22" width="15.7109375" style="39" customWidth="1"/>
    <col min="23" max="16384" width="30.7109375" style="39"/>
  </cols>
  <sheetData>
    <row r="1" spans="1:22" ht="15.75">
      <c r="B1" s="268" t="s">
        <v>211</v>
      </c>
      <c r="F1" s="40"/>
      <c r="G1" s="40"/>
      <c r="U1" s="40"/>
    </row>
    <row r="2" spans="1:22" ht="15.75">
      <c r="B2" s="38"/>
      <c r="F2" s="40"/>
      <c r="G2" s="40"/>
      <c r="U2" s="40"/>
    </row>
    <row r="3" spans="1:22" ht="15.75">
      <c r="D3" s="38"/>
      <c r="F3" s="40"/>
      <c r="G3" s="40"/>
      <c r="U3" s="40"/>
    </row>
    <row r="4" spans="1:22">
      <c r="E4" s="42"/>
      <c r="F4" s="40"/>
      <c r="G4" s="40"/>
      <c r="H4" s="67"/>
      <c r="I4" s="42"/>
      <c r="J4" s="42"/>
      <c r="K4" s="42"/>
      <c r="L4" s="42"/>
      <c r="M4" s="42"/>
      <c r="N4" s="42"/>
      <c r="O4" s="42"/>
      <c r="P4" s="42"/>
      <c r="U4" s="40"/>
    </row>
    <row r="5" spans="1:22">
      <c r="E5" s="42"/>
      <c r="F5" s="40"/>
      <c r="G5" s="40"/>
      <c r="H5" s="67"/>
      <c r="I5" s="42"/>
      <c r="J5" s="42"/>
      <c r="K5" s="42"/>
      <c r="L5" s="42"/>
      <c r="M5" s="43"/>
      <c r="N5" s="43"/>
      <c r="O5" s="43"/>
      <c r="P5" s="43"/>
      <c r="Q5" s="44"/>
      <c r="R5" s="59"/>
      <c r="S5" s="59"/>
      <c r="U5" s="40"/>
    </row>
    <row r="6" spans="1:22" s="45" customFormat="1" ht="34.9" customHeight="1">
      <c r="A6" s="61"/>
      <c r="B6" s="61" t="s">
        <v>212</v>
      </c>
      <c r="C6" s="61" t="s">
        <v>213</v>
      </c>
      <c r="D6" s="46" t="s">
        <v>214</v>
      </c>
      <c r="E6" s="46" t="s">
        <v>215</v>
      </c>
      <c r="F6" s="46" t="s">
        <v>216</v>
      </c>
      <c r="G6" s="163" t="s">
        <v>15</v>
      </c>
      <c r="H6" s="163" t="s">
        <v>217</v>
      </c>
      <c r="I6" s="147" t="s">
        <v>218</v>
      </c>
      <c r="J6" s="161" t="s">
        <v>219</v>
      </c>
      <c r="K6" s="47" t="s">
        <v>220</v>
      </c>
      <c r="L6" s="52" t="s">
        <v>221</v>
      </c>
      <c r="M6" s="148" t="s">
        <v>222</v>
      </c>
      <c r="N6" s="148" t="s">
        <v>223</v>
      </c>
      <c r="O6" s="148" t="s">
        <v>224</v>
      </c>
      <c r="P6" s="160" t="s">
        <v>225</v>
      </c>
      <c r="Q6" s="149" t="s">
        <v>226</v>
      </c>
      <c r="R6" s="162" t="s">
        <v>227</v>
      </c>
      <c r="S6" s="162" t="s">
        <v>19</v>
      </c>
      <c r="T6" s="162" t="s">
        <v>20</v>
      </c>
      <c r="U6" s="572" t="s">
        <v>842</v>
      </c>
    </row>
    <row r="7" spans="1:22" ht="13.9" customHeight="1">
      <c r="A7" s="62"/>
      <c r="B7" s="63"/>
      <c r="C7" s="62"/>
      <c r="D7" s="60" t="str">
        <f>IF(F7="","",INDEX('All Data'!$F:$F,MATCH(F7,'All Data'!$O:$O,0)))</f>
        <v/>
      </c>
      <c r="E7" s="48" t="str">
        <f>IF(F7&lt;&gt;"",COUNTIF($F$7:F7,"*")&amp;".","")</f>
        <v/>
      </c>
      <c r="F7" s="116"/>
      <c r="G7" s="115" t="str">
        <f>IF(F7="","",INDEX('All Data'!$N:$N,MATCH(F7,'All Data'!$O:$O,0)))</f>
        <v/>
      </c>
      <c r="H7" s="114" t="str">
        <f>IF(F7="","",INDEX('All Data'!$Q:$Q,MATCH(F7,'All Data'!$O:$O,0)))</f>
        <v/>
      </c>
      <c r="I7" s="113" t="str">
        <f>IF(F7="","",INDEX('All Data'!$AF:$AF,MATCH(F7,'All Data'!$O:$O,0)))</f>
        <v/>
      </c>
      <c r="J7" s="60" t="str">
        <f>IF(F7="","",INDEX('All Data'!$AD:$AD,MATCH(F7,'All Data'!$O:$O,0)))</f>
        <v/>
      </c>
      <c r="K7" s="112" t="str">
        <f>IF(F7="","",INDEX('All Data'!$X:$X,MATCH(F7,'All Data'!$O:$O,0)))</f>
        <v/>
      </c>
      <c r="L7" s="60" t="str">
        <f>IF(F7="","",INDEX('All Data'!$Y:$Y,MATCH(F7,'All Data'!$O:$O,0)))</f>
        <v/>
      </c>
      <c r="M7" s="112" t="str">
        <f>IF(F7="","",INDEX('All Data'!$Z:$Z,MATCH(F7,'All Data'!$O:$O,0)))</f>
        <v/>
      </c>
      <c r="N7" s="111" t="str">
        <f>IF(F7="","",INDEX('All Data'!$AA:$AA,MATCH(F7,'All Data'!$O:$O,0)))</f>
        <v/>
      </c>
      <c r="O7" s="112" t="str">
        <f>IF(F7="","",INDEX('All Data'!$U:$U,MATCH(F7,'All Data'!$O:$O,0)))</f>
        <v/>
      </c>
      <c r="P7" s="150" t="str">
        <f>IF(F7="","",INDEX('All Data'!$V:$V,MATCH(F7,'All Data'!$O:$O,0)))</f>
        <v/>
      </c>
      <c r="Q7" s="228" t="str">
        <f>IF(F7="","",INDEX('All Data'!$AK:$AK,MATCH(F7,'All Data'!$O:$O,0)))</f>
        <v/>
      </c>
      <c r="R7" s="112" t="str">
        <f>IF(F7="","",INDEX('All Data'!$I:$I,MATCH(F7,'All Data'!$O:$O,0)))</f>
        <v/>
      </c>
      <c r="S7" s="150" t="str">
        <f>IF(F7="","",INDEX('All Data'!$K:$K,MATCH(F7,'All Data'!$O:$O,0)))</f>
        <v/>
      </c>
      <c r="T7" s="151" t="str">
        <f>IF(F7="","",INDEX('All Data'!$AS:$AS,MATCH(F7,'All Data'!$O:$O,0)))</f>
        <v/>
      </c>
      <c r="U7" s="573" t="str">
        <f t="shared" ref="U7:U70" si="0">IF(F7="","",H7&amp;"uH, "&amp;I7&amp;" x "&amp;J7&amp;"mm, "&amp;K7&amp;"A(40C), "&amp;M7&amp;"A(L-30%), "&amp;P7&amp;"mΩ max")</f>
        <v/>
      </c>
      <c r="V7" s="49"/>
    </row>
    <row r="8" spans="1:22" ht="18">
      <c r="A8" s="62"/>
      <c r="B8" s="63"/>
      <c r="C8" s="62"/>
      <c r="D8" s="60" t="str">
        <f>IF(F8="","",INDEX('All Data'!$F:$F,MATCH(F8,'All Data'!$O:$O,0)))</f>
        <v/>
      </c>
      <c r="E8" s="48" t="str">
        <f>IF(F8&lt;&gt;"",COUNTIF($F$7:F8,"*")&amp;".","")</f>
        <v/>
      </c>
      <c r="F8" s="116"/>
      <c r="G8" s="115" t="str">
        <f>IF(F8="","",INDEX('All Data'!$N:$N,MATCH(F8,'All Data'!$O:$O,0)))</f>
        <v/>
      </c>
      <c r="H8" s="114" t="str">
        <f>IF(F8="","",INDEX('All Data'!$Q:$Q,MATCH(F8,'All Data'!$O:$O,0)))</f>
        <v/>
      </c>
      <c r="I8" s="113" t="str">
        <f>IF(F8="","",INDEX('All Data'!$AF:$AF,MATCH(F8,'All Data'!$O:$O,0)))</f>
        <v/>
      </c>
      <c r="J8" s="60" t="str">
        <f>IF(F8="","",INDEX('All Data'!$AD:$AD,MATCH(F8,'All Data'!$O:$O,0)))</f>
        <v/>
      </c>
      <c r="K8" s="112" t="str">
        <f>IF(F8="","",INDEX('All Data'!$X:$X,MATCH(F8,'All Data'!$O:$O,0)))</f>
        <v/>
      </c>
      <c r="L8" s="60" t="str">
        <f>IF(F8="","",INDEX('All Data'!$Y:$Y,MATCH(F8,'All Data'!$O:$O,0)))</f>
        <v/>
      </c>
      <c r="M8" s="112" t="str">
        <f>IF(F8="","",INDEX('All Data'!$Z:$Z,MATCH(F8,'All Data'!$O:$O,0)))</f>
        <v/>
      </c>
      <c r="N8" s="111" t="str">
        <f>IF(F8="","",INDEX('All Data'!$AA:$AA,MATCH(F8,'All Data'!$O:$O,0)))</f>
        <v/>
      </c>
      <c r="O8" s="112" t="str">
        <f>IF(F8="","",INDEX('All Data'!$U:$U,MATCH(F8,'All Data'!$O:$O,0)))</f>
        <v/>
      </c>
      <c r="P8" s="150" t="str">
        <f>IF(F8="","",INDEX('All Data'!$V:$V,MATCH(F8,'All Data'!$O:$O,0)))</f>
        <v/>
      </c>
      <c r="Q8" s="228" t="str">
        <f>IF(F8="","",INDEX('All Data'!$AK:$AK,MATCH(F8,'All Data'!$O:$O,0)))</f>
        <v/>
      </c>
      <c r="R8" s="112" t="str">
        <f>IF(F8="","",INDEX('All Data'!$I:$I,MATCH(F8,'All Data'!$O:$O,0)))</f>
        <v/>
      </c>
      <c r="S8" s="150" t="str">
        <f>IF(F8="","",INDEX('All Data'!$K:$K,MATCH(F8,'All Data'!$O:$O,0)))</f>
        <v/>
      </c>
      <c r="T8" s="151" t="str">
        <f>IF(F8="","",INDEX('All Data'!$AS:$AS,MATCH(F8,'All Data'!$O:$O,0)))</f>
        <v/>
      </c>
      <c r="U8" s="573" t="str">
        <f t="shared" si="0"/>
        <v/>
      </c>
      <c r="V8" s="49"/>
    </row>
    <row r="9" spans="1:22" ht="18">
      <c r="A9" s="62"/>
      <c r="B9" s="63"/>
      <c r="C9" s="62"/>
      <c r="D9" s="60" t="str">
        <f>IF(F9="","",INDEX('All Data'!$F:$F,MATCH(F9,'All Data'!$O:$O,0)))</f>
        <v/>
      </c>
      <c r="E9" s="48" t="str">
        <f>IF(F9&lt;&gt;"",COUNTIF($F$7:F9,"*")&amp;".","")</f>
        <v/>
      </c>
      <c r="F9" s="116"/>
      <c r="G9" s="115" t="str">
        <f>IF(F9="","",INDEX('All Data'!$N:$N,MATCH(F9,'All Data'!$O:$O,0)))</f>
        <v/>
      </c>
      <c r="H9" s="114" t="str">
        <f>IF(F9="","",INDEX('All Data'!$Q:$Q,MATCH(F9,'All Data'!$O:$O,0)))</f>
        <v/>
      </c>
      <c r="I9" s="113" t="str">
        <f>IF(F9="","",INDEX('All Data'!$AF:$AF,MATCH(F9,'All Data'!$O:$O,0)))</f>
        <v/>
      </c>
      <c r="J9" s="60" t="str">
        <f>IF(F9="","",INDEX('All Data'!$AD:$AD,MATCH(F9,'All Data'!$O:$O,0)))</f>
        <v/>
      </c>
      <c r="K9" s="112" t="str">
        <f>IF(F9="","",INDEX('All Data'!$X:$X,MATCH(F9,'All Data'!$O:$O,0)))</f>
        <v/>
      </c>
      <c r="L9" s="60" t="str">
        <f>IF(F9="","",INDEX('All Data'!$Y:$Y,MATCH(F9,'All Data'!$O:$O,0)))</f>
        <v/>
      </c>
      <c r="M9" s="112" t="str">
        <f>IF(F9="","",INDEX('All Data'!$Z:$Z,MATCH(F9,'All Data'!$O:$O,0)))</f>
        <v/>
      </c>
      <c r="N9" s="111" t="str">
        <f>IF(F9="","",INDEX('All Data'!$AA:$AA,MATCH(F9,'All Data'!$O:$O,0)))</f>
        <v/>
      </c>
      <c r="O9" s="112" t="str">
        <f>IF(F9="","",INDEX('All Data'!$U:$U,MATCH(F9,'All Data'!$O:$O,0)))</f>
        <v/>
      </c>
      <c r="P9" s="150" t="str">
        <f>IF(F9="","",INDEX('All Data'!$V:$V,MATCH(F9,'All Data'!$O:$O,0)))</f>
        <v/>
      </c>
      <c r="Q9" s="228" t="str">
        <f>IF(F9="","",INDEX('All Data'!$AK:$AK,MATCH(F9,'All Data'!$O:$O,0)))</f>
        <v/>
      </c>
      <c r="R9" s="112" t="str">
        <f>IF(F9="","",INDEX('All Data'!$I:$I,MATCH(F9,'All Data'!$O:$O,0)))</f>
        <v/>
      </c>
      <c r="S9" s="150" t="str">
        <f>IF(F9="","",INDEX('All Data'!$K:$K,MATCH(F9,'All Data'!$O:$O,0)))</f>
        <v/>
      </c>
      <c r="T9" s="151" t="str">
        <f>IF(F9="","",INDEX('All Data'!$AS:$AS,MATCH(F9,'All Data'!$O:$O,0)))</f>
        <v/>
      </c>
      <c r="U9" s="573" t="str">
        <f t="shared" si="0"/>
        <v/>
      </c>
      <c r="V9" s="49"/>
    </row>
    <row r="10" spans="1:22" ht="18">
      <c r="A10" s="62"/>
      <c r="B10" s="63"/>
      <c r="C10" s="62"/>
      <c r="D10" s="60" t="str">
        <f>IF(F10="","",INDEX('All Data'!$F:$F,MATCH(F10,'All Data'!$O:$O,0)))</f>
        <v/>
      </c>
      <c r="E10" s="48" t="str">
        <f>IF(F10&lt;&gt;"",COUNTIF($F$7:F10,"*")&amp;".","")</f>
        <v/>
      </c>
      <c r="F10" s="116"/>
      <c r="G10" s="115" t="str">
        <f>IF(F10="","",INDEX('All Data'!$N:$N,MATCH(F10,'All Data'!$O:$O,0)))</f>
        <v/>
      </c>
      <c r="H10" s="114" t="str">
        <f>IF(F10="","",INDEX('All Data'!$Q:$Q,MATCH(F10,'All Data'!$O:$O,0)))</f>
        <v/>
      </c>
      <c r="I10" s="113" t="str">
        <f>IF(F10="","",INDEX('All Data'!$AF:$AF,MATCH(F10,'All Data'!$O:$O,0)))</f>
        <v/>
      </c>
      <c r="J10" s="60" t="str">
        <f>IF(F10="","",INDEX('All Data'!$AD:$AD,MATCH(F10,'All Data'!$O:$O,0)))</f>
        <v/>
      </c>
      <c r="K10" s="112" t="str">
        <f>IF(F10="","",INDEX('All Data'!$X:$X,MATCH(F10,'All Data'!$O:$O,0)))</f>
        <v/>
      </c>
      <c r="L10" s="60" t="str">
        <f>IF(F10="","",INDEX('All Data'!$Y:$Y,MATCH(F10,'All Data'!$O:$O,0)))</f>
        <v/>
      </c>
      <c r="M10" s="112" t="str">
        <f>IF(F10="","",INDEX('All Data'!$Z:$Z,MATCH(F10,'All Data'!$O:$O,0)))</f>
        <v/>
      </c>
      <c r="N10" s="111" t="str">
        <f>IF(F10="","",INDEX('All Data'!$AA:$AA,MATCH(F10,'All Data'!$O:$O,0)))</f>
        <v/>
      </c>
      <c r="O10" s="112" t="str">
        <f>IF(F10="","",INDEX('All Data'!$U:$U,MATCH(F10,'All Data'!$O:$O,0)))</f>
        <v/>
      </c>
      <c r="P10" s="150" t="str">
        <f>IF(F10="","",INDEX('All Data'!$V:$V,MATCH(F10,'All Data'!$O:$O,0)))</f>
        <v/>
      </c>
      <c r="Q10" s="228" t="str">
        <f>IF(F10="","",INDEX('All Data'!$AK:$AK,MATCH(F10,'All Data'!$O:$O,0)))</f>
        <v/>
      </c>
      <c r="R10" s="112" t="str">
        <f>IF(F10="","",INDEX('All Data'!$I:$I,MATCH(F10,'All Data'!$O:$O,0)))</f>
        <v/>
      </c>
      <c r="S10" s="150" t="str">
        <f>IF(F10="","",INDEX('All Data'!$K:$K,MATCH(F10,'All Data'!$O:$O,0)))</f>
        <v/>
      </c>
      <c r="T10" s="151" t="str">
        <f>IF(F10="","",INDEX('All Data'!$AS:$AS,MATCH(F10,'All Data'!$O:$O,0)))</f>
        <v/>
      </c>
      <c r="U10" s="573" t="str">
        <f t="shared" si="0"/>
        <v/>
      </c>
      <c r="V10" s="49"/>
    </row>
    <row r="11" spans="1:22" ht="18">
      <c r="A11" s="62"/>
      <c r="B11" s="63"/>
      <c r="C11" s="62"/>
      <c r="D11" s="60" t="str">
        <f>IF(F11="","",INDEX('All Data'!$F:$F,MATCH(F11,'All Data'!$O:$O,0)))</f>
        <v/>
      </c>
      <c r="E11" s="48" t="str">
        <f>IF(F11&lt;&gt;"",COUNTIF($F$7:F11,"*")&amp;".","")</f>
        <v/>
      </c>
      <c r="F11" s="116"/>
      <c r="G11" s="115" t="str">
        <f>IF(F11="","",INDEX('All Data'!$N:$N,MATCH(F11,'All Data'!$O:$O,0)))</f>
        <v/>
      </c>
      <c r="H11" s="114" t="str">
        <f>IF(F11="","",INDEX('All Data'!$Q:$Q,MATCH(F11,'All Data'!$O:$O,0)))</f>
        <v/>
      </c>
      <c r="I11" s="113" t="str">
        <f>IF(F11="","",INDEX('All Data'!$AF:$AF,MATCH(F11,'All Data'!$O:$O,0)))</f>
        <v/>
      </c>
      <c r="J11" s="60" t="str">
        <f>IF(F11="","",INDEX('All Data'!$AD:$AD,MATCH(F11,'All Data'!$O:$O,0)))</f>
        <v/>
      </c>
      <c r="K11" s="112" t="str">
        <f>IF(F11="","",INDEX('All Data'!$X:$X,MATCH(F11,'All Data'!$O:$O,0)))</f>
        <v/>
      </c>
      <c r="L11" s="60" t="str">
        <f>IF(F11="","",INDEX('All Data'!$Y:$Y,MATCH(F11,'All Data'!$O:$O,0)))</f>
        <v/>
      </c>
      <c r="M11" s="112" t="str">
        <f>IF(F11="","",INDEX('All Data'!$Z:$Z,MATCH(F11,'All Data'!$O:$O,0)))</f>
        <v/>
      </c>
      <c r="N11" s="111" t="str">
        <f>IF(F11="","",INDEX('All Data'!$AA:$AA,MATCH(F11,'All Data'!$O:$O,0)))</f>
        <v/>
      </c>
      <c r="O11" s="112" t="str">
        <f>IF(F11="","",INDEX('All Data'!$U:$U,MATCH(F11,'All Data'!$O:$O,0)))</f>
        <v/>
      </c>
      <c r="P11" s="150" t="str">
        <f>IF(F11="","",INDEX('All Data'!$V:$V,MATCH(F11,'All Data'!$O:$O,0)))</f>
        <v/>
      </c>
      <c r="Q11" s="228" t="str">
        <f>IF(F11="","",INDEX('All Data'!$AK:$AK,MATCH(F11,'All Data'!$O:$O,0)))</f>
        <v/>
      </c>
      <c r="R11" s="112" t="str">
        <f>IF(F11="","",INDEX('All Data'!$I:$I,MATCH(F11,'All Data'!$O:$O,0)))</f>
        <v/>
      </c>
      <c r="S11" s="150" t="str">
        <f>IF(F11="","",INDEX('All Data'!$K:$K,MATCH(F11,'All Data'!$O:$O,0)))</f>
        <v/>
      </c>
      <c r="T11" s="151" t="str">
        <f>IF(F11="","",INDEX('All Data'!$AS:$AS,MATCH(F11,'All Data'!$O:$O,0)))</f>
        <v/>
      </c>
      <c r="U11" s="573" t="str">
        <f t="shared" si="0"/>
        <v/>
      </c>
      <c r="V11" s="49"/>
    </row>
    <row r="12" spans="1:22" ht="18">
      <c r="A12" s="62"/>
      <c r="B12" s="63"/>
      <c r="C12" s="62"/>
      <c r="D12" s="60" t="str">
        <f>IF(F12="","",INDEX('All Data'!$F:$F,MATCH(F12,'All Data'!$O:$O,0)))</f>
        <v/>
      </c>
      <c r="E12" s="48" t="str">
        <f>IF(F12&lt;&gt;"",COUNTIF($F$7:F12,"*")&amp;".","")</f>
        <v/>
      </c>
      <c r="F12" s="116"/>
      <c r="G12" s="115" t="str">
        <f>IF(F12="","",INDEX('All Data'!$N:$N,MATCH(F12,'All Data'!$O:$O,0)))</f>
        <v/>
      </c>
      <c r="H12" s="114" t="str">
        <f>IF(F12="","",INDEX('All Data'!$Q:$Q,MATCH(F12,'All Data'!$O:$O,0)))</f>
        <v/>
      </c>
      <c r="I12" s="113" t="str">
        <f>IF(F12="","",INDEX('All Data'!$AF:$AF,MATCH(F12,'All Data'!$O:$O,0)))</f>
        <v/>
      </c>
      <c r="J12" s="60" t="str">
        <f>IF(F12="","",INDEX('All Data'!$AD:$AD,MATCH(F12,'All Data'!$O:$O,0)))</f>
        <v/>
      </c>
      <c r="K12" s="112" t="str">
        <f>IF(F12="","",INDEX('All Data'!$X:$X,MATCH(F12,'All Data'!$O:$O,0)))</f>
        <v/>
      </c>
      <c r="L12" s="60" t="str">
        <f>IF(F12="","",INDEX('All Data'!$Y:$Y,MATCH(F12,'All Data'!$O:$O,0)))</f>
        <v/>
      </c>
      <c r="M12" s="112" t="str">
        <f>IF(F12="","",INDEX('All Data'!$Z:$Z,MATCH(F12,'All Data'!$O:$O,0)))</f>
        <v/>
      </c>
      <c r="N12" s="111" t="str">
        <f>IF(F12="","",INDEX('All Data'!$AA:$AA,MATCH(F12,'All Data'!$O:$O,0)))</f>
        <v/>
      </c>
      <c r="O12" s="112" t="str">
        <f>IF(F12="","",INDEX('All Data'!$U:$U,MATCH(F12,'All Data'!$O:$O,0)))</f>
        <v/>
      </c>
      <c r="P12" s="150" t="str">
        <f>IF(F12="","",INDEX('All Data'!$V:$V,MATCH(F12,'All Data'!$O:$O,0)))</f>
        <v/>
      </c>
      <c r="Q12" s="228" t="str">
        <f>IF(F12="","",INDEX('All Data'!$AK:$AK,MATCH(F12,'All Data'!$O:$O,0)))</f>
        <v/>
      </c>
      <c r="R12" s="112" t="str">
        <f>IF(F12="","",INDEX('All Data'!$I:$I,MATCH(F12,'All Data'!$O:$O,0)))</f>
        <v/>
      </c>
      <c r="S12" s="150" t="str">
        <f>IF(F12="","",INDEX('All Data'!$K:$K,MATCH(F12,'All Data'!$O:$O,0)))</f>
        <v/>
      </c>
      <c r="T12" s="151" t="str">
        <f>IF(F12="","",INDEX('All Data'!$AS:$AS,MATCH(F12,'All Data'!$O:$O,0)))</f>
        <v/>
      </c>
      <c r="U12" s="573" t="str">
        <f t="shared" si="0"/>
        <v/>
      </c>
      <c r="V12" s="49"/>
    </row>
    <row r="13" spans="1:22" ht="18">
      <c r="A13" s="62"/>
      <c r="B13" s="63"/>
      <c r="C13" s="62"/>
      <c r="D13" s="60" t="str">
        <f>IF(F13="","",INDEX('All Data'!$F:$F,MATCH(F13,'All Data'!$O:$O,0)))</f>
        <v/>
      </c>
      <c r="E13" s="48" t="str">
        <f>IF(F13&lt;&gt;"",COUNTIF($F$7:F13,"*")&amp;".","")</f>
        <v/>
      </c>
      <c r="F13" s="116"/>
      <c r="G13" s="115" t="str">
        <f>IF(F13="","",INDEX('All Data'!$N:$N,MATCH(F13,'All Data'!$O:$O,0)))</f>
        <v/>
      </c>
      <c r="H13" s="114" t="str">
        <f>IF(F13="","",INDEX('All Data'!$Q:$Q,MATCH(F13,'All Data'!$O:$O,0)))</f>
        <v/>
      </c>
      <c r="I13" s="113" t="str">
        <f>IF(F13="","",INDEX('All Data'!$AF:$AF,MATCH(F13,'All Data'!$O:$O,0)))</f>
        <v/>
      </c>
      <c r="J13" s="60" t="str">
        <f>IF(F13="","",INDEX('All Data'!$AD:$AD,MATCH(F13,'All Data'!$O:$O,0)))</f>
        <v/>
      </c>
      <c r="K13" s="112" t="str">
        <f>IF(F13="","",INDEX('All Data'!$X:$X,MATCH(F13,'All Data'!$O:$O,0)))</f>
        <v/>
      </c>
      <c r="L13" s="60" t="str">
        <f>IF(F13="","",INDEX('All Data'!$Y:$Y,MATCH(F13,'All Data'!$O:$O,0)))</f>
        <v/>
      </c>
      <c r="M13" s="112" t="str">
        <f>IF(F13="","",INDEX('All Data'!$Z:$Z,MATCH(F13,'All Data'!$O:$O,0)))</f>
        <v/>
      </c>
      <c r="N13" s="111" t="str">
        <f>IF(F13="","",INDEX('All Data'!$AA:$AA,MATCH(F13,'All Data'!$O:$O,0)))</f>
        <v/>
      </c>
      <c r="O13" s="112" t="str">
        <f>IF(F13="","",INDEX('All Data'!$U:$U,MATCH(F13,'All Data'!$O:$O,0)))</f>
        <v/>
      </c>
      <c r="P13" s="150" t="str">
        <f>IF(F13="","",INDEX('All Data'!$V:$V,MATCH(F13,'All Data'!$O:$O,0)))</f>
        <v/>
      </c>
      <c r="Q13" s="228" t="str">
        <f>IF(F13="","",INDEX('All Data'!$AK:$AK,MATCH(F13,'All Data'!$O:$O,0)))</f>
        <v/>
      </c>
      <c r="R13" s="112" t="str">
        <f>IF(F13="","",INDEX('All Data'!$I:$I,MATCH(F13,'All Data'!$O:$O,0)))</f>
        <v/>
      </c>
      <c r="S13" s="150" t="str">
        <f>IF(F13="","",INDEX('All Data'!$K:$K,MATCH(F13,'All Data'!$O:$O,0)))</f>
        <v/>
      </c>
      <c r="T13" s="151" t="str">
        <f>IF(F13="","",INDEX('All Data'!$AS:$AS,MATCH(F13,'All Data'!$O:$O,0)))</f>
        <v/>
      </c>
      <c r="U13" s="573" t="str">
        <f t="shared" si="0"/>
        <v/>
      </c>
      <c r="V13" s="49"/>
    </row>
    <row r="14" spans="1:22" ht="18">
      <c r="A14" s="62"/>
      <c r="B14" s="63"/>
      <c r="C14" s="62"/>
      <c r="D14" s="60" t="str">
        <f>IF(F14="","",INDEX('All Data'!$F:$F,MATCH(F14,'All Data'!$O:$O,0)))</f>
        <v/>
      </c>
      <c r="E14" s="48" t="str">
        <f>IF(F14&lt;&gt;"",COUNTIF($F$7:F14,"*")&amp;".","")</f>
        <v/>
      </c>
      <c r="F14" s="116"/>
      <c r="G14" s="115" t="str">
        <f>IF(F14="","",INDEX('All Data'!$N:$N,MATCH(F14,'All Data'!$O:$O,0)))</f>
        <v/>
      </c>
      <c r="H14" s="114" t="str">
        <f>IF(F14="","",INDEX('All Data'!$Q:$Q,MATCH(F14,'All Data'!$O:$O,0)))</f>
        <v/>
      </c>
      <c r="I14" s="113" t="str">
        <f>IF(F14="","",INDEX('All Data'!$AF:$AF,MATCH(F14,'All Data'!$O:$O,0)))</f>
        <v/>
      </c>
      <c r="J14" s="60" t="str">
        <f>IF(F14="","",INDEX('All Data'!$AD:$AD,MATCH(F14,'All Data'!$O:$O,0)))</f>
        <v/>
      </c>
      <c r="K14" s="112" t="str">
        <f>IF(F14="","",INDEX('All Data'!$X:$X,MATCH(F14,'All Data'!$O:$O,0)))</f>
        <v/>
      </c>
      <c r="L14" s="60" t="str">
        <f>IF(F14="","",INDEX('All Data'!$Y:$Y,MATCH(F14,'All Data'!$O:$O,0)))</f>
        <v/>
      </c>
      <c r="M14" s="112" t="str">
        <f>IF(F14="","",INDEX('All Data'!$Z:$Z,MATCH(F14,'All Data'!$O:$O,0)))</f>
        <v/>
      </c>
      <c r="N14" s="111" t="str">
        <f>IF(F14="","",INDEX('All Data'!$AA:$AA,MATCH(F14,'All Data'!$O:$O,0)))</f>
        <v/>
      </c>
      <c r="O14" s="112" t="str">
        <f>IF(F14="","",INDEX('All Data'!$U:$U,MATCH(F14,'All Data'!$O:$O,0)))</f>
        <v/>
      </c>
      <c r="P14" s="150" t="str">
        <f>IF(F14="","",INDEX('All Data'!$V:$V,MATCH(F14,'All Data'!$O:$O,0)))</f>
        <v/>
      </c>
      <c r="Q14" s="228" t="str">
        <f>IF(F14="","",INDEX('All Data'!$AK:$AK,MATCH(F14,'All Data'!$O:$O,0)))</f>
        <v/>
      </c>
      <c r="R14" s="112" t="str">
        <f>IF(F14="","",INDEX('All Data'!$I:$I,MATCH(F14,'All Data'!$O:$O,0)))</f>
        <v/>
      </c>
      <c r="S14" s="150" t="str">
        <f>IF(F14="","",INDEX('All Data'!$K:$K,MATCH(F14,'All Data'!$O:$O,0)))</f>
        <v/>
      </c>
      <c r="T14" s="151" t="str">
        <f>IF(F14="","",INDEX('All Data'!$AS:$AS,MATCH(F14,'All Data'!$O:$O,0)))</f>
        <v/>
      </c>
      <c r="U14" s="573" t="str">
        <f t="shared" si="0"/>
        <v/>
      </c>
      <c r="V14" s="49"/>
    </row>
    <row r="15" spans="1:22" ht="18">
      <c r="A15" s="62"/>
      <c r="B15" s="63"/>
      <c r="C15" s="62"/>
      <c r="D15" s="60" t="str">
        <f>IF(F15="","",INDEX('All Data'!$F:$F,MATCH(F15,'All Data'!$O:$O,0)))</f>
        <v/>
      </c>
      <c r="E15" s="48" t="str">
        <f>IF(F15&lt;&gt;"",COUNTIF($F$7:F15,"*")&amp;".","")</f>
        <v/>
      </c>
      <c r="F15" s="116"/>
      <c r="G15" s="115" t="str">
        <f>IF(F15="","",INDEX('All Data'!$N:$N,MATCH(F15,'All Data'!$O:$O,0)))</f>
        <v/>
      </c>
      <c r="H15" s="114" t="str">
        <f>IF(F15="","",INDEX('All Data'!$Q:$Q,MATCH(F15,'All Data'!$O:$O,0)))</f>
        <v/>
      </c>
      <c r="I15" s="113" t="str">
        <f>IF(F15="","",INDEX('All Data'!$AF:$AF,MATCH(F15,'All Data'!$O:$O,0)))</f>
        <v/>
      </c>
      <c r="J15" s="60" t="str">
        <f>IF(F15="","",INDEX('All Data'!$AD:$AD,MATCH(F15,'All Data'!$O:$O,0)))</f>
        <v/>
      </c>
      <c r="K15" s="112" t="str">
        <f>IF(F15="","",INDEX('All Data'!$X:$X,MATCH(F15,'All Data'!$O:$O,0)))</f>
        <v/>
      </c>
      <c r="L15" s="60" t="str">
        <f>IF(F15="","",INDEX('All Data'!$Y:$Y,MATCH(F15,'All Data'!$O:$O,0)))</f>
        <v/>
      </c>
      <c r="M15" s="112" t="str">
        <f>IF(F15="","",INDEX('All Data'!$Z:$Z,MATCH(F15,'All Data'!$O:$O,0)))</f>
        <v/>
      </c>
      <c r="N15" s="111" t="str">
        <f>IF(F15="","",INDEX('All Data'!$AA:$AA,MATCH(F15,'All Data'!$O:$O,0)))</f>
        <v/>
      </c>
      <c r="O15" s="112" t="str">
        <f>IF(F15="","",INDEX('All Data'!$U:$U,MATCH(F15,'All Data'!$O:$O,0)))</f>
        <v/>
      </c>
      <c r="P15" s="150" t="str">
        <f>IF(F15="","",INDEX('All Data'!$V:$V,MATCH(F15,'All Data'!$O:$O,0)))</f>
        <v/>
      </c>
      <c r="Q15" s="228" t="str">
        <f>IF(F15="","",INDEX('All Data'!$AK:$AK,MATCH(F15,'All Data'!$O:$O,0)))</f>
        <v/>
      </c>
      <c r="R15" s="112" t="str">
        <f>IF(F15="","",INDEX('All Data'!$I:$I,MATCH(F15,'All Data'!$O:$O,0)))</f>
        <v/>
      </c>
      <c r="S15" s="150" t="str">
        <f>IF(F15="","",INDEX('All Data'!$K:$K,MATCH(F15,'All Data'!$O:$O,0)))</f>
        <v/>
      </c>
      <c r="T15" s="151" t="str">
        <f>IF(F15="","",INDEX('All Data'!$AS:$AS,MATCH(F15,'All Data'!$O:$O,0)))</f>
        <v/>
      </c>
      <c r="U15" s="573" t="str">
        <f t="shared" si="0"/>
        <v/>
      </c>
      <c r="V15" s="49"/>
    </row>
    <row r="16" spans="1:22" ht="18">
      <c r="A16" s="62"/>
      <c r="B16" s="63"/>
      <c r="C16" s="62"/>
      <c r="D16" s="60" t="str">
        <f>IF(F16="","",INDEX('All Data'!$F:$F,MATCH(F16,'All Data'!$O:$O,0)))</f>
        <v/>
      </c>
      <c r="E16" s="48" t="str">
        <f>IF(F16&lt;&gt;"",COUNTIF($F$7:F16,"*")&amp;".","")</f>
        <v/>
      </c>
      <c r="F16" s="116"/>
      <c r="G16" s="115" t="str">
        <f>IF(F16="","",INDEX('All Data'!$N:$N,MATCH(F16,'All Data'!$O:$O,0)))</f>
        <v/>
      </c>
      <c r="H16" s="114" t="str">
        <f>IF(F16="","",INDEX('All Data'!$Q:$Q,MATCH(F16,'All Data'!$O:$O,0)))</f>
        <v/>
      </c>
      <c r="I16" s="113" t="str">
        <f>IF(F16="","",INDEX('All Data'!$AF:$AF,MATCH(F16,'All Data'!$O:$O,0)))</f>
        <v/>
      </c>
      <c r="J16" s="60" t="str">
        <f>IF(F16="","",INDEX('All Data'!$AD:$AD,MATCH(F16,'All Data'!$O:$O,0)))</f>
        <v/>
      </c>
      <c r="K16" s="112" t="str">
        <f>IF(F16="","",INDEX('All Data'!$X:$X,MATCH(F16,'All Data'!$O:$O,0)))</f>
        <v/>
      </c>
      <c r="L16" s="60" t="str">
        <f>IF(F16="","",INDEX('All Data'!$Y:$Y,MATCH(F16,'All Data'!$O:$O,0)))</f>
        <v/>
      </c>
      <c r="M16" s="112" t="str">
        <f>IF(F16="","",INDEX('All Data'!$Z:$Z,MATCH(F16,'All Data'!$O:$O,0)))</f>
        <v/>
      </c>
      <c r="N16" s="111" t="str">
        <f>IF(F16="","",INDEX('All Data'!$AA:$AA,MATCH(F16,'All Data'!$O:$O,0)))</f>
        <v/>
      </c>
      <c r="O16" s="112" t="str">
        <f>IF(F16="","",INDEX('All Data'!$U:$U,MATCH(F16,'All Data'!$O:$O,0)))</f>
        <v/>
      </c>
      <c r="P16" s="150" t="str">
        <f>IF(F16="","",INDEX('All Data'!$V:$V,MATCH(F16,'All Data'!$O:$O,0)))</f>
        <v/>
      </c>
      <c r="Q16" s="228" t="str">
        <f>IF(F16="","",INDEX('All Data'!$AK:$AK,MATCH(F16,'All Data'!$O:$O,0)))</f>
        <v/>
      </c>
      <c r="R16" s="112" t="str">
        <f>IF(F16="","",INDEX('All Data'!$I:$I,MATCH(F16,'All Data'!$O:$O,0)))</f>
        <v/>
      </c>
      <c r="S16" s="150" t="str">
        <f>IF(F16="","",INDEX('All Data'!$K:$K,MATCH(F16,'All Data'!$O:$O,0)))</f>
        <v/>
      </c>
      <c r="T16" s="151" t="str">
        <f>IF(F16="","",INDEX('All Data'!$AS:$AS,MATCH(F16,'All Data'!$O:$O,0)))</f>
        <v/>
      </c>
      <c r="U16" s="573" t="str">
        <f t="shared" si="0"/>
        <v/>
      </c>
      <c r="V16" s="49"/>
    </row>
    <row r="17" spans="1:23" ht="18">
      <c r="A17" s="62"/>
      <c r="B17" s="63"/>
      <c r="C17" s="62"/>
      <c r="D17" s="60" t="str">
        <f>IF(F17="","",INDEX('All Data'!$F:$F,MATCH(F17,'All Data'!$O:$O,0)))</f>
        <v/>
      </c>
      <c r="E17" s="48" t="str">
        <f>IF(F17&lt;&gt;"",COUNTIF($F$7:F17,"*")&amp;".","")</f>
        <v/>
      </c>
      <c r="F17" s="116"/>
      <c r="G17" s="115" t="str">
        <f>IF(F17="","",INDEX('All Data'!$N:$N,MATCH(F17,'All Data'!$O:$O,0)))</f>
        <v/>
      </c>
      <c r="H17" s="114" t="str">
        <f>IF(F17="","",INDEX('All Data'!$Q:$Q,MATCH(F17,'All Data'!$O:$O,0)))</f>
        <v/>
      </c>
      <c r="I17" s="113" t="str">
        <f>IF(F17="","",INDEX('All Data'!$AF:$AF,MATCH(F17,'All Data'!$O:$O,0)))</f>
        <v/>
      </c>
      <c r="J17" s="60" t="str">
        <f>IF(F17="","",INDEX('All Data'!$AD:$AD,MATCH(F17,'All Data'!$O:$O,0)))</f>
        <v/>
      </c>
      <c r="K17" s="112" t="str">
        <f>IF(F17="","",INDEX('All Data'!$X:$X,MATCH(F17,'All Data'!$O:$O,0)))</f>
        <v/>
      </c>
      <c r="L17" s="60" t="str">
        <f>IF(F17="","",INDEX('All Data'!$Y:$Y,MATCH(F17,'All Data'!$O:$O,0)))</f>
        <v/>
      </c>
      <c r="M17" s="112" t="str">
        <f>IF(F17="","",INDEX('All Data'!$Z:$Z,MATCH(F17,'All Data'!$O:$O,0)))</f>
        <v/>
      </c>
      <c r="N17" s="111" t="str">
        <f>IF(F17="","",INDEX('All Data'!$AA:$AA,MATCH(F17,'All Data'!$O:$O,0)))</f>
        <v/>
      </c>
      <c r="O17" s="112" t="str">
        <f>IF(F17="","",INDEX('All Data'!$U:$U,MATCH(F17,'All Data'!$O:$O,0)))</f>
        <v/>
      </c>
      <c r="P17" s="150" t="str">
        <f>IF(F17="","",INDEX('All Data'!$V:$V,MATCH(F17,'All Data'!$O:$O,0)))</f>
        <v/>
      </c>
      <c r="Q17" s="228" t="str">
        <f>IF(F17="","",INDEX('All Data'!$AK:$AK,MATCH(F17,'All Data'!$O:$O,0)))</f>
        <v/>
      </c>
      <c r="R17" s="112" t="str">
        <f>IF(F17="","",INDEX('All Data'!$I:$I,MATCH(F17,'All Data'!$O:$O,0)))</f>
        <v/>
      </c>
      <c r="S17" s="150" t="str">
        <f>IF(F17="","",INDEX('All Data'!$K:$K,MATCH(F17,'All Data'!$O:$O,0)))</f>
        <v/>
      </c>
      <c r="T17" s="151" t="str">
        <f>IF(F17="","",INDEX('All Data'!$AS:$AS,MATCH(F17,'All Data'!$O:$O,0)))</f>
        <v/>
      </c>
      <c r="U17" s="573" t="str">
        <f t="shared" si="0"/>
        <v/>
      </c>
      <c r="V17" s="49"/>
    </row>
    <row r="18" spans="1:23" ht="18">
      <c r="A18" s="62"/>
      <c r="B18" s="63"/>
      <c r="C18" s="62"/>
      <c r="D18" s="60" t="str">
        <f>IF(F18="","",INDEX('All Data'!$F:$F,MATCH(F18,'All Data'!$O:$O,0)))</f>
        <v/>
      </c>
      <c r="E18" s="48" t="str">
        <f>IF(F18&lt;&gt;"",COUNTIF($F$7:F18,"*")&amp;".","")</f>
        <v/>
      </c>
      <c r="F18" s="116"/>
      <c r="G18" s="115" t="str">
        <f>IF(F18="","",INDEX('All Data'!$N:$N,MATCH(F18,'All Data'!$O:$O,0)))</f>
        <v/>
      </c>
      <c r="H18" s="114" t="str">
        <f>IF(F18="","",INDEX('All Data'!$Q:$Q,MATCH(F18,'All Data'!$O:$O,0)))</f>
        <v/>
      </c>
      <c r="I18" s="113" t="str">
        <f>IF(F18="","",INDEX('All Data'!$AF:$AF,MATCH(F18,'All Data'!$O:$O,0)))</f>
        <v/>
      </c>
      <c r="J18" s="60" t="str">
        <f>IF(F18="","",INDEX('All Data'!$AD:$AD,MATCH(F18,'All Data'!$O:$O,0)))</f>
        <v/>
      </c>
      <c r="K18" s="112" t="str">
        <f>IF(F18="","",INDEX('All Data'!$X:$X,MATCH(F18,'All Data'!$O:$O,0)))</f>
        <v/>
      </c>
      <c r="L18" s="60" t="str">
        <f>IF(F18="","",INDEX('All Data'!$Y:$Y,MATCH(F18,'All Data'!$O:$O,0)))</f>
        <v/>
      </c>
      <c r="M18" s="112" t="str">
        <f>IF(F18="","",INDEX('All Data'!$Z:$Z,MATCH(F18,'All Data'!$O:$O,0)))</f>
        <v/>
      </c>
      <c r="N18" s="111" t="str">
        <f>IF(F18="","",INDEX('All Data'!$AA:$AA,MATCH(F18,'All Data'!$O:$O,0)))</f>
        <v/>
      </c>
      <c r="O18" s="112" t="str">
        <f>IF(F18="","",INDEX('All Data'!$U:$U,MATCH(F18,'All Data'!$O:$O,0)))</f>
        <v/>
      </c>
      <c r="P18" s="150" t="str">
        <f>IF(F18="","",INDEX('All Data'!$V:$V,MATCH(F18,'All Data'!$O:$O,0)))</f>
        <v/>
      </c>
      <c r="Q18" s="228" t="str">
        <f>IF(F18="","",INDEX('All Data'!$AK:$AK,MATCH(F18,'All Data'!$O:$O,0)))</f>
        <v/>
      </c>
      <c r="R18" s="112" t="str">
        <f>IF(F18="","",INDEX('All Data'!$I:$I,MATCH(F18,'All Data'!$O:$O,0)))</f>
        <v/>
      </c>
      <c r="S18" s="150" t="str">
        <f>IF(F18="","",INDEX('All Data'!$K:$K,MATCH(F18,'All Data'!$O:$O,0)))</f>
        <v/>
      </c>
      <c r="T18" s="151" t="str">
        <f>IF(F18="","",INDEX('All Data'!$AS:$AS,MATCH(F18,'All Data'!$O:$O,0)))</f>
        <v/>
      </c>
      <c r="U18" s="573" t="str">
        <f t="shared" si="0"/>
        <v/>
      </c>
      <c r="V18" s="49"/>
    </row>
    <row r="19" spans="1:23" ht="18">
      <c r="A19" s="62"/>
      <c r="B19" s="63"/>
      <c r="C19" s="107"/>
      <c r="D19" s="60" t="str">
        <f>IF(F19="","",INDEX('All Data'!$F:$F,MATCH(F19,'All Data'!$O:$O,0)))</f>
        <v/>
      </c>
      <c r="E19" s="48" t="str">
        <f>IF(F19&lt;&gt;"",COUNTIF($F$7:F19,"*")&amp;".","")</f>
        <v/>
      </c>
      <c r="F19" s="116"/>
      <c r="G19" s="115" t="str">
        <f>IF(F19="","",INDEX('All Data'!$N:$N,MATCH(F19,'All Data'!$O:$O,0)))</f>
        <v/>
      </c>
      <c r="H19" s="114" t="str">
        <f>IF(F19="","",INDEX('All Data'!$Q:$Q,MATCH(F19,'All Data'!$O:$O,0)))</f>
        <v/>
      </c>
      <c r="I19" s="113" t="str">
        <f>IF(F19="","",INDEX('All Data'!$AF:$AF,MATCH(F19,'All Data'!$O:$O,0)))</f>
        <v/>
      </c>
      <c r="J19" s="60" t="str">
        <f>IF(F19="","",INDEX('All Data'!$AD:$AD,MATCH(F19,'All Data'!$O:$O,0)))</f>
        <v/>
      </c>
      <c r="K19" s="112" t="str">
        <f>IF(F19="","",INDEX('All Data'!$X:$X,MATCH(F19,'All Data'!$O:$O,0)))</f>
        <v/>
      </c>
      <c r="L19" s="60" t="str">
        <f>IF(F19="","",INDEX('All Data'!$Y:$Y,MATCH(F19,'All Data'!$O:$O,0)))</f>
        <v/>
      </c>
      <c r="M19" s="112" t="str">
        <f>IF(F19="","",INDEX('All Data'!$Z:$Z,MATCH(F19,'All Data'!$O:$O,0)))</f>
        <v/>
      </c>
      <c r="N19" s="111" t="str">
        <f>IF(F19="","",INDEX('All Data'!$AA:$AA,MATCH(F19,'All Data'!$O:$O,0)))</f>
        <v/>
      </c>
      <c r="O19" s="112" t="str">
        <f>IF(F19="","",INDEX('All Data'!$U:$U,MATCH(F19,'All Data'!$O:$O,0)))</f>
        <v/>
      </c>
      <c r="P19" s="150" t="str">
        <f>IF(F19="","",INDEX('All Data'!$V:$V,MATCH(F19,'All Data'!$O:$O,0)))</f>
        <v/>
      </c>
      <c r="Q19" s="228" t="str">
        <f>IF(F19="","",INDEX('All Data'!$AK:$AK,MATCH(F19,'All Data'!$O:$O,0)))</f>
        <v/>
      </c>
      <c r="R19" s="112" t="str">
        <f>IF(F19="","",INDEX('All Data'!$I:$I,MATCH(F19,'All Data'!$O:$O,0)))</f>
        <v/>
      </c>
      <c r="S19" s="150" t="str">
        <f>IF(F19="","",INDEX('All Data'!$K:$K,MATCH(F19,'All Data'!$O:$O,0)))</f>
        <v/>
      </c>
      <c r="T19" s="151" t="str">
        <f>IF(F19="","",INDEX('All Data'!$AS:$AS,MATCH(F19,'All Data'!$O:$O,0)))</f>
        <v/>
      </c>
      <c r="U19" s="573" t="str">
        <f t="shared" si="0"/>
        <v/>
      </c>
      <c r="V19" s="49"/>
    </row>
    <row r="20" spans="1:23" ht="18">
      <c r="A20" s="62"/>
      <c r="B20" s="63"/>
      <c r="C20" s="107"/>
      <c r="D20" s="60" t="str">
        <f>IF(F20="","",INDEX('All Data'!$F:$F,MATCH(F20,'All Data'!$O:$O,0)))</f>
        <v/>
      </c>
      <c r="E20" s="48" t="str">
        <f>IF(F20&lt;&gt;"",COUNTIF($F$7:F20,"*")&amp;".","")</f>
        <v/>
      </c>
      <c r="F20" s="116"/>
      <c r="G20" s="115" t="str">
        <f>IF(F20="","",INDEX('All Data'!$N:$N,MATCH(F20,'All Data'!$O:$O,0)))</f>
        <v/>
      </c>
      <c r="H20" s="114" t="str">
        <f>IF(F20="","",INDEX('All Data'!$Q:$Q,MATCH(F20,'All Data'!$O:$O,0)))</f>
        <v/>
      </c>
      <c r="I20" s="113" t="str">
        <f>IF(F20="","",INDEX('All Data'!$AF:$AF,MATCH(F20,'All Data'!$O:$O,0)))</f>
        <v/>
      </c>
      <c r="J20" s="60" t="str">
        <f>IF(F20="","",INDEX('All Data'!$AD:$AD,MATCH(F20,'All Data'!$O:$O,0)))</f>
        <v/>
      </c>
      <c r="K20" s="112" t="str">
        <f>IF(F20="","",INDEX('All Data'!$X:$X,MATCH(F20,'All Data'!$O:$O,0)))</f>
        <v/>
      </c>
      <c r="L20" s="60" t="str">
        <f>IF(F20="","",INDEX('All Data'!$Y:$Y,MATCH(F20,'All Data'!$O:$O,0)))</f>
        <v/>
      </c>
      <c r="M20" s="112" t="str">
        <f>IF(F20="","",INDEX('All Data'!$Z:$Z,MATCH(F20,'All Data'!$O:$O,0)))</f>
        <v/>
      </c>
      <c r="N20" s="111" t="str">
        <f>IF(F20="","",INDEX('All Data'!$AA:$AA,MATCH(F20,'All Data'!$O:$O,0)))</f>
        <v/>
      </c>
      <c r="O20" s="112" t="str">
        <f>IF(F20="","",INDEX('All Data'!$U:$U,MATCH(F20,'All Data'!$O:$O,0)))</f>
        <v/>
      </c>
      <c r="P20" s="150" t="str">
        <f>IF(F20="","",INDEX('All Data'!$V:$V,MATCH(F20,'All Data'!$O:$O,0)))</f>
        <v/>
      </c>
      <c r="Q20" s="228" t="str">
        <f>IF(F20="","",INDEX('All Data'!$AK:$AK,MATCH(F20,'All Data'!$O:$O,0)))</f>
        <v/>
      </c>
      <c r="R20" s="112" t="str">
        <f>IF(F20="","",INDEX('All Data'!$I:$I,MATCH(F20,'All Data'!$O:$O,0)))</f>
        <v/>
      </c>
      <c r="S20" s="150" t="str">
        <f>IF(F20="","",INDEX('All Data'!$K:$K,MATCH(F20,'All Data'!$O:$O,0)))</f>
        <v/>
      </c>
      <c r="T20" s="151" t="str">
        <f>IF(F20="","",INDEX('All Data'!$AS:$AS,MATCH(F20,'All Data'!$O:$O,0)))</f>
        <v/>
      </c>
      <c r="U20" s="573" t="str">
        <f t="shared" si="0"/>
        <v/>
      </c>
      <c r="V20" s="49"/>
    </row>
    <row r="21" spans="1:23" ht="18">
      <c r="A21" s="62"/>
      <c r="B21" s="63"/>
      <c r="C21" s="62"/>
      <c r="D21" s="60" t="str">
        <f>IF(F21="","",INDEX('All Data'!$F:$F,MATCH(F21,'All Data'!$O:$O,0)))</f>
        <v/>
      </c>
      <c r="E21" s="48" t="str">
        <f>IF(F21&lt;&gt;"",COUNTIF($F$7:F21,"*")&amp;".","")</f>
        <v/>
      </c>
      <c r="F21" s="116"/>
      <c r="G21" s="115" t="str">
        <f>IF(F21="","",INDEX('All Data'!$N:$N,MATCH(F21,'All Data'!$O:$O,0)))</f>
        <v/>
      </c>
      <c r="H21" s="114" t="str">
        <f>IF(F21="","",INDEX('All Data'!$Q:$Q,MATCH(F21,'All Data'!$O:$O,0)))</f>
        <v/>
      </c>
      <c r="I21" s="113" t="str">
        <f>IF(F21="","",INDEX('All Data'!$AF:$AF,MATCH(F21,'All Data'!$O:$O,0)))</f>
        <v/>
      </c>
      <c r="J21" s="60" t="str">
        <f>IF(F21="","",INDEX('All Data'!$AD:$AD,MATCH(F21,'All Data'!$O:$O,0)))</f>
        <v/>
      </c>
      <c r="K21" s="112" t="str">
        <f>IF(F21="","",INDEX('All Data'!$X:$X,MATCH(F21,'All Data'!$O:$O,0)))</f>
        <v/>
      </c>
      <c r="L21" s="60" t="str">
        <f>IF(F21="","",INDEX('All Data'!$Y:$Y,MATCH(F21,'All Data'!$O:$O,0)))</f>
        <v/>
      </c>
      <c r="M21" s="112" t="str">
        <f>IF(F21="","",INDEX('All Data'!$Z:$Z,MATCH(F21,'All Data'!$O:$O,0)))</f>
        <v/>
      </c>
      <c r="N21" s="111" t="str">
        <f>IF(F21="","",INDEX('All Data'!$AA:$AA,MATCH(F21,'All Data'!$O:$O,0)))</f>
        <v/>
      </c>
      <c r="O21" s="112" t="str">
        <f>IF(F21="","",INDEX('All Data'!$U:$U,MATCH(F21,'All Data'!$O:$O,0)))</f>
        <v/>
      </c>
      <c r="P21" s="150" t="str">
        <f>IF(F21="","",INDEX('All Data'!$V:$V,MATCH(F21,'All Data'!$O:$O,0)))</f>
        <v/>
      </c>
      <c r="Q21" s="228" t="str">
        <f>IF(F21="","",INDEX('All Data'!$AK:$AK,MATCH(F21,'All Data'!$O:$O,0)))</f>
        <v/>
      </c>
      <c r="R21" s="112" t="str">
        <f>IF(F21="","",INDEX('All Data'!$I:$I,MATCH(F21,'All Data'!$O:$O,0)))</f>
        <v/>
      </c>
      <c r="S21" s="150" t="str">
        <f>IF(F21="","",INDEX('All Data'!$K:$K,MATCH(F21,'All Data'!$O:$O,0)))</f>
        <v/>
      </c>
      <c r="T21" s="151" t="str">
        <f>IF(F21="","",INDEX('All Data'!$AS:$AS,MATCH(F21,'All Data'!$O:$O,0)))</f>
        <v/>
      </c>
      <c r="U21" s="573" t="str">
        <f t="shared" si="0"/>
        <v/>
      </c>
      <c r="V21" s="49"/>
    </row>
    <row r="22" spans="1:23" ht="18">
      <c r="A22" s="62"/>
      <c r="B22" s="63"/>
      <c r="C22" s="62"/>
      <c r="D22" s="60" t="str">
        <f>IF(F22="","",INDEX('All Data'!$F:$F,MATCH(F22,'All Data'!$O:$O,0)))</f>
        <v/>
      </c>
      <c r="E22" s="48" t="str">
        <f>IF(F22&lt;&gt;"",COUNTIF($F$7:F22,"*")&amp;".","")</f>
        <v/>
      </c>
      <c r="F22" s="116"/>
      <c r="G22" s="115" t="str">
        <f>IF(F22="","",INDEX('All Data'!$N:$N,MATCH(F22,'All Data'!$O:$O,0)))</f>
        <v/>
      </c>
      <c r="H22" s="114" t="str">
        <f>IF(F22="","",INDEX('All Data'!$Q:$Q,MATCH(F22,'All Data'!$O:$O,0)))</f>
        <v/>
      </c>
      <c r="I22" s="113" t="str">
        <f>IF(F22="","",INDEX('All Data'!$AF:$AF,MATCH(F22,'All Data'!$O:$O,0)))</f>
        <v/>
      </c>
      <c r="J22" s="60" t="str">
        <f>IF(F22="","",INDEX('All Data'!$AD:$AD,MATCH(F22,'All Data'!$O:$O,0)))</f>
        <v/>
      </c>
      <c r="K22" s="112" t="str">
        <f>IF(F22="","",INDEX('All Data'!$X:$X,MATCH(F22,'All Data'!$O:$O,0)))</f>
        <v/>
      </c>
      <c r="L22" s="60" t="str">
        <f>IF(F22="","",INDEX('All Data'!$Y:$Y,MATCH(F22,'All Data'!$O:$O,0)))</f>
        <v/>
      </c>
      <c r="M22" s="112" t="str">
        <f>IF(F22="","",INDEX('All Data'!$Z:$Z,MATCH(F22,'All Data'!$O:$O,0)))</f>
        <v/>
      </c>
      <c r="N22" s="111" t="str">
        <f>IF(F22="","",INDEX('All Data'!$AA:$AA,MATCH(F22,'All Data'!$O:$O,0)))</f>
        <v/>
      </c>
      <c r="O22" s="112" t="str">
        <f>IF(F22="","",INDEX('All Data'!$U:$U,MATCH(F22,'All Data'!$O:$O,0)))</f>
        <v/>
      </c>
      <c r="P22" s="150" t="str">
        <f>IF(F22="","",INDEX('All Data'!$V:$V,MATCH(F22,'All Data'!$O:$O,0)))</f>
        <v/>
      </c>
      <c r="Q22" s="228" t="str">
        <f>IF(F22="","",INDEX('All Data'!$AK:$AK,MATCH(F22,'All Data'!$O:$O,0)))</f>
        <v/>
      </c>
      <c r="R22" s="112" t="str">
        <f>IF(F22="","",INDEX('All Data'!$I:$I,MATCH(F22,'All Data'!$O:$O,0)))</f>
        <v/>
      </c>
      <c r="S22" s="150" t="str">
        <f>IF(F22="","",INDEX('All Data'!$K:$K,MATCH(F22,'All Data'!$O:$O,0)))</f>
        <v/>
      </c>
      <c r="T22" s="151" t="str">
        <f>IF(F22="","",INDEX('All Data'!$AS:$AS,MATCH(F22,'All Data'!$O:$O,0)))</f>
        <v/>
      </c>
      <c r="U22" s="573" t="str">
        <f t="shared" si="0"/>
        <v/>
      </c>
      <c r="V22" s="49"/>
    </row>
    <row r="23" spans="1:23" ht="18">
      <c r="A23" s="62"/>
      <c r="B23" s="63"/>
      <c r="C23" s="64"/>
      <c r="D23" s="60" t="str">
        <f>IF(F23="","",INDEX('All Data'!$F:$F,MATCH(F23,'All Data'!$O:$O,0)))</f>
        <v/>
      </c>
      <c r="E23" s="48" t="str">
        <f>IF(F23&lt;&gt;"",COUNTIF($F$7:F23,"*")&amp;".","")</f>
        <v/>
      </c>
      <c r="F23" s="116"/>
      <c r="G23" s="115" t="str">
        <f>IF(F23="","",INDEX('All Data'!$N:$N,MATCH(F23,'All Data'!$O:$O,0)))</f>
        <v/>
      </c>
      <c r="H23" s="114" t="str">
        <f>IF(F23="","",INDEX('All Data'!$Q:$Q,MATCH(F23,'All Data'!$O:$O,0)))</f>
        <v/>
      </c>
      <c r="I23" s="113" t="str">
        <f>IF(F23="","",INDEX('All Data'!$AF:$AF,MATCH(F23,'All Data'!$O:$O,0)))</f>
        <v/>
      </c>
      <c r="J23" s="60" t="str">
        <f>IF(F23="","",INDEX('All Data'!$AD:$AD,MATCH(F23,'All Data'!$O:$O,0)))</f>
        <v/>
      </c>
      <c r="K23" s="112" t="str">
        <f>IF(F23="","",INDEX('All Data'!$X:$X,MATCH(F23,'All Data'!$O:$O,0)))</f>
        <v/>
      </c>
      <c r="L23" s="60" t="str">
        <f>IF(F23="","",INDEX('All Data'!$Y:$Y,MATCH(F23,'All Data'!$O:$O,0)))</f>
        <v/>
      </c>
      <c r="M23" s="112" t="str">
        <f>IF(F23="","",INDEX('All Data'!$Z:$Z,MATCH(F23,'All Data'!$O:$O,0)))</f>
        <v/>
      </c>
      <c r="N23" s="111" t="str">
        <f>IF(F23="","",INDEX('All Data'!$AA:$AA,MATCH(F23,'All Data'!$O:$O,0)))</f>
        <v/>
      </c>
      <c r="O23" s="112" t="str">
        <f>IF(F23="","",INDEX('All Data'!$U:$U,MATCH(F23,'All Data'!$O:$O,0)))</f>
        <v/>
      </c>
      <c r="P23" s="150" t="str">
        <f>IF(F23="","",INDEX('All Data'!$V:$V,MATCH(F23,'All Data'!$O:$O,0)))</f>
        <v/>
      </c>
      <c r="Q23" s="228" t="str">
        <f>IF(F23="","",INDEX('All Data'!$AK:$AK,MATCH(F23,'All Data'!$O:$O,0)))</f>
        <v/>
      </c>
      <c r="R23" s="112" t="str">
        <f>IF(F23="","",INDEX('All Data'!$I:$I,MATCH(F23,'All Data'!$O:$O,0)))</f>
        <v/>
      </c>
      <c r="S23" s="150" t="str">
        <f>IF(F23="","",INDEX('All Data'!$K:$K,MATCH(F23,'All Data'!$O:$O,0)))</f>
        <v/>
      </c>
      <c r="T23" s="151" t="str">
        <f>IF(F23="","",INDEX('All Data'!$AS:$AS,MATCH(F23,'All Data'!$O:$O,0)))</f>
        <v/>
      </c>
      <c r="U23" s="573" t="str">
        <f t="shared" si="0"/>
        <v/>
      </c>
      <c r="V23" s="49"/>
    </row>
    <row r="24" spans="1:23" ht="18">
      <c r="A24" s="62"/>
      <c r="B24" s="63"/>
      <c r="C24" s="62"/>
      <c r="D24" s="60" t="str">
        <f>IF(F24="","",INDEX('All Data'!$F:$F,MATCH(F24,'All Data'!$O:$O,0)))</f>
        <v/>
      </c>
      <c r="E24" s="48" t="str">
        <f>IF(F24&lt;&gt;"",COUNTIF($F$7:F24,"*")&amp;".","")</f>
        <v/>
      </c>
      <c r="F24" s="116"/>
      <c r="G24" s="115" t="str">
        <f>IF(F24="","",INDEX('All Data'!$N:$N,MATCH(F24,'All Data'!$O:$O,0)))</f>
        <v/>
      </c>
      <c r="H24" s="114" t="str">
        <f>IF(F24="","",INDEX('All Data'!$Q:$Q,MATCH(F24,'All Data'!$O:$O,0)))</f>
        <v/>
      </c>
      <c r="I24" s="113" t="str">
        <f>IF(F24="","",INDEX('All Data'!$AF:$AF,MATCH(F24,'All Data'!$O:$O,0)))</f>
        <v/>
      </c>
      <c r="J24" s="60" t="str">
        <f>IF(F24="","",INDEX('All Data'!$AD:$AD,MATCH(F24,'All Data'!$O:$O,0)))</f>
        <v/>
      </c>
      <c r="K24" s="112" t="str">
        <f>IF(F24="","",INDEX('All Data'!$X:$X,MATCH(F24,'All Data'!$O:$O,0)))</f>
        <v/>
      </c>
      <c r="L24" s="60" t="str">
        <f>IF(F24="","",INDEX('All Data'!$Y:$Y,MATCH(F24,'All Data'!$O:$O,0)))</f>
        <v/>
      </c>
      <c r="M24" s="112" t="str">
        <f>IF(F24="","",INDEX('All Data'!$Z:$Z,MATCH(F24,'All Data'!$O:$O,0)))</f>
        <v/>
      </c>
      <c r="N24" s="111" t="str">
        <f>IF(F24="","",INDEX('All Data'!$AA:$AA,MATCH(F24,'All Data'!$O:$O,0)))</f>
        <v/>
      </c>
      <c r="O24" s="112" t="str">
        <f>IF(F24="","",INDEX('All Data'!$U:$U,MATCH(F24,'All Data'!$O:$O,0)))</f>
        <v/>
      </c>
      <c r="P24" s="150" t="str">
        <f>IF(F24="","",INDEX('All Data'!$V:$V,MATCH(F24,'All Data'!$O:$O,0)))</f>
        <v/>
      </c>
      <c r="Q24" s="228" t="str">
        <f>IF(F24="","",INDEX('All Data'!$AK:$AK,MATCH(F24,'All Data'!$O:$O,0)))</f>
        <v/>
      </c>
      <c r="R24" s="112" t="str">
        <f>IF(F24="","",INDEX('All Data'!$I:$I,MATCH(F24,'All Data'!$O:$O,0)))</f>
        <v/>
      </c>
      <c r="S24" s="150" t="str">
        <f>IF(F24="","",INDEX('All Data'!$K:$K,MATCH(F24,'All Data'!$O:$O,0)))</f>
        <v/>
      </c>
      <c r="T24" s="151" t="str">
        <f>IF(F24="","",INDEX('All Data'!$AS:$AS,MATCH(F24,'All Data'!$O:$O,0)))</f>
        <v/>
      </c>
      <c r="U24" s="573" t="str">
        <f t="shared" si="0"/>
        <v/>
      </c>
      <c r="V24" s="49"/>
    </row>
    <row r="25" spans="1:23" ht="18">
      <c r="A25" s="62"/>
      <c r="B25" s="63"/>
      <c r="C25" s="62"/>
      <c r="D25" s="60" t="str">
        <f>IF(F25="","",INDEX('All Data'!$F:$F,MATCH(F25,'All Data'!$O:$O,0)))</f>
        <v/>
      </c>
      <c r="E25" s="48" t="str">
        <f>IF(F25&lt;&gt;"",COUNTIF($F$7:F25,"*")&amp;".","")</f>
        <v/>
      </c>
      <c r="F25" s="116"/>
      <c r="G25" s="115" t="str">
        <f>IF(F25="","",INDEX('All Data'!$N:$N,MATCH(F25,'All Data'!$O:$O,0)))</f>
        <v/>
      </c>
      <c r="H25" s="114" t="str">
        <f>IF(F25="","",INDEX('All Data'!$Q:$Q,MATCH(F25,'All Data'!$O:$O,0)))</f>
        <v/>
      </c>
      <c r="I25" s="113" t="str">
        <f>IF(F25="","",INDEX('All Data'!$AF:$AF,MATCH(F25,'All Data'!$O:$O,0)))</f>
        <v/>
      </c>
      <c r="J25" s="60" t="str">
        <f>IF(F25="","",INDEX('All Data'!$AD:$AD,MATCH(F25,'All Data'!$O:$O,0)))</f>
        <v/>
      </c>
      <c r="K25" s="112" t="str">
        <f>IF(F25="","",INDEX('All Data'!$X:$X,MATCH(F25,'All Data'!$O:$O,0)))</f>
        <v/>
      </c>
      <c r="L25" s="60" t="str">
        <f>IF(F25="","",INDEX('All Data'!$Y:$Y,MATCH(F25,'All Data'!$O:$O,0)))</f>
        <v/>
      </c>
      <c r="M25" s="112" t="str">
        <f>IF(F25="","",INDEX('All Data'!$Z:$Z,MATCH(F25,'All Data'!$O:$O,0)))</f>
        <v/>
      </c>
      <c r="N25" s="111" t="str">
        <f>IF(F25="","",INDEX('All Data'!$AA:$AA,MATCH(F25,'All Data'!$O:$O,0)))</f>
        <v/>
      </c>
      <c r="O25" s="112" t="str">
        <f>IF(F25="","",INDEX('All Data'!$U:$U,MATCH(F25,'All Data'!$O:$O,0)))</f>
        <v/>
      </c>
      <c r="P25" s="150" t="str">
        <f>IF(F25="","",INDEX('All Data'!$V:$V,MATCH(F25,'All Data'!$O:$O,0)))</f>
        <v/>
      </c>
      <c r="Q25" s="228" t="str">
        <f>IF(F25="","",INDEX('All Data'!$AK:$AK,MATCH(F25,'All Data'!$O:$O,0)))</f>
        <v/>
      </c>
      <c r="R25" s="112" t="str">
        <f>IF(F25="","",INDEX('All Data'!$I:$I,MATCH(F25,'All Data'!$O:$O,0)))</f>
        <v/>
      </c>
      <c r="S25" s="150" t="str">
        <f>IF(F25="","",INDEX('All Data'!$K:$K,MATCH(F25,'All Data'!$O:$O,0)))</f>
        <v/>
      </c>
      <c r="T25" s="151" t="str">
        <f>IF(F25="","",INDEX('All Data'!$AS:$AS,MATCH(F25,'All Data'!$O:$O,0)))</f>
        <v/>
      </c>
      <c r="U25" s="573" t="str">
        <f t="shared" si="0"/>
        <v/>
      </c>
      <c r="V25" s="49"/>
    </row>
    <row r="26" spans="1:23" ht="18">
      <c r="A26" s="62"/>
      <c r="B26" s="63"/>
      <c r="C26" s="62"/>
      <c r="D26" s="60" t="str">
        <f>IF(F26="","",INDEX('All Data'!$F:$F,MATCH(F26,'All Data'!$O:$O,0)))</f>
        <v/>
      </c>
      <c r="E26" s="48" t="str">
        <f>IF(F26&lt;&gt;"",COUNTIF($F$7:F26,"*")&amp;".","")</f>
        <v/>
      </c>
      <c r="F26" s="116"/>
      <c r="G26" s="115" t="str">
        <f>IF(F26="","",INDEX('All Data'!$N:$N,MATCH(F26,'All Data'!$O:$O,0)))</f>
        <v/>
      </c>
      <c r="H26" s="114" t="str">
        <f>IF(F26="","",INDEX('All Data'!$Q:$Q,MATCH(F26,'All Data'!$O:$O,0)))</f>
        <v/>
      </c>
      <c r="I26" s="113" t="str">
        <f>IF(F26="","",INDEX('All Data'!$AF:$AF,MATCH(F26,'All Data'!$O:$O,0)))</f>
        <v/>
      </c>
      <c r="J26" s="60" t="str">
        <f>IF(F26="","",INDEX('All Data'!$AD:$AD,MATCH(F26,'All Data'!$O:$O,0)))</f>
        <v/>
      </c>
      <c r="K26" s="112" t="str">
        <f>IF(F26="","",INDEX('All Data'!$X:$X,MATCH(F26,'All Data'!$O:$O,0)))</f>
        <v/>
      </c>
      <c r="L26" s="60" t="str">
        <f>IF(F26="","",INDEX('All Data'!$Y:$Y,MATCH(F26,'All Data'!$O:$O,0)))</f>
        <v/>
      </c>
      <c r="M26" s="112" t="str">
        <f>IF(F26="","",INDEX('All Data'!$Z:$Z,MATCH(F26,'All Data'!$O:$O,0)))</f>
        <v/>
      </c>
      <c r="N26" s="111" t="str">
        <f>IF(F26="","",INDEX('All Data'!$AA:$AA,MATCH(F26,'All Data'!$O:$O,0)))</f>
        <v/>
      </c>
      <c r="O26" s="112" t="str">
        <f>IF(F26="","",INDEX('All Data'!$U:$U,MATCH(F26,'All Data'!$O:$O,0)))</f>
        <v/>
      </c>
      <c r="P26" s="150" t="str">
        <f>IF(F26="","",INDEX('All Data'!$V:$V,MATCH(F26,'All Data'!$O:$O,0)))</f>
        <v/>
      </c>
      <c r="Q26" s="228" t="str">
        <f>IF(F26="","",INDEX('All Data'!$AK:$AK,MATCH(F26,'All Data'!$O:$O,0)))</f>
        <v/>
      </c>
      <c r="R26" s="112" t="str">
        <f>IF(F26="","",INDEX('All Data'!$I:$I,MATCH(F26,'All Data'!$O:$O,0)))</f>
        <v/>
      </c>
      <c r="S26" s="150" t="str">
        <f>IF(F26="","",INDEX('All Data'!$K:$K,MATCH(F26,'All Data'!$O:$O,0)))</f>
        <v/>
      </c>
      <c r="T26" s="151" t="str">
        <f>IF(F26="","",INDEX('All Data'!$AS:$AS,MATCH(F26,'All Data'!$O:$O,0)))</f>
        <v/>
      </c>
      <c r="U26" s="573" t="str">
        <f t="shared" si="0"/>
        <v/>
      </c>
      <c r="V26" s="49"/>
    </row>
    <row r="27" spans="1:23" ht="18">
      <c r="A27" s="62"/>
      <c r="B27" s="63"/>
      <c r="C27" s="107"/>
      <c r="D27" s="60" t="str">
        <f>IF(F27="","",INDEX('All Data'!$F:$F,MATCH(F27,'All Data'!$O:$O,0)))</f>
        <v/>
      </c>
      <c r="E27" s="48" t="str">
        <f>IF(F27&lt;&gt;"",COUNTIF($F$7:F27,"*")&amp;".","")</f>
        <v/>
      </c>
      <c r="F27" s="116"/>
      <c r="G27" s="115" t="str">
        <f>IF(F27="","",INDEX('All Data'!$N:$N,MATCH(F27,'All Data'!$O:$O,0)))</f>
        <v/>
      </c>
      <c r="H27" s="114" t="str">
        <f>IF(F27="","",INDEX('All Data'!$Q:$Q,MATCH(F27,'All Data'!$O:$O,0)))</f>
        <v/>
      </c>
      <c r="I27" s="113" t="str">
        <f>IF(F27="","",INDEX('All Data'!$AF:$AF,MATCH(F27,'All Data'!$O:$O,0)))</f>
        <v/>
      </c>
      <c r="J27" s="60" t="str">
        <f>IF(F27="","",INDEX('All Data'!$AD:$AD,MATCH(F27,'All Data'!$O:$O,0)))</f>
        <v/>
      </c>
      <c r="K27" s="112" t="str">
        <f>IF(F27="","",INDEX('All Data'!$X:$X,MATCH(F27,'All Data'!$O:$O,0)))</f>
        <v/>
      </c>
      <c r="L27" s="60" t="str">
        <f>IF(F27="","",INDEX('All Data'!$Y:$Y,MATCH(F27,'All Data'!$O:$O,0)))</f>
        <v/>
      </c>
      <c r="M27" s="112" t="str">
        <f>IF(F27="","",INDEX('All Data'!$Z:$Z,MATCH(F27,'All Data'!$O:$O,0)))</f>
        <v/>
      </c>
      <c r="N27" s="111" t="str">
        <f>IF(F27="","",INDEX('All Data'!$AA:$AA,MATCH(F27,'All Data'!$O:$O,0)))</f>
        <v/>
      </c>
      <c r="O27" s="112" t="str">
        <f>IF(F27="","",INDEX('All Data'!$U:$U,MATCH(F27,'All Data'!$O:$O,0)))</f>
        <v/>
      </c>
      <c r="P27" s="150" t="str">
        <f>IF(F27="","",INDEX('All Data'!$V:$V,MATCH(F27,'All Data'!$O:$O,0)))</f>
        <v/>
      </c>
      <c r="Q27" s="228" t="str">
        <f>IF(F27="","",INDEX('All Data'!$AK:$AK,MATCH(F27,'All Data'!$O:$O,0)))</f>
        <v/>
      </c>
      <c r="R27" s="112" t="str">
        <f>IF(F27="","",INDEX('All Data'!$I:$I,MATCH(F27,'All Data'!$O:$O,0)))</f>
        <v/>
      </c>
      <c r="S27" s="150" t="str">
        <f>IF(F27="","",INDEX('All Data'!$K:$K,MATCH(F27,'All Data'!$O:$O,0)))</f>
        <v/>
      </c>
      <c r="T27" s="151" t="str">
        <f>IF(F27="","",INDEX('All Data'!$AS:$AS,MATCH(F27,'All Data'!$O:$O,0)))</f>
        <v/>
      </c>
      <c r="U27" s="573" t="str">
        <f t="shared" si="0"/>
        <v/>
      </c>
      <c r="V27" s="49"/>
    </row>
    <row r="28" spans="1:23" s="50" customFormat="1" ht="18">
      <c r="A28" s="64"/>
      <c r="B28" s="63"/>
      <c r="C28" s="107"/>
      <c r="D28" s="60" t="str">
        <f>IF(F28="","",INDEX('All Data'!$F:$F,MATCH(F28,'All Data'!$O:$O,0)))</f>
        <v/>
      </c>
      <c r="E28" s="48" t="str">
        <f>IF(F28&lt;&gt;"",COUNTIF($F$7:F28,"*")&amp;".","")</f>
        <v/>
      </c>
      <c r="F28" s="116"/>
      <c r="G28" s="115" t="str">
        <f>IF(F28="","",INDEX('All Data'!$N:$N,MATCH(F28,'All Data'!$O:$O,0)))</f>
        <v/>
      </c>
      <c r="H28" s="114" t="str">
        <f>IF(F28="","",INDEX('All Data'!$Q:$Q,MATCH(F28,'All Data'!$O:$O,0)))</f>
        <v/>
      </c>
      <c r="I28" s="113" t="str">
        <f>IF(F28="","",INDEX('All Data'!$AF:$AF,MATCH(F28,'All Data'!$O:$O,0)))</f>
        <v/>
      </c>
      <c r="J28" s="60" t="str">
        <f>IF(F28="","",INDEX('All Data'!$AD:$AD,MATCH(F28,'All Data'!$O:$O,0)))</f>
        <v/>
      </c>
      <c r="K28" s="112" t="str">
        <f>IF(F28="","",INDEX('All Data'!$X:$X,MATCH(F28,'All Data'!$O:$O,0)))</f>
        <v/>
      </c>
      <c r="L28" s="60" t="str">
        <f>IF(F28="","",INDEX('All Data'!$Y:$Y,MATCH(F28,'All Data'!$O:$O,0)))</f>
        <v/>
      </c>
      <c r="M28" s="112" t="str">
        <f>IF(F28="","",INDEX('All Data'!$Z:$Z,MATCH(F28,'All Data'!$O:$O,0)))</f>
        <v/>
      </c>
      <c r="N28" s="111" t="str">
        <f>IF(F28="","",INDEX('All Data'!$AA:$AA,MATCH(F28,'All Data'!$O:$O,0)))</f>
        <v/>
      </c>
      <c r="O28" s="112" t="str">
        <f>IF(F28="","",INDEX('All Data'!$U:$U,MATCH(F28,'All Data'!$O:$O,0)))</f>
        <v/>
      </c>
      <c r="P28" s="150" t="str">
        <f>IF(F28="","",INDEX('All Data'!$V:$V,MATCH(F28,'All Data'!$O:$O,0)))</f>
        <v/>
      </c>
      <c r="Q28" s="228" t="str">
        <f>IF(F28="","",INDEX('All Data'!$AK:$AK,MATCH(F28,'All Data'!$O:$O,0)))</f>
        <v/>
      </c>
      <c r="R28" s="112" t="str">
        <f>IF(F28="","",INDEX('All Data'!$I:$I,MATCH(F28,'All Data'!$O:$O,0)))</f>
        <v/>
      </c>
      <c r="S28" s="150" t="str">
        <f>IF(F28="","",INDEX('All Data'!$K:$K,MATCH(F28,'All Data'!$O:$O,0)))</f>
        <v/>
      </c>
      <c r="T28" s="151" t="str">
        <f>IF(F28="","",INDEX('All Data'!$AS:$AS,MATCH(F28,'All Data'!$O:$O,0)))</f>
        <v/>
      </c>
      <c r="U28" s="573" t="str">
        <f t="shared" si="0"/>
        <v/>
      </c>
      <c r="V28" s="49"/>
      <c r="W28" s="39"/>
    </row>
    <row r="29" spans="1:23" ht="18">
      <c r="A29" s="62"/>
      <c r="B29" s="63"/>
      <c r="C29" s="107"/>
      <c r="D29" s="60" t="str">
        <f>IF(F29="","",INDEX('All Data'!$F:$F,MATCH(F29,'All Data'!$O:$O,0)))</f>
        <v/>
      </c>
      <c r="E29" s="48" t="str">
        <f>IF(F29&lt;&gt;"",COUNTIF($F$7:F29,"*")&amp;".","")</f>
        <v/>
      </c>
      <c r="F29" s="116"/>
      <c r="G29" s="115" t="str">
        <f>IF(F29="","",INDEX('All Data'!$N:$N,MATCH(F29,'All Data'!$O:$O,0)))</f>
        <v/>
      </c>
      <c r="H29" s="114" t="str">
        <f>IF(F29="","",INDEX('All Data'!$Q:$Q,MATCH(F29,'All Data'!$O:$O,0)))</f>
        <v/>
      </c>
      <c r="I29" s="113" t="str">
        <f>IF(F29="","",INDEX('All Data'!$AF:$AF,MATCH(F29,'All Data'!$O:$O,0)))</f>
        <v/>
      </c>
      <c r="J29" s="60" t="str">
        <f>IF(F29="","",INDEX('All Data'!$AD:$AD,MATCH(F29,'All Data'!$O:$O,0)))</f>
        <v/>
      </c>
      <c r="K29" s="112" t="str">
        <f>IF(F29="","",INDEX('All Data'!$X:$X,MATCH(F29,'All Data'!$O:$O,0)))</f>
        <v/>
      </c>
      <c r="L29" s="60" t="str">
        <f>IF(F29="","",INDEX('All Data'!$Y:$Y,MATCH(F29,'All Data'!$O:$O,0)))</f>
        <v/>
      </c>
      <c r="M29" s="112" t="str">
        <f>IF(F29="","",INDEX('All Data'!$Z:$Z,MATCH(F29,'All Data'!$O:$O,0)))</f>
        <v/>
      </c>
      <c r="N29" s="111" t="str">
        <f>IF(F29="","",INDEX('All Data'!$AA:$AA,MATCH(F29,'All Data'!$O:$O,0)))</f>
        <v/>
      </c>
      <c r="O29" s="112" t="str">
        <f>IF(F29="","",INDEX('All Data'!$U:$U,MATCH(F29,'All Data'!$O:$O,0)))</f>
        <v/>
      </c>
      <c r="P29" s="150" t="str">
        <f>IF(F29="","",INDEX('All Data'!$V:$V,MATCH(F29,'All Data'!$O:$O,0)))</f>
        <v/>
      </c>
      <c r="Q29" s="228" t="str">
        <f>IF(F29="","",INDEX('All Data'!$AK:$AK,MATCH(F29,'All Data'!$O:$O,0)))</f>
        <v/>
      </c>
      <c r="R29" s="112" t="str">
        <f>IF(F29="","",INDEX('All Data'!$I:$I,MATCH(F29,'All Data'!$O:$O,0)))</f>
        <v/>
      </c>
      <c r="S29" s="150" t="str">
        <f>IF(F29="","",INDEX('All Data'!$K:$K,MATCH(F29,'All Data'!$O:$O,0)))</f>
        <v/>
      </c>
      <c r="T29" s="151" t="str">
        <f>IF(F29="","",INDEX('All Data'!$AS:$AS,MATCH(F29,'All Data'!$O:$O,0)))</f>
        <v/>
      </c>
      <c r="U29" s="573" t="str">
        <f t="shared" si="0"/>
        <v/>
      </c>
      <c r="V29" s="49"/>
    </row>
    <row r="30" spans="1:23" ht="18">
      <c r="A30" s="62"/>
      <c r="B30" s="63"/>
      <c r="C30" s="107"/>
      <c r="D30" s="60" t="str">
        <f>IF(F30="","",INDEX('All Data'!$F:$F,MATCH(F30,'All Data'!$O:$O,0)))</f>
        <v/>
      </c>
      <c r="E30" s="48" t="str">
        <f>IF(F30&lt;&gt;"",COUNTIF($F$7:F30,"*")&amp;".","")</f>
        <v/>
      </c>
      <c r="F30" s="116"/>
      <c r="G30" s="115" t="str">
        <f>IF(F30="","",INDEX('All Data'!$N:$N,MATCH(F30,'All Data'!$O:$O,0)))</f>
        <v/>
      </c>
      <c r="H30" s="114" t="str">
        <f>IF(F30="","",INDEX('All Data'!$Q:$Q,MATCH(F30,'All Data'!$O:$O,0)))</f>
        <v/>
      </c>
      <c r="I30" s="113" t="str">
        <f>IF(F30="","",INDEX('All Data'!$AF:$AF,MATCH(F30,'All Data'!$O:$O,0)))</f>
        <v/>
      </c>
      <c r="J30" s="60" t="str">
        <f>IF(F30="","",INDEX('All Data'!$AD:$AD,MATCH(F30,'All Data'!$O:$O,0)))</f>
        <v/>
      </c>
      <c r="K30" s="112" t="str">
        <f>IF(F30="","",INDEX('All Data'!$X:$X,MATCH(F30,'All Data'!$O:$O,0)))</f>
        <v/>
      </c>
      <c r="L30" s="60" t="str">
        <f>IF(F30="","",INDEX('All Data'!$Y:$Y,MATCH(F30,'All Data'!$O:$O,0)))</f>
        <v/>
      </c>
      <c r="M30" s="112" t="str">
        <f>IF(F30="","",INDEX('All Data'!$Z:$Z,MATCH(F30,'All Data'!$O:$O,0)))</f>
        <v/>
      </c>
      <c r="N30" s="111" t="str">
        <f>IF(F30="","",INDEX('All Data'!$AA:$AA,MATCH(F30,'All Data'!$O:$O,0)))</f>
        <v/>
      </c>
      <c r="O30" s="112" t="str">
        <f>IF(F30="","",INDEX('All Data'!$U:$U,MATCH(F30,'All Data'!$O:$O,0)))</f>
        <v/>
      </c>
      <c r="P30" s="150" t="str">
        <f>IF(F30="","",INDEX('All Data'!$V:$V,MATCH(F30,'All Data'!$O:$O,0)))</f>
        <v/>
      </c>
      <c r="Q30" s="228" t="str">
        <f>IF(F30="","",INDEX('All Data'!$AK:$AK,MATCH(F30,'All Data'!$O:$O,0)))</f>
        <v/>
      </c>
      <c r="R30" s="112" t="str">
        <f>IF(F30="","",INDEX('All Data'!$I:$I,MATCH(F30,'All Data'!$O:$O,0)))</f>
        <v/>
      </c>
      <c r="S30" s="150" t="str">
        <f>IF(F30="","",INDEX('All Data'!$K:$K,MATCH(F30,'All Data'!$O:$O,0)))</f>
        <v/>
      </c>
      <c r="T30" s="151" t="str">
        <f>IF(F30="","",INDEX('All Data'!$AS:$AS,MATCH(F30,'All Data'!$O:$O,0)))</f>
        <v/>
      </c>
      <c r="U30" s="573" t="str">
        <f t="shared" si="0"/>
        <v/>
      </c>
      <c r="V30" s="49"/>
    </row>
    <row r="31" spans="1:23" ht="18">
      <c r="A31" s="62"/>
      <c r="B31" s="63"/>
      <c r="C31" s="62"/>
      <c r="D31" s="60" t="str">
        <f>IF(F31="","",INDEX('All Data'!$F:$F,MATCH(F31,'All Data'!$O:$O,0)))</f>
        <v/>
      </c>
      <c r="E31" s="48" t="str">
        <f>IF(F31&lt;&gt;"",COUNTIF($F$7:F31,"*")&amp;".","")</f>
        <v/>
      </c>
      <c r="F31" s="116"/>
      <c r="G31" s="115" t="str">
        <f>IF(F31="","",INDEX('All Data'!$N:$N,MATCH(F31,'All Data'!$O:$O,0)))</f>
        <v/>
      </c>
      <c r="H31" s="114" t="str">
        <f>IF(F31="","",INDEX('All Data'!$Q:$Q,MATCH(F31,'All Data'!$O:$O,0)))</f>
        <v/>
      </c>
      <c r="I31" s="113" t="str">
        <f>IF(F31="","",INDEX('All Data'!$AF:$AF,MATCH(F31,'All Data'!$O:$O,0)))</f>
        <v/>
      </c>
      <c r="J31" s="60" t="str">
        <f>IF(F31="","",INDEX('All Data'!$AD:$AD,MATCH(F31,'All Data'!$O:$O,0)))</f>
        <v/>
      </c>
      <c r="K31" s="112" t="str">
        <f>IF(F31="","",INDEX('All Data'!$X:$X,MATCH(F31,'All Data'!$O:$O,0)))</f>
        <v/>
      </c>
      <c r="L31" s="60" t="str">
        <f>IF(F31="","",INDEX('All Data'!$Y:$Y,MATCH(F31,'All Data'!$O:$O,0)))</f>
        <v/>
      </c>
      <c r="M31" s="112" t="str">
        <f>IF(F31="","",INDEX('All Data'!$Z:$Z,MATCH(F31,'All Data'!$O:$O,0)))</f>
        <v/>
      </c>
      <c r="N31" s="111" t="str">
        <f>IF(F31="","",INDEX('All Data'!$AA:$AA,MATCH(F31,'All Data'!$O:$O,0)))</f>
        <v/>
      </c>
      <c r="O31" s="112" t="str">
        <f>IF(F31="","",INDEX('All Data'!$U:$U,MATCH(F31,'All Data'!$O:$O,0)))</f>
        <v/>
      </c>
      <c r="P31" s="150" t="str">
        <f>IF(F31="","",INDEX('All Data'!$V:$V,MATCH(F31,'All Data'!$O:$O,0)))</f>
        <v/>
      </c>
      <c r="Q31" s="228" t="str">
        <f>IF(F31="","",INDEX('All Data'!$AK:$AK,MATCH(F31,'All Data'!$O:$O,0)))</f>
        <v/>
      </c>
      <c r="R31" s="112" t="str">
        <f>IF(F31="","",INDEX('All Data'!$I:$I,MATCH(F31,'All Data'!$O:$O,0)))</f>
        <v/>
      </c>
      <c r="S31" s="150" t="str">
        <f>IF(F31="","",INDEX('All Data'!$K:$K,MATCH(F31,'All Data'!$O:$O,0)))</f>
        <v/>
      </c>
      <c r="T31" s="151" t="str">
        <f>IF(F31="","",INDEX('All Data'!$AS:$AS,MATCH(F31,'All Data'!$O:$O,0)))</f>
        <v/>
      </c>
      <c r="U31" s="573" t="str">
        <f t="shared" si="0"/>
        <v/>
      </c>
      <c r="V31" s="49"/>
    </row>
    <row r="32" spans="1:23" ht="18">
      <c r="A32" s="62"/>
      <c r="B32" s="63"/>
      <c r="C32" s="107"/>
      <c r="D32" s="60" t="str">
        <f>IF(F32="","",INDEX('All Data'!$F:$F,MATCH(F32,'All Data'!$O:$O,0)))</f>
        <v/>
      </c>
      <c r="E32" s="48" t="str">
        <f>IF(F32&lt;&gt;"",COUNTIF($F$7:F32,"*")&amp;".","")</f>
        <v/>
      </c>
      <c r="F32" s="116"/>
      <c r="G32" s="115" t="str">
        <f>IF(F32="","",INDEX('All Data'!$N:$N,MATCH(F32,'All Data'!$O:$O,0)))</f>
        <v/>
      </c>
      <c r="H32" s="114" t="str">
        <f>IF(F32="","",INDEX('All Data'!$Q:$Q,MATCH(F32,'All Data'!$O:$O,0)))</f>
        <v/>
      </c>
      <c r="I32" s="113" t="str">
        <f>IF(F32="","",INDEX('All Data'!$AF:$AF,MATCH(F32,'All Data'!$O:$O,0)))</f>
        <v/>
      </c>
      <c r="J32" s="60" t="str">
        <f>IF(F32="","",INDEX('All Data'!$AD:$AD,MATCH(F32,'All Data'!$O:$O,0)))</f>
        <v/>
      </c>
      <c r="K32" s="112" t="str">
        <f>IF(F32="","",INDEX('All Data'!$X:$X,MATCH(F32,'All Data'!$O:$O,0)))</f>
        <v/>
      </c>
      <c r="L32" s="60" t="str">
        <f>IF(F32="","",INDEX('All Data'!$Y:$Y,MATCH(F32,'All Data'!$O:$O,0)))</f>
        <v/>
      </c>
      <c r="M32" s="112" t="str">
        <f>IF(F32="","",INDEX('All Data'!$Z:$Z,MATCH(F32,'All Data'!$O:$O,0)))</f>
        <v/>
      </c>
      <c r="N32" s="111" t="str">
        <f>IF(F32="","",INDEX('All Data'!$AA:$AA,MATCH(F32,'All Data'!$O:$O,0)))</f>
        <v/>
      </c>
      <c r="O32" s="112" t="str">
        <f>IF(F32="","",INDEX('All Data'!$U:$U,MATCH(F32,'All Data'!$O:$O,0)))</f>
        <v/>
      </c>
      <c r="P32" s="150" t="str">
        <f>IF(F32="","",INDEX('All Data'!$V:$V,MATCH(F32,'All Data'!$O:$O,0)))</f>
        <v/>
      </c>
      <c r="Q32" s="228" t="str">
        <f>IF(F32="","",INDEX('All Data'!$AK:$AK,MATCH(F32,'All Data'!$O:$O,0)))</f>
        <v/>
      </c>
      <c r="R32" s="112" t="str">
        <f>IF(F32="","",INDEX('All Data'!$I:$I,MATCH(F32,'All Data'!$O:$O,0)))</f>
        <v/>
      </c>
      <c r="S32" s="150" t="str">
        <f>IF(F32="","",INDEX('All Data'!$K:$K,MATCH(F32,'All Data'!$O:$O,0)))</f>
        <v/>
      </c>
      <c r="T32" s="151" t="str">
        <f>IF(F32="","",INDEX('All Data'!$AS:$AS,MATCH(F32,'All Data'!$O:$O,0)))</f>
        <v/>
      </c>
      <c r="U32" s="573" t="str">
        <f t="shared" si="0"/>
        <v/>
      </c>
      <c r="V32" s="49"/>
    </row>
    <row r="33" spans="1:22" ht="18">
      <c r="A33" s="62"/>
      <c r="B33" s="63"/>
      <c r="C33" s="107"/>
      <c r="D33" s="60" t="str">
        <f>IF(F33="","",INDEX('All Data'!$F:$F,MATCH(F33,'All Data'!$O:$O,0)))</f>
        <v/>
      </c>
      <c r="E33" s="48" t="str">
        <f>IF(F33&lt;&gt;"",COUNTIF($F$7:F33,"*")&amp;".","")</f>
        <v/>
      </c>
      <c r="F33" s="116"/>
      <c r="G33" s="115" t="str">
        <f>IF(F33="","",INDEX('All Data'!$N:$N,MATCH(F33,'All Data'!$O:$O,0)))</f>
        <v/>
      </c>
      <c r="H33" s="114" t="str">
        <f>IF(F33="","",INDEX('All Data'!$Q:$Q,MATCH(F33,'All Data'!$O:$O,0)))</f>
        <v/>
      </c>
      <c r="I33" s="113" t="str">
        <f>IF(F33="","",INDEX('All Data'!$AF:$AF,MATCH(F33,'All Data'!$O:$O,0)))</f>
        <v/>
      </c>
      <c r="J33" s="60" t="str">
        <f>IF(F33="","",INDEX('All Data'!$AD:$AD,MATCH(F33,'All Data'!$O:$O,0)))</f>
        <v/>
      </c>
      <c r="K33" s="112" t="str">
        <f>IF(F33="","",INDEX('All Data'!$X:$X,MATCH(F33,'All Data'!$O:$O,0)))</f>
        <v/>
      </c>
      <c r="L33" s="60" t="str">
        <f>IF(F33="","",INDEX('All Data'!$Y:$Y,MATCH(F33,'All Data'!$O:$O,0)))</f>
        <v/>
      </c>
      <c r="M33" s="112" t="str">
        <f>IF(F33="","",INDEX('All Data'!$Z:$Z,MATCH(F33,'All Data'!$O:$O,0)))</f>
        <v/>
      </c>
      <c r="N33" s="111" t="str">
        <f>IF(F33="","",INDEX('All Data'!$AA:$AA,MATCH(F33,'All Data'!$O:$O,0)))</f>
        <v/>
      </c>
      <c r="O33" s="112" t="str">
        <f>IF(F33="","",INDEX('All Data'!$U:$U,MATCH(F33,'All Data'!$O:$O,0)))</f>
        <v/>
      </c>
      <c r="P33" s="150" t="str">
        <f>IF(F33="","",INDEX('All Data'!$V:$V,MATCH(F33,'All Data'!$O:$O,0)))</f>
        <v/>
      </c>
      <c r="Q33" s="228" t="str">
        <f>IF(F33="","",INDEX('All Data'!$AK:$AK,MATCH(F33,'All Data'!$O:$O,0)))</f>
        <v/>
      </c>
      <c r="R33" s="112" t="str">
        <f>IF(F33="","",INDEX('All Data'!$I:$I,MATCH(F33,'All Data'!$O:$O,0)))</f>
        <v/>
      </c>
      <c r="S33" s="150" t="str">
        <f>IF(F33="","",INDEX('All Data'!$K:$K,MATCH(F33,'All Data'!$O:$O,0)))</f>
        <v/>
      </c>
      <c r="T33" s="151" t="str">
        <f>IF(F33="","",INDEX('All Data'!$AS:$AS,MATCH(F33,'All Data'!$O:$O,0)))</f>
        <v/>
      </c>
      <c r="U33" s="573" t="str">
        <f t="shared" si="0"/>
        <v/>
      </c>
      <c r="V33" s="49"/>
    </row>
    <row r="34" spans="1:22" ht="18">
      <c r="A34" s="62"/>
      <c r="B34" s="63"/>
      <c r="C34" s="62"/>
      <c r="D34" s="60" t="str">
        <f>IF(F34="","",INDEX('All Data'!$F:$F,MATCH(F34,'All Data'!$O:$O,0)))</f>
        <v/>
      </c>
      <c r="E34" s="48" t="str">
        <f>IF(F34&lt;&gt;"",COUNTIF($F$7:F34,"*")&amp;".","")</f>
        <v/>
      </c>
      <c r="F34" s="116"/>
      <c r="G34" s="115" t="str">
        <f>IF(F34="","",INDEX('All Data'!$N:$N,MATCH(F34,'All Data'!$O:$O,0)))</f>
        <v/>
      </c>
      <c r="H34" s="114" t="str">
        <f>IF(F34="","",INDEX('All Data'!$Q:$Q,MATCH(F34,'All Data'!$O:$O,0)))</f>
        <v/>
      </c>
      <c r="I34" s="113" t="str">
        <f>IF(F34="","",INDEX('All Data'!$AF:$AF,MATCH(F34,'All Data'!$O:$O,0)))</f>
        <v/>
      </c>
      <c r="J34" s="60" t="str">
        <f>IF(F34="","",INDEX('All Data'!$AD:$AD,MATCH(F34,'All Data'!$O:$O,0)))</f>
        <v/>
      </c>
      <c r="K34" s="112" t="str">
        <f>IF(F34="","",INDEX('All Data'!$X:$X,MATCH(F34,'All Data'!$O:$O,0)))</f>
        <v/>
      </c>
      <c r="L34" s="60" t="str">
        <f>IF(F34="","",INDEX('All Data'!$Y:$Y,MATCH(F34,'All Data'!$O:$O,0)))</f>
        <v/>
      </c>
      <c r="M34" s="112" t="str">
        <f>IF(F34="","",INDEX('All Data'!$Z:$Z,MATCH(F34,'All Data'!$O:$O,0)))</f>
        <v/>
      </c>
      <c r="N34" s="111" t="str">
        <f>IF(F34="","",INDEX('All Data'!$AA:$AA,MATCH(F34,'All Data'!$O:$O,0)))</f>
        <v/>
      </c>
      <c r="O34" s="112" t="str">
        <f>IF(F34="","",INDEX('All Data'!$U:$U,MATCH(F34,'All Data'!$O:$O,0)))</f>
        <v/>
      </c>
      <c r="P34" s="150" t="str">
        <f>IF(F34="","",INDEX('All Data'!$V:$V,MATCH(F34,'All Data'!$O:$O,0)))</f>
        <v/>
      </c>
      <c r="Q34" s="228" t="str">
        <f>IF(F34="","",INDEX('All Data'!$AK:$AK,MATCH(F34,'All Data'!$O:$O,0)))</f>
        <v/>
      </c>
      <c r="R34" s="112" t="str">
        <f>IF(F34="","",INDEX('All Data'!$I:$I,MATCH(F34,'All Data'!$O:$O,0)))</f>
        <v/>
      </c>
      <c r="S34" s="150" t="str">
        <f>IF(F34="","",INDEX('All Data'!$K:$K,MATCH(F34,'All Data'!$O:$O,0)))</f>
        <v/>
      </c>
      <c r="T34" s="151" t="str">
        <f>IF(F34="","",INDEX('All Data'!$AS:$AS,MATCH(F34,'All Data'!$O:$O,0)))</f>
        <v/>
      </c>
      <c r="U34" s="573" t="str">
        <f t="shared" si="0"/>
        <v/>
      </c>
      <c r="V34" s="49"/>
    </row>
    <row r="35" spans="1:22" ht="18">
      <c r="A35" s="62"/>
      <c r="B35" s="63"/>
      <c r="C35" s="107"/>
      <c r="D35" s="60" t="str">
        <f>IF(F35="","",INDEX('All Data'!$F:$F,MATCH(F35,'All Data'!$O:$O,0)))</f>
        <v/>
      </c>
      <c r="E35" s="48" t="str">
        <f>IF(F35&lt;&gt;"",COUNTIF($F$7:F35,"*")&amp;".","")</f>
        <v/>
      </c>
      <c r="F35" s="116"/>
      <c r="G35" s="115" t="str">
        <f>IF(F35="","",INDEX('All Data'!$N:$N,MATCH(F35,'All Data'!$O:$O,0)))</f>
        <v/>
      </c>
      <c r="H35" s="114" t="str">
        <f>IF(F35="","",INDEX('All Data'!$Q:$Q,MATCH(F35,'All Data'!$O:$O,0)))</f>
        <v/>
      </c>
      <c r="I35" s="113" t="str">
        <f>IF(F35="","",INDEX('All Data'!$AF:$AF,MATCH(F35,'All Data'!$O:$O,0)))</f>
        <v/>
      </c>
      <c r="J35" s="60" t="str">
        <f>IF(F35="","",INDEX('All Data'!$AD:$AD,MATCH(F35,'All Data'!$O:$O,0)))</f>
        <v/>
      </c>
      <c r="K35" s="112" t="str">
        <f>IF(F35="","",INDEX('All Data'!$X:$X,MATCH(F35,'All Data'!$O:$O,0)))</f>
        <v/>
      </c>
      <c r="L35" s="60" t="str">
        <f>IF(F35="","",INDEX('All Data'!$Y:$Y,MATCH(F35,'All Data'!$O:$O,0)))</f>
        <v/>
      </c>
      <c r="M35" s="112" t="str">
        <f>IF(F35="","",INDEX('All Data'!$Z:$Z,MATCH(F35,'All Data'!$O:$O,0)))</f>
        <v/>
      </c>
      <c r="N35" s="111" t="str">
        <f>IF(F35="","",INDEX('All Data'!$AA:$AA,MATCH(F35,'All Data'!$O:$O,0)))</f>
        <v/>
      </c>
      <c r="O35" s="112" t="str">
        <f>IF(F35="","",INDEX('All Data'!$U:$U,MATCH(F35,'All Data'!$O:$O,0)))</f>
        <v/>
      </c>
      <c r="P35" s="150" t="str">
        <f>IF(F35="","",INDEX('All Data'!$V:$V,MATCH(F35,'All Data'!$O:$O,0)))</f>
        <v/>
      </c>
      <c r="Q35" s="228" t="str">
        <f>IF(F35="","",INDEX('All Data'!$AK:$AK,MATCH(F35,'All Data'!$O:$O,0)))</f>
        <v/>
      </c>
      <c r="R35" s="112" t="str">
        <f>IF(F35="","",INDEX('All Data'!$I:$I,MATCH(F35,'All Data'!$O:$O,0)))</f>
        <v/>
      </c>
      <c r="S35" s="150" t="str">
        <f>IF(F35="","",INDEX('All Data'!$K:$K,MATCH(F35,'All Data'!$O:$O,0)))</f>
        <v/>
      </c>
      <c r="T35" s="151" t="str">
        <f>IF(F35="","",INDEX('All Data'!$AS:$AS,MATCH(F35,'All Data'!$O:$O,0)))</f>
        <v/>
      </c>
      <c r="U35" s="573" t="str">
        <f t="shared" si="0"/>
        <v/>
      </c>
      <c r="V35" s="49"/>
    </row>
    <row r="36" spans="1:22" ht="18">
      <c r="A36" s="62"/>
      <c r="B36" s="63"/>
      <c r="C36" s="107"/>
      <c r="D36" s="60" t="str">
        <f>IF(F36="","",INDEX('All Data'!$F:$F,MATCH(F36,'All Data'!$O:$O,0)))</f>
        <v/>
      </c>
      <c r="E36" s="48" t="str">
        <f>IF(F36&lt;&gt;"",COUNTIF($F$7:F36,"*")&amp;".","")</f>
        <v/>
      </c>
      <c r="F36" s="116"/>
      <c r="G36" s="115" t="str">
        <f>IF(F36="","",INDEX('All Data'!$N:$N,MATCH(F36,'All Data'!$O:$O,0)))</f>
        <v/>
      </c>
      <c r="H36" s="114" t="str">
        <f>IF(F36="","",INDEX('All Data'!$Q:$Q,MATCH(F36,'All Data'!$O:$O,0)))</f>
        <v/>
      </c>
      <c r="I36" s="113" t="str">
        <f>IF(F36="","",INDEX('All Data'!$AF:$AF,MATCH(F36,'All Data'!$O:$O,0)))</f>
        <v/>
      </c>
      <c r="J36" s="60" t="str">
        <f>IF(F36="","",INDEX('All Data'!$AD:$AD,MATCH(F36,'All Data'!$O:$O,0)))</f>
        <v/>
      </c>
      <c r="K36" s="112" t="str">
        <f>IF(F36="","",INDEX('All Data'!$X:$X,MATCH(F36,'All Data'!$O:$O,0)))</f>
        <v/>
      </c>
      <c r="L36" s="60" t="str">
        <f>IF(F36="","",INDEX('All Data'!$Y:$Y,MATCH(F36,'All Data'!$O:$O,0)))</f>
        <v/>
      </c>
      <c r="M36" s="112" t="str">
        <f>IF(F36="","",INDEX('All Data'!$Z:$Z,MATCH(F36,'All Data'!$O:$O,0)))</f>
        <v/>
      </c>
      <c r="N36" s="111" t="str">
        <f>IF(F36="","",INDEX('All Data'!$AA:$AA,MATCH(F36,'All Data'!$O:$O,0)))</f>
        <v/>
      </c>
      <c r="O36" s="112" t="str">
        <f>IF(F36="","",INDEX('All Data'!$U:$U,MATCH(F36,'All Data'!$O:$O,0)))</f>
        <v/>
      </c>
      <c r="P36" s="150" t="str">
        <f>IF(F36="","",INDEX('All Data'!$V:$V,MATCH(F36,'All Data'!$O:$O,0)))</f>
        <v/>
      </c>
      <c r="Q36" s="228" t="str">
        <f>IF(F36="","",INDEX('All Data'!$AK:$AK,MATCH(F36,'All Data'!$O:$O,0)))</f>
        <v/>
      </c>
      <c r="R36" s="112" t="str">
        <f>IF(F36="","",INDEX('All Data'!$I:$I,MATCH(F36,'All Data'!$O:$O,0)))</f>
        <v/>
      </c>
      <c r="S36" s="150" t="str">
        <f>IF(F36="","",INDEX('All Data'!$K:$K,MATCH(F36,'All Data'!$O:$O,0)))</f>
        <v/>
      </c>
      <c r="T36" s="151" t="str">
        <f>IF(F36="","",INDEX('All Data'!$AS:$AS,MATCH(F36,'All Data'!$O:$O,0)))</f>
        <v/>
      </c>
      <c r="U36" s="573" t="str">
        <f t="shared" si="0"/>
        <v/>
      </c>
      <c r="V36" s="49"/>
    </row>
    <row r="37" spans="1:22" ht="18">
      <c r="A37" s="62"/>
      <c r="B37" s="63"/>
      <c r="C37" s="62"/>
      <c r="D37" s="60" t="str">
        <f>IF(F37="","",INDEX('All Data'!$F:$F,MATCH(F37,'All Data'!$O:$O,0)))</f>
        <v/>
      </c>
      <c r="E37" s="48" t="str">
        <f>IF(F37&lt;&gt;"",COUNTIF($F$7:F37,"*")&amp;".","")</f>
        <v/>
      </c>
      <c r="F37" s="116"/>
      <c r="G37" s="115" t="str">
        <f>IF(F37="","",INDEX('All Data'!$N:$N,MATCH(F37,'All Data'!$O:$O,0)))</f>
        <v/>
      </c>
      <c r="H37" s="114" t="str">
        <f>IF(F37="","",INDEX('All Data'!$Q:$Q,MATCH(F37,'All Data'!$O:$O,0)))</f>
        <v/>
      </c>
      <c r="I37" s="113" t="str">
        <f>IF(F37="","",INDEX('All Data'!$AF:$AF,MATCH(F37,'All Data'!$O:$O,0)))</f>
        <v/>
      </c>
      <c r="J37" s="60" t="str">
        <f>IF(F37="","",INDEX('All Data'!$AD:$AD,MATCH(F37,'All Data'!$O:$O,0)))</f>
        <v/>
      </c>
      <c r="K37" s="112" t="str">
        <f>IF(F37="","",INDEX('All Data'!$X:$X,MATCH(F37,'All Data'!$O:$O,0)))</f>
        <v/>
      </c>
      <c r="L37" s="60" t="str">
        <f>IF(F37="","",INDEX('All Data'!$Y:$Y,MATCH(F37,'All Data'!$O:$O,0)))</f>
        <v/>
      </c>
      <c r="M37" s="112" t="str">
        <f>IF(F37="","",INDEX('All Data'!$Z:$Z,MATCH(F37,'All Data'!$O:$O,0)))</f>
        <v/>
      </c>
      <c r="N37" s="111" t="str">
        <f>IF(F37="","",INDEX('All Data'!$AA:$AA,MATCH(F37,'All Data'!$O:$O,0)))</f>
        <v/>
      </c>
      <c r="O37" s="112" t="str">
        <f>IF(F37="","",INDEX('All Data'!$U:$U,MATCH(F37,'All Data'!$O:$O,0)))</f>
        <v/>
      </c>
      <c r="P37" s="150" t="str">
        <f>IF(F37="","",INDEX('All Data'!$V:$V,MATCH(F37,'All Data'!$O:$O,0)))</f>
        <v/>
      </c>
      <c r="Q37" s="228" t="str">
        <f>IF(F37="","",INDEX('All Data'!$AK:$AK,MATCH(F37,'All Data'!$O:$O,0)))</f>
        <v/>
      </c>
      <c r="R37" s="112" t="str">
        <f>IF(F37="","",INDEX('All Data'!$I:$I,MATCH(F37,'All Data'!$O:$O,0)))</f>
        <v/>
      </c>
      <c r="S37" s="150" t="str">
        <f>IF(F37="","",INDEX('All Data'!$K:$K,MATCH(F37,'All Data'!$O:$O,0)))</f>
        <v/>
      </c>
      <c r="T37" s="151" t="str">
        <f>IF(F37="","",INDEX('All Data'!$AS:$AS,MATCH(F37,'All Data'!$O:$O,0)))</f>
        <v/>
      </c>
      <c r="U37" s="573" t="str">
        <f t="shared" si="0"/>
        <v/>
      </c>
      <c r="V37" s="49"/>
    </row>
    <row r="38" spans="1:22" ht="18">
      <c r="A38" s="62"/>
      <c r="B38" s="63"/>
      <c r="C38" s="107"/>
      <c r="D38" s="60" t="str">
        <f>IF(F38="","",INDEX('All Data'!$F:$F,MATCH(F38,'All Data'!$O:$O,0)))</f>
        <v/>
      </c>
      <c r="E38" s="48" t="str">
        <f>IF(F38&lt;&gt;"",COUNTIF($F$7:F38,"*")&amp;".","")</f>
        <v/>
      </c>
      <c r="F38" s="116"/>
      <c r="G38" s="115" t="str">
        <f>IF(F38="","",INDEX('All Data'!$N:$N,MATCH(F38,'All Data'!$O:$O,0)))</f>
        <v/>
      </c>
      <c r="H38" s="114" t="str">
        <f>IF(F38="","",INDEX('All Data'!$Q:$Q,MATCH(F38,'All Data'!$O:$O,0)))</f>
        <v/>
      </c>
      <c r="I38" s="113" t="str">
        <f>IF(F38="","",INDEX('All Data'!$AF:$AF,MATCH(F38,'All Data'!$O:$O,0)))</f>
        <v/>
      </c>
      <c r="J38" s="60" t="str">
        <f>IF(F38="","",INDEX('All Data'!$AD:$AD,MATCH(F38,'All Data'!$O:$O,0)))</f>
        <v/>
      </c>
      <c r="K38" s="112" t="str">
        <f>IF(F38="","",INDEX('All Data'!$X:$X,MATCH(F38,'All Data'!$O:$O,0)))</f>
        <v/>
      </c>
      <c r="L38" s="60" t="str">
        <f>IF(F38="","",INDEX('All Data'!$Y:$Y,MATCH(F38,'All Data'!$O:$O,0)))</f>
        <v/>
      </c>
      <c r="M38" s="112" t="str">
        <f>IF(F38="","",INDEX('All Data'!$Z:$Z,MATCH(F38,'All Data'!$O:$O,0)))</f>
        <v/>
      </c>
      <c r="N38" s="111" t="str">
        <f>IF(F38="","",INDEX('All Data'!$AA:$AA,MATCH(F38,'All Data'!$O:$O,0)))</f>
        <v/>
      </c>
      <c r="O38" s="112" t="str">
        <f>IF(F38="","",INDEX('All Data'!$U:$U,MATCH(F38,'All Data'!$O:$O,0)))</f>
        <v/>
      </c>
      <c r="P38" s="150" t="str">
        <f>IF(F38="","",INDEX('All Data'!$V:$V,MATCH(F38,'All Data'!$O:$O,0)))</f>
        <v/>
      </c>
      <c r="Q38" s="228" t="str">
        <f>IF(F38="","",INDEX('All Data'!$AK:$AK,MATCH(F38,'All Data'!$O:$O,0)))</f>
        <v/>
      </c>
      <c r="R38" s="112" t="str">
        <f>IF(F38="","",INDEX('All Data'!$I:$I,MATCH(F38,'All Data'!$O:$O,0)))</f>
        <v/>
      </c>
      <c r="S38" s="150" t="str">
        <f>IF(F38="","",INDEX('All Data'!$K:$K,MATCH(F38,'All Data'!$O:$O,0)))</f>
        <v/>
      </c>
      <c r="T38" s="151" t="str">
        <f>IF(F38="","",INDEX('All Data'!$AS:$AS,MATCH(F38,'All Data'!$O:$O,0)))</f>
        <v/>
      </c>
      <c r="U38" s="573" t="str">
        <f t="shared" si="0"/>
        <v/>
      </c>
      <c r="V38" s="49"/>
    </row>
    <row r="39" spans="1:22" ht="18">
      <c r="A39" s="62"/>
      <c r="B39" s="63"/>
      <c r="C39" s="62"/>
      <c r="D39" s="60" t="str">
        <f>IF(F39="","",INDEX('All Data'!$F:$F,MATCH(F39,'All Data'!$O:$O,0)))</f>
        <v/>
      </c>
      <c r="E39" s="48" t="str">
        <f>IF(F39&lt;&gt;"",COUNTIF($F$7:F39,"*")&amp;".","")</f>
        <v/>
      </c>
      <c r="F39" s="116"/>
      <c r="G39" s="115" t="str">
        <f>IF(F39="","",INDEX('All Data'!$N:$N,MATCH(F39,'All Data'!$O:$O,0)))</f>
        <v/>
      </c>
      <c r="H39" s="114" t="str">
        <f>IF(F39="","",INDEX('All Data'!$Q:$Q,MATCH(F39,'All Data'!$O:$O,0)))</f>
        <v/>
      </c>
      <c r="I39" s="113" t="str">
        <f>IF(F39="","",INDEX('All Data'!$AF:$AF,MATCH(F39,'All Data'!$O:$O,0)))</f>
        <v/>
      </c>
      <c r="J39" s="60" t="str">
        <f>IF(F39="","",INDEX('All Data'!$AD:$AD,MATCH(F39,'All Data'!$O:$O,0)))</f>
        <v/>
      </c>
      <c r="K39" s="112" t="str">
        <f>IF(F39="","",INDEX('All Data'!$X:$X,MATCH(F39,'All Data'!$O:$O,0)))</f>
        <v/>
      </c>
      <c r="L39" s="60" t="str">
        <f>IF(F39="","",INDEX('All Data'!$Y:$Y,MATCH(F39,'All Data'!$O:$O,0)))</f>
        <v/>
      </c>
      <c r="M39" s="112" t="str">
        <f>IF(F39="","",INDEX('All Data'!$Z:$Z,MATCH(F39,'All Data'!$O:$O,0)))</f>
        <v/>
      </c>
      <c r="N39" s="111" t="str">
        <f>IF(F39="","",INDEX('All Data'!$AA:$AA,MATCH(F39,'All Data'!$O:$O,0)))</f>
        <v/>
      </c>
      <c r="O39" s="112" t="str">
        <f>IF(F39="","",INDEX('All Data'!$U:$U,MATCH(F39,'All Data'!$O:$O,0)))</f>
        <v/>
      </c>
      <c r="P39" s="150" t="str">
        <f>IF(F39="","",INDEX('All Data'!$V:$V,MATCH(F39,'All Data'!$O:$O,0)))</f>
        <v/>
      </c>
      <c r="Q39" s="228" t="str">
        <f>IF(F39="","",INDEX('All Data'!$AK:$AK,MATCH(F39,'All Data'!$O:$O,0)))</f>
        <v/>
      </c>
      <c r="R39" s="112" t="str">
        <f>IF(F39="","",INDEX('All Data'!$I:$I,MATCH(F39,'All Data'!$O:$O,0)))</f>
        <v/>
      </c>
      <c r="S39" s="150" t="str">
        <f>IF(F39="","",INDEX('All Data'!$K:$K,MATCH(F39,'All Data'!$O:$O,0)))</f>
        <v/>
      </c>
      <c r="T39" s="151" t="str">
        <f>IF(F39="","",INDEX('All Data'!$AS:$AS,MATCH(F39,'All Data'!$O:$O,0)))</f>
        <v/>
      </c>
      <c r="U39" s="573" t="str">
        <f t="shared" si="0"/>
        <v/>
      </c>
      <c r="V39" s="49"/>
    </row>
    <row r="40" spans="1:22" ht="18">
      <c r="A40" s="62"/>
      <c r="B40" s="63"/>
      <c r="C40" s="62"/>
      <c r="D40" s="60" t="str">
        <f>IF(F40="","",INDEX('All Data'!$F:$F,MATCH(F40,'All Data'!$O:$O,0)))</f>
        <v/>
      </c>
      <c r="E40" s="48" t="str">
        <f>IF(F40&lt;&gt;"",COUNTIF($F$7:F40,"*")&amp;".","")</f>
        <v/>
      </c>
      <c r="F40" s="116"/>
      <c r="G40" s="115" t="str">
        <f>IF(F40="","",INDEX('All Data'!$N:$N,MATCH(F40,'All Data'!$O:$O,0)))</f>
        <v/>
      </c>
      <c r="H40" s="114" t="str">
        <f>IF(F40="","",INDEX('All Data'!$Q:$Q,MATCH(F40,'All Data'!$O:$O,0)))</f>
        <v/>
      </c>
      <c r="I40" s="113" t="str">
        <f>IF(F40="","",INDEX('All Data'!$AF:$AF,MATCH(F40,'All Data'!$O:$O,0)))</f>
        <v/>
      </c>
      <c r="J40" s="60" t="str">
        <f>IF(F40="","",INDEX('All Data'!$AD:$AD,MATCH(F40,'All Data'!$O:$O,0)))</f>
        <v/>
      </c>
      <c r="K40" s="112" t="str">
        <f>IF(F40="","",INDEX('All Data'!$X:$X,MATCH(F40,'All Data'!$O:$O,0)))</f>
        <v/>
      </c>
      <c r="L40" s="60" t="str">
        <f>IF(F40="","",INDEX('All Data'!$Y:$Y,MATCH(F40,'All Data'!$O:$O,0)))</f>
        <v/>
      </c>
      <c r="M40" s="112" t="str">
        <f>IF(F40="","",INDEX('All Data'!$Z:$Z,MATCH(F40,'All Data'!$O:$O,0)))</f>
        <v/>
      </c>
      <c r="N40" s="111" t="str">
        <f>IF(F40="","",INDEX('All Data'!$AA:$AA,MATCH(F40,'All Data'!$O:$O,0)))</f>
        <v/>
      </c>
      <c r="O40" s="112" t="str">
        <f>IF(F40="","",INDEX('All Data'!$U:$U,MATCH(F40,'All Data'!$O:$O,0)))</f>
        <v/>
      </c>
      <c r="P40" s="150" t="str">
        <f>IF(F40="","",INDEX('All Data'!$V:$V,MATCH(F40,'All Data'!$O:$O,0)))</f>
        <v/>
      </c>
      <c r="Q40" s="228" t="str">
        <f>IF(F40="","",INDEX('All Data'!$AK:$AK,MATCH(F40,'All Data'!$O:$O,0)))</f>
        <v/>
      </c>
      <c r="R40" s="112" t="str">
        <f>IF(F40="","",INDEX('All Data'!$I:$I,MATCH(F40,'All Data'!$O:$O,0)))</f>
        <v/>
      </c>
      <c r="S40" s="150" t="str">
        <f>IF(F40="","",INDEX('All Data'!$K:$K,MATCH(F40,'All Data'!$O:$O,0)))</f>
        <v/>
      </c>
      <c r="T40" s="151" t="str">
        <f>IF(F40="","",INDEX('All Data'!$AS:$AS,MATCH(F40,'All Data'!$O:$O,0)))</f>
        <v/>
      </c>
      <c r="U40" s="573" t="str">
        <f t="shared" si="0"/>
        <v/>
      </c>
      <c r="V40" s="49"/>
    </row>
    <row r="41" spans="1:22" ht="18">
      <c r="A41" s="62"/>
      <c r="B41" s="63"/>
      <c r="C41" s="62"/>
      <c r="D41" s="60" t="str">
        <f>IF(F41="","",INDEX('All Data'!$F:$F,MATCH(F41,'All Data'!$O:$O,0)))</f>
        <v/>
      </c>
      <c r="E41" s="48" t="str">
        <f>IF(F41&lt;&gt;"",COUNTIF($F$7:F41,"*")&amp;".","")</f>
        <v/>
      </c>
      <c r="F41" s="116"/>
      <c r="G41" s="115" t="str">
        <f>IF(F41="","",INDEX('All Data'!$N:$N,MATCH(F41,'All Data'!$O:$O,0)))</f>
        <v/>
      </c>
      <c r="H41" s="114" t="str">
        <f>IF(F41="","",INDEX('All Data'!$Q:$Q,MATCH(F41,'All Data'!$O:$O,0)))</f>
        <v/>
      </c>
      <c r="I41" s="113" t="str">
        <f>IF(F41="","",INDEX('All Data'!$AF:$AF,MATCH(F41,'All Data'!$O:$O,0)))</f>
        <v/>
      </c>
      <c r="J41" s="60" t="str">
        <f>IF(F41="","",INDEX('All Data'!$AD:$AD,MATCH(F41,'All Data'!$O:$O,0)))</f>
        <v/>
      </c>
      <c r="K41" s="112" t="str">
        <f>IF(F41="","",INDEX('All Data'!$X:$X,MATCH(F41,'All Data'!$O:$O,0)))</f>
        <v/>
      </c>
      <c r="L41" s="60" t="str">
        <f>IF(F41="","",INDEX('All Data'!$Y:$Y,MATCH(F41,'All Data'!$O:$O,0)))</f>
        <v/>
      </c>
      <c r="M41" s="112" t="str">
        <f>IF(F41="","",INDEX('All Data'!$Z:$Z,MATCH(F41,'All Data'!$O:$O,0)))</f>
        <v/>
      </c>
      <c r="N41" s="111" t="str">
        <f>IF(F41="","",INDEX('All Data'!$AA:$AA,MATCH(F41,'All Data'!$O:$O,0)))</f>
        <v/>
      </c>
      <c r="O41" s="112" t="str">
        <f>IF(F41="","",INDEX('All Data'!$U:$U,MATCH(F41,'All Data'!$O:$O,0)))</f>
        <v/>
      </c>
      <c r="P41" s="150" t="str">
        <f>IF(F41="","",INDEX('All Data'!$V:$V,MATCH(F41,'All Data'!$O:$O,0)))</f>
        <v/>
      </c>
      <c r="Q41" s="228" t="str">
        <f>IF(F41="","",INDEX('All Data'!$AK:$AK,MATCH(F41,'All Data'!$O:$O,0)))</f>
        <v/>
      </c>
      <c r="R41" s="112" t="str">
        <f>IF(F41="","",INDEX('All Data'!$I:$I,MATCH(F41,'All Data'!$O:$O,0)))</f>
        <v/>
      </c>
      <c r="S41" s="150" t="str">
        <f>IF(F41="","",INDEX('All Data'!$K:$K,MATCH(F41,'All Data'!$O:$O,0)))</f>
        <v/>
      </c>
      <c r="T41" s="151" t="str">
        <f>IF(F41="","",INDEX('All Data'!$AS:$AS,MATCH(F41,'All Data'!$O:$O,0)))</f>
        <v/>
      </c>
      <c r="U41" s="573" t="str">
        <f t="shared" si="0"/>
        <v/>
      </c>
      <c r="V41" s="49"/>
    </row>
    <row r="42" spans="1:22" ht="18">
      <c r="A42" s="62"/>
      <c r="B42" s="63"/>
      <c r="C42" s="62"/>
      <c r="D42" s="60" t="str">
        <f>IF(F42="","",INDEX('All Data'!$F:$F,MATCH(F42,'All Data'!$O:$O,0)))</f>
        <v/>
      </c>
      <c r="E42" s="48" t="str">
        <f>IF(F42&lt;&gt;"",COUNTIF($F$7:F42,"*")&amp;".","")</f>
        <v/>
      </c>
      <c r="F42" s="116"/>
      <c r="G42" s="115" t="str">
        <f>IF(F42="","",INDEX('All Data'!$N:$N,MATCH(F42,'All Data'!$O:$O,0)))</f>
        <v/>
      </c>
      <c r="H42" s="114" t="str">
        <f>IF(F42="","",INDEX('All Data'!$Q:$Q,MATCH(F42,'All Data'!$O:$O,0)))</f>
        <v/>
      </c>
      <c r="I42" s="113" t="str">
        <f>IF(F42="","",INDEX('All Data'!$AF:$AF,MATCH(F42,'All Data'!$O:$O,0)))</f>
        <v/>
      </c>
      <c r="J42" s="60" t="str">
        <f>IF(F42="","",INDEX('All Data'!$AD:$AD,MATCH(F42,'All Data'!$O:$O,0)))</f>
        <v/>
      </c>
      <c r="K42" s="112" t="str">
        <f>IF(F42="","",INDEX('All Data'!$X:$X,MATCH(F42,'All Data'!$O:$O,0)))</f>
        <v/>
      </c>
      <c r="L42" s="60" t="str">
        <f>IF(F42="","",INDEX('All Data'!$Y:$Y,MATCH(F42,'All Data'!$O:$O,0)))</f>
        <v/>
      </c>
      <c r="M42" s="112" t="str">
        <f>IF(F42="","",INDEX('All Data'!$Z:$Z,MATCH(F42,'All Data'!$O:$O,0)))</f>
        <v/>
      </c>
      <c r="N42" s="111" t="str">
        <f>IF(F42="","",INDEX('All Data'!$AA:$AA,MATCH(F42,'All Data'!$O:$O,0)))</f>
        <v/>
      </c>
      <c r="O42" s="112" t="str">
        <f>IF(F42="","",INDEX('All Data'!$U:$U,MATCH(F42,'All Data'!$O:$O,0)))</f>
        <v/>
      </c>
      <c r="P42" s="150" t="str">
        <f>IF(F42="","",INDEX('All Data'!$V:$V,MATCH(F42,'All Data'!$O:$O,0)))</f>
        <v/>
      </c>
      <c r="Q42" s="228" t="str">
        <f>IF(F42="","",INDEX('All Data'!$AK:$AK,MATCH(F42,'All Data'!$O:$O,0)))</f>
        <v/>
      </c>
      <c r="R42" s="112" t="str">
        <f>IF(F42="","",INDEX('All Data'!$I:$I,MATCH(F42,'All Data'!$O:$O,0)))</f>
        <v/>
      </c>
      <c r="S42" s="150" t="str">
        <f>IF(F42="","",INDEX('All Data'!$K:$K,MATCH(F42,'All Data'!$O:$O,0)))</f>
        <v/>
      </c>
      <c r="T42" s="151" t="str">
        <f>IF(F42="","",INDEX('All Data'!$AS:$AS,MATCH(F42,'All Data'!$O:$O,0)))</f>
        <v/>
      </c>
      <c r="U42" s="573" t="str">
        <f t="shared" si="0"/>
        <v/>
      </c>
      <c r="V42" s="49"/>
    </row>
    <row r="43" spans="1:22" ht="18">
      <c r="A43" s="62"/>
      <c r="B43" s="63"/>
      <c r="C43" s="62"/>
      <c r="D43" s="60" t="str">
        <f>IF(F43="","",INDEX('All Data'!$F:$F,MATCH(F43,'All Data'!$O:$O,0)))</f>
        <v/>
      </c>
      <c r="E43" s="48" t="str">
        <f>IF(F43&lt;&gt;"",COUNTIF($F$7:F43,"*")&amp;".","")</f>
        <v/>
      </c>
      <c r="F43" s="116"/>
      <c r="G43" s="115" t="str">
        <f>IF(F43="","",INDEX('All Data'!$N:$N,MATCH(F43,'All Data'!$O:$O,0)))</f>
        <v/>
      </c>
      <c r="H43" s="114" t="str">
        <f>IF(F43="","",INDEX('All Data'!$Q:$Q,MATCH(F43,'All Data'!$O:$O,0)))</f>
        <v/>
      </c>
      <c r="I43" s="113" t="str">
        <f>IF(F43="","",INDEX('All Data'!$AF:$AF,MATCH(F43,'All Data'!$O:$O,0)))</f>
        <v/>
      </c>
      <c r="J43" s="60" t="str">
        <f>IF(F43="","",INDEX('All Data'!$AD:$AD,MATCH(F43,'All Data'!$O:$O,0)))</f>
        <v/>
      </c>
      <c r="K43" s="112" t="str">
        <f>IF(F43="","",INDEX('All Data'!$X:$X,MATCH(F43,'All Data'!$O:$O,0)))</f>
        <v/>
      </c>
      <c r="L43" s="60" t="str">
        <f>IF(F43="","",INDEX('All Data'!$Y:$Y,MATCH(F43,'All Data'!$O:$O,0)))</f>
        <v/>
      </c>
      <c r="M43" s="112" t="str">
        <f>IF(F43="","",INDEX('All Data'!$Z:$Z,MATCH(F43,'All Data'!$O:$O,0)))</f>
        <v/>
      </c>
      <c r="N43" s="111" t="str">
        <f>IF(F43="","",INDEX('All Data'!$AA:$AA,MATCH(F43,'All Data'!$O:$O,0)))</f>
        <v/>
      </c>
      <c r="O43" s="112" t="str">
        <f>IF(F43="","",INDEX('All Data'!$U:$U,MATCH(F43,'All Data'!$O:$O,0)))</f>
        <v/>
      </c>
      <c r="P43" s="150" t="str">
        <f>IF(F43="","",INDEX('All Data'!$V:$V,MATCH(F43,'All Data'!$O:$O,0)))</f>
        <v/>
      </c>
      <c r="Q43" s="228" t="str">
        <f>IF(F43="","",INDEX('All Data'!$AK:$AK,MATCH(F43,'All Data'!$O:$O,0)))</f>
        <v/>
      </c>
      <c r="R43" s="112" t="str">
        <f>IF(F43="","",INDEX('All Data'!$I:$I,MATCH(F43,'All Data'!$O:$O,0)))</f>
        <v/>
      </c>
      <c r="S43" s="150" t="str">
        <f>IF(F43="","",INDEX('All Data'!$K:$K,MATCH(F43,'All Data'!$O:$O,0)))</f>
        <v/>
      </c>
      <c r="T43" s="151" t="str">
        <f>IF(F43="","",INDEX('All Data'!$AS:$AS,MATCH(F43,'All Data'!$O:$O,0)))</f>
        <v/>
      </c>
      <c r="U43" s="573" t="str">
        <f t="shared" si="0"/>
        <v/>
      </c>
      <c r="V43" s="49"/>
    </row>
    <row r="44" spans="1:22" ht="18">
      <c r="A44" s="62"/>
      <c r="B44" s="63"/>
      <c r="C44" s="62"/>
      <c r="D44" s="60" t="str">
        <f>IF(F44="","",INDEX('All Data'!$F:$F,MATCH(F44,'All Data'!$O:$O,0)))</f>
        <v/>
      </c>
      <c r="E44" s="48" t="str">
        <f>IF(F44&lt;&gt;"",COUNTIF($F$7:F44,"*")&amp;".","")</f>
        <v/>
      </c>
      <c r="F44" s="116"/>
      <c r="G44" s="115" t="str">
        <f>IF(F44="","",INDEX('All Data'!$N:$N,MATCH(F44,'All Data'!$O:$O,0)))</f>
        <v/>
      </c>
      <c r="H44" s="114" t="str">
        <f>IF(F44="","",INDEX('All Data'!$Q:$Q,MATCH(F44,'All Data'!$O:$O,0)))</f>
        <v/>
      </c>
      <c r="I44" s="113" t="str">
        <f>IF(F44="","",INDEX('All Data'!$AF:$AF,MATCH(F44,'All Data'!$O:$O,0)))</f>
        <v/>
      </c>
      <c r="J44" s="60" t="str">
        <f>IF(F44="","",INDEX('All Data'!$AD:$AD,MATCH(F44,'All Data'!$O:$O,0)))</f>
        <v/>
      </c>
      <c r="K44" s="112" t="str">
        <f>IF(F44="","",INDEX('All Data'!$X:$X,MATCH(F44,'All Data'!$O:$O,0)))</f>
        <v/>
      </c>
      <c r="L44" s="60" t="str">
        <f>IF(F44="","",INDEX('All Data'!$Y:$Y,MATCH(F44,'All Data'!$O:$O,0)))</f>
        <v/>
      </c>
      <c r="M44" s="112" t="str">
        <f>IF(F44="","",INDEX('All Data'!$Z:$Z,MATCH(F44,'All Data'!$O:$O,0)))</f>
        <v/>
      </c>
      <c r="N44" s="111" t="str">
        <f>IF(F44="","",INDEX('All Data'!$AA:$AA,MATCH(F44,'All Data'!$O:$O,0)))</f>
        <v/>
      </c>
      <c r="O44" s="112" t="str">
        <f>IF(F44="","",INDEX('All Data'!$U:$U,MATCH(F44,'All Data'!$O:$O,0)))</f>
        <v/>
      </c>
      <c r="P44" s="150" t="str">
        <f>IF(F44="","",INDEX('All Data'!$V:$V,MATCH(F44,'All Data'!$O:$O,0)))</f>
        <v/>
      </c>
      <c r="Q44" s="228" t="str">
        <f>IF(F44="","",INDEX('All Data'!$AK:$AK,MATCH(F44,'All Data'!$O:$O,0)))</f>
        <v/>
      </c>
      <c r="R44" s="112" t="str">
        <f>IF(F44="","",INDEX('All Data'!$I:$I,MATCH(F44,'All Data'!$O:$O,0)))</f>
        <v/>
      </c>
      <c r="S44" s="150" t="str">
        <f>IF(F44="","",INDEX('All Data'!$K:$K,MATCH(F44,'All Data'!$O:$O,0)))</f>
        <v/>
      </c>
      <c r="T44" s="151" t="str">
        <f>IF(F44="","",INDEX('All Data'!$AS:$AS,MATCH(F44,'All Data'!$O:$O,0)))</f>
        <v/>
      </c>
      <c r="U44" s="573" t="str">
        <f t="shared" si="0"/>
        <v/>
      </c>
      <c r="V44" s="49"/>
    </row>
    <row r="45" spans="1:22" ht="18">
      <c r="A45" s="62"/>
      <c r="B45" s="63"/>
      <c r="C45" s="62"/>
      <c r="D45" s="60" t="str">
        <f>IF(F45="","",INDEX('All Data'!$F:$F,MATCH(F45,'All Data'!$O:$O,0)))</f>
        <v/>
      </c>
      <c r="E45" s="48" t="str">
        <f>IF(F45&lt;&gt;"",COUNTIF($F$7:F45,"*")&amp;".","")</f>
        <v/>
      </c>
      <c r="F45" s="116"/>
      <c r="G45" s="115" t="str">
        <f>IF(F45="","",INDEX('All Data'!$N:$N,MATCH(F45,'All Data'!$O:$O,0)))</f>
        <v/>
      </c>
      <c r="H45" s="114" t="str">
        <f>IF(F45="","",INDEX('All Data'!$Q:$Q,MATCH(F45,'All Data'!$O:$O,0)))</f>
        <v/>
      </c>
      <c r="I45" s="113" t="str">
        <f>IF(F45="","",INDEX('All Data'!$AF:$AF,MATCH(F45,'All Data'!$O:$O,0)))</f>
        <v/>
      </c>
      <c r="J45" s="60" t="str">
        <f>IF(F45="","",INDEX('All Data'!$AD:$AD,MATCH(F45,'All Data'!$O:$O,0)))</f>
        <v/>
      </c>
      <c r="K45" s="112" t="str">
        <f>IF(F45="","",INDEX('All Data'!$X:$X,MATCH(F45,'All Data'!$O:$O,0)))</f>
        <v/>
      </c>
      <c r="L45" s="60" t="str">
        <f>IF(F45="","",INDEX('All Data'!$Y:$Y,MATCH(F45,'All Data'!$O:$O,0)))</f>
        <v/>
      </c>
      <c r="M45" s="112" t="str">
        <f>IF(F45="","",INDEX('All Data'!$Z:$Z,MATCH(F45,'All Data'!$O:$O,0)))</f>
        <v/>
      </c>
      <c r="N45" s="111" t="str">
        <f>IF(F45="","",INDEX('All Data'!$AA:$AA,MATCH(F45,'All Data'!$O:$O,0)))</f>
        <v/>
      </c>
      <c r="O45" s="112" t="str">
        <f>IF(F45="","",INDEX('All Data'!$U:$U,MATCH(F45,'All Data'!$O:$O,0)))</f>
        <v/>
      </c>
      <c r="P45" s="150" t="str">
        <f>IF(F45="","",INDEX('All Data'!$V:$V,MATCH(F45,'All Data'!$O:$O,0)))</f>
        <v/>
      </c>
      <c r="Q45" s="228" t="str">
        <f>IF(F45="","",INDEX('All Data'!$AK:$AK,MATCH(F45,'All Data'!$O:$O,0)))</f>
        <v/>
      </c>
      <c r="R45" s="112" t="str">
        <f>IF(F45="","",INDEX('All Data'!$I:$I,MATCH(F45,'All Data'!$O:$O,0)))</f>
        <v/>
      </c>
      <c r="S45" s="150" t="str">
        <f>IF(F45="","",INDEX('All Data'!$K:$K,MATCH(F45,'All Data'!$O:$O,0)))</f>
        <v/>
      </c>
      <c r="T45" s="151" t="str">
        <f>IF(F45="","",INDEX('All Data'!$AS:$AS,MATCH(F45,'All Data'!$O:$O,0)))</f>
        <v/>
      </c>
      <c r="U45" s="573" t="str">
        <f t="shared" si="0"/>
        <v/>
      </c>
      <c r="V45" s="49"/>
    </row>
    <row r="46" spans="1:22" ht="18">
      <c r="A46" s="62"/>
      <c r="B46" s="63"/>
      <c r="C46" s="62"/>
      <c r="D46" s="60" t="str">
        <f>IF(F46="","",INDEX('All Data'!$F:$F,MATCH(F46,'All Data'!$O:$O,0)))</f>
        <v/>
      </c>
      <c r="E46" s="48" t="str">
        <f>IF(F46&lt;&gt;"",COUNTIF($F$7:F46,"*")&amp;".","")</f>
        <v/>
      </c>
      <c r="F46" s="116"/>
      <c r="G46" s="115" t="str">
        <f>IF(F46="","",INDEX('All Data'!$N:$N,MATCH(F46,'All Data'!$O:$O,0)))</f>
        <v/>
      </c>
      <c r="H46" s="114" t="str">
        <f>IF(F46="","",INDEX('All Data'!$Q:$Q,MATCH(F46,'All Data'!$O:$O,0)))</f>
        <v/>
      </c>
      <c r="I46" s="113" t="str">
        <f>IF(F46="","",INDEX('All Data'!$AF:$AF,MATCH(F46,'All Data'!$O:$O,0)))</f>
        <v/>
      </c>
      <c r="J46" s="60" t="str">
        <f>IF(F46="","",INDEX('All Data'!$AD:$AD,MATCH(F46,'All Data'!$O:$O,0)))</f>
        <v/>
      </c>
      <c r="K46" s="112" t="str">
        <f>IF(F46="","",INDEX('All Data'!$X:$X,MATCH(F46,'All Data'!$O:$O,0)))</f>
        <v/>
      </c>
      <c r="L46" s="60" t="str">
        <f>IF(F46="","",INDEX('All Data'!$Y:$Y,MATCH(F46,'All Data'!$O:$O,0)))</f>
        <v/>
      </c>
      <c r="M46" s="112" t="str">
        <f>IF(F46="","",INDEX('All Data'!$Z:$Z,MATCH(F46,'All Data'!$O:$O,0)))</f>
        <v/>
      </c>
      <c r="N46" s="111" t="str">
        <f>IF(F46="","",INDEX('All Data'!$AA:$AA,MATCH(F46,'All Data'!$O:$O,0)))</f>
        <v/>
      </c>
      <c r="O46" s="112" t="str">
        <f>IF(F46="","",INDEX('All Data'!$U:$U,MATCH(F46,'All Data'!$O:$O,0)))</f>
        <v/>
      </c>
      <c r="P46" s="150" t="str">
        <f>IF(F46="","",INDEX('All Data'!$V:$V,MATCH(F46,'All Data'!$O:$O,0)))</f>
        <v/>
      </c>
      <c r="Q46" s="228" t="str">
        <f>IF(F46="","",INDEX('All Data'!$AK:$AK,MATCH(F46,'All Data'!$O:$O,0)))</f>
        <v/>
      </c>
      <c r="R46" s="112" t="str">
        <f>IF(F46="","",INDEX('All Data'!$I:$I,MATCH(F46,'All Data'!$O:$O,0)))</f>
        <v/>
      </c>
      <c r="S46" s="150" t="str">
        <f>IF(F46="","",INDEX('All Data'!$K:$K,MATCH(F46,'All Data'!$O:$O,0)))</f>
        <v/>
      </c>
      <c r="T46" s="151" t="str">
        <f>IF(F46="","",INDEX('All Data'!$AS:$AS,MATCH(F46,'All Data'!$O:$O,0)))</f>
        <v/>
      </c>
      <c r="U46" s="573" t="str">
        <f t="shared" si="0"/>
        <v/>
      </c>
      <c r="V46" s="49"/>
    </row>
    <row r="47" spans="1:22" ht="18">
      <c r="A47" s="62"/>
      <c r="B47" s="63"/>
      <c r="C47" s="62"/>
      <c r="D47" s="60" t="str">
        <f>IF(F47="","",INDEX('All Data'!$F:$F,MATCH(F47,'All Data'!$O:$O,0)))</f>
        <v/>
      </c>
      <c r="E47" s="48" t="str">
        <f>IF(F47&lt;&gt;"",COUNTIF($F$7:F47,"*")&amp;".","")</f>
        <v/>
      </c>
      <c r="F47" s="116"/>
      <c r="G47" s="115" t="str">
        <f>IF(F47="","",INDEX('All Data'!$N:$N,MATCH(F47,'All Data'!$O:$O,0)))</f>
        <v/>
      </c>
      <c r="H47" s="114" t="str">
        <f>IF(F47="","",INDEX('All Data'!$Q:$Q,MATCH(F47,'All Data'!$O:$O,0)))</f>
        <v/>
      </c>
      <c r="I47" s="113" t="str">
        <f>IF(F47="","",INDEX('All Data'!$AF:$AF,MATCH(F47,'All Data'!$O:$O,0)))</f>
        <v/>
      </c>
      <c r="J47" s="60" t="str">
        <f>IF(F47="","",INDEX('All Data'!$AD:$AD,MATCH(F47,'All Data'!$O:$O,0)))</f>
        <v/>
      </c>
      <c r="K47" s="112" t="str">
        <f>IF(F47="","",INDEX('All Data'!$X:$X,MATCH(F47,'All Data'!$O:$O,0)))</f>
        <v/>
      </c>
      <c r="L47" s="60" t="str">
        <f>IF(F47="","",INDEX('All Data'!$Y:$Y,MATCH(F47,'All Data'!$O:$O,0)))</f>
        <v/>
      </c>
      <c r="M47" s="112" t="str">
        <f>IF(F47="","",INDEX('All Data'!$Z:$Z,MATCH(F47,'All Data'!$O:$O,0)))</f>
        <v/>
      </c>
      <c r="N47" s="111" t="str">
        <f>IF(F47="","",INDEX('All Data'!$AA:$AA,MATCH(F47,'All Data'!$O:$O,0)))</f>
        <v/>
      </c>
      <c r="O47" s="112" t="str">
        <f>IF(F47="","",INDEX('All Data'!$U:$U,MATCH(F47,'All Data'!$O:$O,0)))</f>
        <v/>
      </c>
      <c r="P47" s="150" t="str">
        <f>IF(F47="","",INDEX('All Data'!$V:$V,MATCH(F47,'All Data'!$O:$O,0)))</f>
        <v/>
      </c>
      <c r="Q47" s="228" t="str">
        <f>IF(F47="","",INDEX('All Data'!$AK:$AK,MATCH(F47,'All Data'!$O:$O,0)))</f>
        <v/>
      </c>
      <c r="R47" s="112" t="str">
        <f>IF(F47="","",INDEX('All Data'!$I:$I,MATCH(F47,'All Data'!$O:$O,0)))</f>
        <v/>
      </c>
      <c r="S47" s="150" t="str">
        <f>IF(F47="","",INDEX('All Data'!$K:$K,MATCH(F47,'All Data'!$O:$O,0)))</f>
        <v/>
      </c>
      <c r="T47" s="151" t="str">
        <f>IF(F47="","",INDEX('All Data'!$AS:$AS,MATCH(F47,'All Data'!$O:$O,0)))</f>
        <v/>
      </c>
      <c r="U47" s="573" t="str">
        <f t="shared" si="0"/>
        <v/>
      </c>
      <c r="V47" s="49"/>
    </row>
    <row r="48" spans="1:22" ht="18">
      <c r="A48" s="62"/>
      <c r="B48" s="63"/>
      <c r="C48" s="62"/>
      <c r="D48" s="60" t="str">
        <f>IF(F48="","",INDEX('All Data'!$F:$F,MATCH(F48,'All Data'!$O:$O,0)))</f>
        <v/>
      </c>
      <c r="E48" s="48" t="str">
        <f>IF(F48&lt;&gt;"",COUNTIF($F$7:F48,"*")&amp;".","")</f>
        <v/>
      </c>
      <c r="F48" s="116"/>
      <c r="G48" s="115" t="str">
        <f>IF(F48="","",INDEX('All Data'!$N:$N,MATCH(F48,'All Data'!$O:$O,0)))</f>
        <v/>
      </c>
      <c r="H48" s="114" t="str">
        <f>IF(F48="","",INDEX('All Data'!$Q:$Q,MATCH(F48,'All Data'!$O:$O,0)))</f>
        <v/>
      </c>
      <c r="I48" s="113" t="str">
        <f>IF(F48="","",INDEX('All Data'!$AF:$AF,MATCH(F48,'All Data'!$O:$O,0)))</f>
        <v/>
      </c>
      <c r="J48" s="60" t="str">
        <f>IF(F48="","",INDEX('All Data'!$AD:$AD,MATCH(F48,'All Data'!$O:$O,0)))</f>
        <v/>
      </c>
      <c r="K48" s="112" t="str">
        <f>IF(F48="","",INDEX('All Data'!$X:$X,MATCH(F48,'All Data'!$O:$O,0)))</f>
        <v/>
      </c>
      <c r="L48" s="60" t="str">
        <f>IF(F48="","",INDEX('All Data'!$Y:$Y,MATCH(F48,'All Data'!$O:$O,0)))</f>
        <v/>
      </c>
      <c r="M48" s="112" t="str">
        <f>IF(F48="","",INDEX('All Data'!$Z:$Z,MATCH(F48,'All Data'!$O:$O,0)))</f>
        <v/>
      </c>
      <c r="N48" s="111" t="str">
        <f>IF(F48="","",INDEX('All Data'!$AA:$AA,MATCH(F48,'All Data'!$O:$O,0)))</f>
        <v/>
      </c>
      <c r="O48" s="112" t="str">
        <f>IF(F48="","",INDEX('All Data'!$U:$U,MATCH(F48,'All Data'!$O:$O,0)))</f>
        <v/>
      </c>
      <c r="P48" s="150" t="str">
        <f>IF(F48="","",INDEX('All Data'!$V:$V,MATCH(F48,'All Data'!$O:$O,0)))</f>
        <v/>
      </c>
      <c r="Q48" s="228" t="str">
        <f>IF(F48="","",INDEX('All Data'!$AK:$AK,MATCH(F48,'All Data'!$O:$O,0)))</f>
        <v/>
      </c>
      <c r="R48" s="112" t="str">
        <f>IF(F48="","",INDEX('All Data'!$I:$I,MATCH(F48,'All Data'!$O:$O,0)))</f>
        <v/>
      </c>
      <c r="S48" s="150" t="str">
        <f>IF(F48="","",INDEX('All Data'!$K:$K,MATCH(F48,'All Data'!$O:$O,0)))</f>
        <v/>
      </c>
      <c r="T48" s="151" t="str">
        <f>IF(F48="","",INDEX('All Data'!$AS:$AS,MATCH(F48,'All Data'!$O:$O,0)))</f>
        <v/>
      </c>
      <c r="U48" s="573" t="str">
        <f t="shared" si="0"/>
        <v/>
      </c>
      <c r="V48" s="49"/>
    </row>
    <row r="49" spans="1:22" ht="18">
      <c r="A49" s="62"/>
      <c r="B49" s="63"/>
      <c r="C49" s="62"/>
      <c r="D49" s="60" t="str">
        <f>IF(F49="","",INDEX('All Data'!$F:$F,MATCH(F49,'All Data'!$O:$O,0)))</f>
        <v/>
      </c>
      <c r="E49" s="48" t="str">
        <f>IF(F49&lt;&gt;"",COUNTIF($F$7:F49,"*")&amp;".","")</f>
        <v/>
      </c>
      <c r="F49" s="116"/>
      <c r="G49" s="115" t="str">
        <f>IF(F49="","",INDEX('All Data'!$N:$N,MATCH(F49,'All Data'!$O:$O,0)))</f>
        <v/>
      </c>
      <c r="H49" s="114" t="str">
        <f>IF(F49="","",INDEX('All Data'!$Q:$Q,MATCH(F49,'All Data'!$O:$O,0)))</f>
        <v/>
      </c>
      <c r="I49" s="113" t="str">
        <f>IF(F49="","",INDEX('All Data'!$AF:$AF,MATCH(F49,'All Data'!$O:$O,0)))</f>
        <v/>
      </c>
      <c r="J49" s="60" t="str">
        <f>IF(F49="","",INDEX('All Data'!$AD:$AD,MATCH(F49,'All Data'!$O:$O,0)))</f>
        <v/>
      </c>
      <c r="K49" s="112" t="str">
        <f>IF(F49="","",INDEX('All Data'!$X:$X,MATCH(F49,'All Data'!$O:$O,0)))</f>
        <v/>
      </c>
      <c r="L49" s="60" t="str">
        <f>IF(F49="","",INDEX('All Data'!$Y:$Y,MATCH(F49,'All Data'!$O:$O,0)))</f>
        <v/>
      </c>
      <c r="M49" s="112" t="str">
        <f>IF(F49="","",INDEX('All Data'!$Z:$Z,MATCH(F49,'All Data'!$O:$O,0)))</f>
        <v/>
      </c>
      <c r="N49" s="111" t="str">
        <f>IF(F49="","",INDEX('All Data'!$AA:$AA,MATCH(F49,'All Data'!$O:$O,0)))</f>
        <v/>
      </c>
      <c r="O49" s="112" t="str">
        <f>IF(F49="","",INDEX('All Data'!$U:$U,MATCH(F49,'All Data'!$O:$O,0)))</f>
        <v/>
      </c>
      <c r="P49" s="150" t="str">
        <f>IF(F49="","",INDEX('All Data'!$V:$V,MATCH(F49,'All Data'!$O:$O,0)))</f>
        <v/>
      </c>
      <c r="Q49" s="228" t="str">
        <f>IF(F49="","",INDEX('All Data'!$AK:$AK,MATCH(F49,'All Data'!$O:$O,0)))</f>
        <v/>
      </c>
      <c r="R49" s="112" t="str">
        <f>IF(F49="","",INDEX('All Data'!$I:$I,MATCH(F49,'All Data'!$O:$O,0)))</f>
        <v/>
      </c>
      <c r="S49" s="150" t="str">
        <f>IF(F49="","",INDEX('All Data'!$K:$K,MATCH(F49,'All Data'!$O:$O,0)))</f>
        <v/>
      </c>
      <c r="T49" s="151" t="str">
        <f>IF(F49="","",INDEX('All Data'!$AS:$AS,MATCH(F49,'All Data'!$O:$O,0)))</f>
        <v/>
      </c>
      <c r="U49" s="573" t="str">
        <f t="shared" si="0"/>
        <v/>
      </c>
      <c r="V49" s="49"/>
    </row>
    <row r="50" spans="1:22" ht="18">
      <c r="A50" s="62"/>
      <c r="B50" s="63"/>
      <c r="C50" s="62"/>
      <c r="D50" s="60" t="str">
        <f>IF(F50="","",INDEX('All Data'!$F:$F,MATCH(F50,'All Data'!$O:$O,0)))</f>
        <v/>
      </c>
      <c r="E50" s="48" t="str">
        <f>IF(F50&lt;&gt;"",COUNTIF($F$7:F50,"*")&amp;".","")</f>
        <v/>
      </c>
      <c r="F50" s="116"/>
      <c r="G50" s="115" t="str">
        <f>IF(F50="","",INDEX('All Data'!$N:$N,MATCH(F50,'All Data'!$O:$O,0)))</f>
        <v/>
      </c>
      <c r="H50" s="114" t="str">
        <f>IF(F50="","",INDEX('All Data'!$Q:$Q,MATCH(F50,'All Data'!$O:$O,0)))</f>
        <v/>
      </c>
      <c r="I50" s="113" t="str">
        <f>IF(F50="","",INDEX('All Data'!$AF:$AF,MATCH(F50,'All Data'!$O:$O,0)))</f>
        <v/>
      </c>
      <c r="J50" s="60" t="str">
        <f>IF(F50="","",INDEX('All Data'!$AD:$AD,MATCH(F50,'All Data'!$O:$O,0)))</f>
        <v/>
      </c>
      <c r="K50" s="112" t="str">
        <f>IF(F50="","",INDEX('All Data'!$X:$X,MATCH(F50,'All Data'!$O:$O,0)))</f>
        <v/>
      </c>
      <c r="L50" s="60" t="str">
        <f>IF(F50="","",INDEX('All Data'!$Y:$Y,MATCH(F50,'All Data'!$O:$O,0)))</f>
        <v/>
      </c>
      <c r="M50" s="112" t="str">
        <f>IF(F50="","",INDEX('All Data'!$Z:$Z,MATCH(F50,'All Data'!$O:$O,0)))</f>
        <v/>
      </c>
      <c r="N50" s="111" t="str">
        <f>IF(F50="","",INDEX('All Data'!$AA:$AA,MATCH(F50,'All Data'!$O:$O,0)))</f>
        <v/>
      </c>
      <c r="O50" s="112" t="str">
        <f>IF(F50="","",INDEX('All Data'!$U:$U,MATCH(F50,'All Data'!$O:$O,0)))</f>
        <v/>
      </c>
      <c r="P50" s="150" t="str">
        <f>IF(F50="","",INDEX('All Data'!$V:$V,MATCH(F50,'All Data'!$O:$O,0)))</f>
        <v/>
      </c>
      <c r="Q50" s="228" t="str">
        <f>IF(F50="","",INDEX('All Data'!$AK:$AK,MATCH(F50,'All Data'!$O:$O,0)))</f>
        <v/>
      </c>
      <c r="R50" s="112" t="str">
        <f>IF(F50="","",INDEX('All Data'!$I:$I,MATCH(F50,'All Data'!$O:$O,0)))</f>
        <v/>
      </c>
      <c r="S50" s="150" t="str">
        <f>IF(F50="","",INDEX('All Data'!$K:$K,MATCH(F50,'All Data'!$O:$O,0)))</f>
        <v/>
      </c>
      <c r="T50" s="151" t="str">
        <f>IF(F50="","",INDEX('All Data'!$AS:$AS,MATCH(F50,'All Data'!$O:$O,0)))</f>
        <v/>
      </c>
      <c r="U50" s="573" t="str">
        <f t="shared" si="0"/>
        <v/>
      </c>
      <c r="V50" s="49"/>
    </row>
    <row r="51" spans="1:22" ht="18">
      <c r="A51" s="62"/>
      <c r="B51" s="63"/>
      <c r="C51" s="62"/>
      <c r="D51" s="60" t="str">
        <f>IF(F51="","",INDEX('All Data'!$F:$F,MATCH(F51,'All Data'!$O:$O,0)))</f>
        <v/>
      </c>
      <c r="E51" s="48" t="str">
        <f>IF(F51&lt;&gt;"",COUNTIF($F$7:F51,"*")&amp;".","")</f>
        <v/>
      </c>
      <c r="F51" s="116"/>
      <c r="G51" s="115" t="str">
        <f>IF(F51="","",INDEX('All Data'!$N:$N,MATCH(F51,'All Data'!$O:$O,0)))</f>
        <v/>
      </c>
      <c r="H51" s="114" t="str">
        <f>IF(F51="","",INDEX('All Data'!$Q:$Q,MATCH(F51,'All Data'!$O:$O,0)))</f>
        <v/>
      </c>
      <c r="I51" s="113" t="str">
        <f>IF(F51="","",INDEX('All Data'!$AF:$AF,MATCH(F51,'All Data'!$O:$O,0)))</f>
        <v/>
      </c>
      <c r="J51" s="60" t="str">
        <f>IF(F51="","",INDEX('All Data'!$AD:$AD,MATCH(F51,'All Data'!$O:$O,0)))</f>
        <v/>
      </c>
      <c r="K51" s="112" t="str">
        <f>IF(F51="","",INDEX('All Data'!$X:$X,MATCH(F51,'All Data'!$O:$O,0)))</f>
        <v/>
      </c>
      <c r="L51" s="60" t="str">
        <f>IF(F51="","",INDEX('All Data'!$Y:$Y,MATCH(F51,'All Data'!$O:$O,0)))</f>
        <v/>
      </c>
      <c r="M51" s="112" t="str">
        <f>IF(F51="","",INDEX('All Data'!$Z:$Z,MATCH(F51,'All Data'!$O:$O,0)))</f>
        <v/>
      </c>
      <c r="N51" s="111" t="str">
        <f>IF(F51="","",INDEX('All Data'!$AA:$AA,MATCH(F51,'All Data'!$O:$O,0)))</f>
        <v/>
      </c>
      <c r="O51" s="112" t="str">
        <f>IF(F51="","",INDEX('All Data'!$U:$U,MATCH(F51,'All Data'!$O:$O,0)))</f>
        <v/>
      </c>
      <c r="P51" s="150" t="str">
        <f>IF(F51="","",INDEX('All Data'!$V:$V,MATCH(F51,'All Data'!$O:$O,0)))</f>
        <v/>
      </c>
      <c r="Q51" s="228" t="str">
        <f>IF(F51="","",INDEX('All Data'!$AK:$AK,MATCH(F51,'All Data'!$O:$O,0)))</f>
        <v/>
      </c>
      <c r="R51" s="112" t="str">
        <f>IF(F51="","",INDEX('All Data'!$I:$I,MATCH(F51,'All Data'!$O:$O,0)))</f>
        <v/>
      </c>
      <c r="S51" s="150" t="str">
        <f>IF(F51="","",INDEX('All Data'!$K:$K,MATCH(F51,'All Data'!$O:$O,0)))</f>
        <v/>
      </c>
      <c r="T51" s="151" t="str">
        <f>IF(F51="","",INDEX('All Data'!$AS:$AS,MATCH(F51,'All Data'!$O:$O,0)))</f>
        <v/>
      </c>
      <c r="U51" s="573" t="str">
        <f t="shared" si="0"/>
        <v/>
      </c>
      <c r="V51" s="49"/>
    </row>
    <row r="52" spans="1:22" ht="18">
      <c r="A52" s="62"/>
      <c r="B52" s="63"/>
      <c r="C52" s="62"/>
      <c r="D52" s="60" t="str">
        <f>IF(F52="","",INDEX('All Data'!$F:$F,MATCH(F52,'All Data'!$O:$O,0)))</f>
        <v/>
      </c>
      <c r="E52" s="48" t="str">
        <f>IF(F52&lt;&gt;"",COUNTIF($F$7:F52,"*")&amp;".","")</f>
        <v/>
      </c>
      <c r="F52" s="116"/>
      <c r="G52" s="115" t="str">
        <f>IF(F52="","",INDEX('All Data'!$N:$N,MATCH(F52,'All Data'!$O:$O,0)))</f>
        <v/>
      </c>
      <c r="H52" s="114" t="str">
        <f>IF(F52="","",INDEX('All Data'!$Q:$Q,MATCH(F52,'All Data'!$O:$O,0)))</f>
        <v/>
      </c>
      <c r="I52" s="113" t="str">
        <f>IF(F52="","",INDEX('All Data'!$AF:$AF,MATCH(F52,'All Data'!$O:$O,0)))</f>
        <v/>
      </c>
      <c r="J52" s="60" t="str">
        <f>IF(F52="","",INDEX('All Data'!$AD:$AD,MATCH(F52,'All Data'!$O:$O,0)))</f>
        <v/>
      </c>
      <c r="K52" s="112" t="str">
        <f>IF(F52="","",INDEX('All Data'!$X:$X,MATCH(F52,'All Data'!$O:$O,0)))</f>
        <v/>
      </c>
      <c r="L52" s="60" t="str">
        <f>IF(F52="","",INDEX('All Data'!$Y:$Y,MATCH(F52,'All Data'!$O:$O,0)))</f>
        <v/>
      </c>
      <c r="M52" s="112" t="str">
        <f>IF(F52="","",INDEX('All Data'!$Z:$Z,MATCH(F52,'All Data'!$O:$O,0)))</f>
        <v/>
      </c>
      <c r="N52" s="111" t="str">
        <f>IF(F52="","",INDEX('All Data'!$AA:$AA,MATCH(F52,'All Data'!$O:$O,0)))</f>
        <v/>
      </c>
      <c r="O52" s="112" t="str">
        <f>IF(F52="","",INDEX('All Data'!$U:$U,MATCH(F52,'All Data'!$O:$O,0)))</f>
        <v/>
      </c>
      <c r="P52" s="150" t="str">
        <f>IF(F52="","",INDEX('All Data'!$V:$V,MATCH(F52,'All Data'!$O:$O,0)))</f>
        <v/>
      </c>
      <c r="Q52" s="228" t="str">
        <f>IF(F52="","",INDEX('All Data'!$AK:$AK,MATCH(F52,'All Data'!$O:$O,0)))</f>
        <v/>
      </c>
      <c r="R52" s="112" t="str">
        <f>IF(F52="","",INDEX('All Data'!$I:$I,MATCH(F52,'All Data'!$O:$O,0)))</f>
        <v/>
      </c>
      <c r="S52" s="150" t="str">
        <f>IF(F52="","",INDEX('All Data'!$K:$K,MATCH(F52,'All Data'!$O:$O,0)))</f>
        <v/>
      </c>
      <c r="T52" s="151" t="str">
        <f>IF(F52="","",INDEX('All Data'!$AS:$AS,MATCH(F52,'All Data'!$O:$O,0)))</f>
        <v/>
      </c>
      <c r="U52" s="573" t="str">
        <f t="shared" si="0"/>
        <v/>
      </c>
      <c r="V52" s="49"/>
    </row>
    <row r="53" spans="1:22" ht="18">
      <c r="A53" s="62"/>
      <c r="B53" s="63"/>
      <c r="C53" s="62"/>
      <c r="D53" s="60" t="str">
        <f>IF(F53="","",INDEX('All Data'!$F:$F,MATCH(F53,'All Data'!$O:$O,0)))</f>
        <v/>
      </c>
      <c r="E53" s="48" t="str">
        <f>IF(F53&lt;&gt;"",COUNTIF($F$7:F53,"*")&amp;".","")</f>
        <v/>
      </c>
      <c r="F53" s="116"/>
      <c r="G53" s="115" t="str">
        <f>IF(F53="","",INDEX('All Data'!$N:$N,MATCH(F53,'All Data'!$O:$O,0)))</f>
        <v/>
      </c>
      <c r="H53" s="114" t="str">
        <f>IF(F53="","",INDEX('All Data'!$Q:$Q,MATCH(F53,'All Data'!$O:$O,0)))</f>
        <v/>
      </c>
      <c r="I53" s="113" t="str">
        <f>IF(F53="","",INDEX('All Data'!$AF:$AF,MATCH(F53,'All Data'!$O:$O,0)))</f>
        <v/>
      </c>
      <c r="J53" s="60" t="str">
        <f>IF(F53="","",INDEX('All Data'!$AD:$AD,MATCH(F53,'All Data'!$O:$O,0)))</f>
        <v/>
      </c>
      <c r="K53" s="112" t="str">
        <f>IF(F53="","",INDEX('All Data'!$X:$X,MATCH(F53,'All Data'!$O:$O,0)))</f>
        <v/>
      </c>
      <c r="L53" s="60" t="str">
        <f>IF(F53="","",INDEX('All Data'!$Y:$Y,MATCH(F53,'All Data'!$O:$O,0)))</f>
        <v/>
      </c>
      <c r="M53" s="112" t="str">
        <f>IF(F53="","",INDEX('All Data'!$Z:$Z,MATCH(F53,'All Data'!$O:$O,0)))</f>
        <v/>
      </c>
      <c r="N53" s="111" t="str">
        <f>IF(F53="","",INDEX('All Data'!$AA:$AA,MATCH(F53,'All Data'!$O:$O,0)))</f>
        <v/>
      </c>
      <c r="O53" s="112" t="str">
        <f>IF(F53="","",INDEX('All Data'!$U:$U,MATCH(F53,'All Data'!$O:$O,0)))</f>
        <v/>
      </c>
      <c r="P53" s="150" t="str">
        <f>IF(F53="","",INDEX('All Data'!$V:$V,MATCH(F53,'All Data'!$O:$O,0)))</f>
        <v/>
      </c>
      <c r="Q53" s="228" t="str">
        <f>IF(F53="","",INDEX('All Data'!$AK:$AK,MATCH(F53,'All Data'!$O:$O,0)))</f>
        <v/>
      </c>
      <c r="R53" s="112" t="str">
        <f>IF(F53="","",INDEX('All Data'!$I:$I,MATCH(F53,'All Data'!$O:$O,0)))</f>
        <v/>
      </c>
      <c r="S53" s="150" t="str">
        <f>IF(F53="","",INDEX('All Data'!$K:$K,MATCH(F53,'All Data'!$O:$O,0)))</f>
        <v/>
      </c>
      <c r="T53" s="151" t="str">
        <f>IF(F53="","",INDEX('All Data'!$AS:$AS,MATCH(F53,'All Data'!$O:$O,0)))</f>
        <v/>
      </c>
      <c r="U53" s="573" t="str">
        <f t="shared" si="0"/>
        <v/>
      </c>
      <c r="V53" s="49"/>
    </row>
    <row r="54" spans="1:22" ht="18">
      <c r="A54" s="62"/>
      <c r="B54" s="63"/>
      <c r="C54" s="62"/>
      <c r="D54" s="60" t="str">
        <f>IF(F54="","",INDEX('All Data'!$F:$F,MATCH(F54,'All Data'!$O:$O,0)))</f>
        <v/>
      </c>
      <c r="E54" s="48" t="str">
        <f>IF(F54&lt;&gt;"",COUNTIF($F$7:F54,"*")&amp;".","")</f>
        <v/>
      </c>
      <c r="F54" s="116"/>
      <c r="G54" s="115" t="str">
        <f>IF(F54="","",INDEX('All Data'!$N:$N,MATCH(F54,'All Data'!$O:$O,0)))</f>
        <v/>
      </c>
      <c r="H54" s="114" t="str">
        <f>IF(F54="","",INDEX('All Data'!$Q:$Q,MATCH(F54,'All Data'!$O:$O,0)))</f>
        <v/>
      </c>
      <c r="I54" s="113" t="str">
        <f>IF(F54="","",INDEX('All Data'!$AF:$AF,MATCH(F54,'All Data'!$O:$O,0)))</f>
        <v/>
      </c>
      <c r="J54" s="60" t="str">
        <f>IF(F54="","",INDEX('All Data'!$AD:$AD,MATCH(F54,'All Data'!$O:$O,0)))</f>
        <v/>
      </c>
      <c r="K54" s="112" t="str">
        <f>IF(F54="","",INDEX('All Data'!$X:$X,MATCH(F54,'All Data'!$O:$O,0)))</f>
        <v/>
      </c>
      <c r="L54" s="60" t="str">
        <f>IF(F54="","",INDEX('All Data'!$Y:$Y,MATCH(F54,'All Data'!$O:$O,0)))</f>
        <v/>
      </c>
      <c r="M54" s="112" t="str">
        <f>IF(F54="","",INDEX('All Data'!$Z:$Z,MATCH(F54,'All Data'!$O:$O,0)))</f>
        <v/>
      </c>
      <c r="N54" s="111" t="str">
        <f>IF(F54="","",INDEX('All Data'!$AA:$AA,MATCH(F54,'All Data'!$O:$O,0)))</f>
        <v/>
      </c>
      <c r="O54" s="112" t="str">
        <f>IF(F54="","",INDEX('All Data'!$U:$U,MATCH(F54,'All Data'!$O:$O,0)))</f>
        <v/>
      </c>
      <c r="P54" s="150" t="str">
        <f>IF(F54="","",INDEX('All Data'!$V:$V,MATCH(F54,'All Data'!$O:$O,0)))</f>
        <v/>
      </c>
      <c r="Q54" s="228" t="str">
        <f>IF(F54="","",INDEX('All Data'!$AK:$AK,MATCH(F54,'All Data'!$O:$O,0)))</f>
        <v/>
      </c>
      <c r="R54" s="112" t="str">
        <f>IF(F54="","",INDEX('All Data'!$I:$I,MATCH(F54,'All Data'!$O:$O,0)))</f>
        <v/>
      </c>
      <c r="S54" s="150" t="str">
        <f>IF(F54="","",INDEX('All Data'!$K:$K,MATCH(F54,'All Data'!$O:$O,0)))</f>
        <v/>
      </c>
      <c r="T54" s="151" t="str">
        <f>IF(F54="","",INDEX('All Data'!$AS:$AS,MATCH(F54,'All Data'!$O:$O,0)))</f>
        <v/>
      </c>
      <c r="U54" s="573" t="str">
        <f t="shared" si="0"/>
        <v/>
      </c>
      <c r="V54" s="49"/>
    </row>
    <row r="55" spans="1:22" ht="18">
      <c r="A55" s="62"/>
      <c r="B55" s="63"/>
      <c r="C55" s="62"/>
      <c r="D55" s="60" t="str">
        <f>IF(F55="","",INDEX('All Data'!$F:$F,MATCH(F55,'All Data'!$O:$O,0)))</f>
        <v/>
      </c>
      <c r="E55" s="48" t="str">
        <f>IF(F55&lt;&gt;"",COUNTIF($F$7:F55,"*")&amp;".","")</f>
        <v/>
      </c>
      <c r="F55" s="116"/>
      <c r="G55" s="115" t="str">
        <f>IF(F55="","",INDEX('All Data'!$N:$N,MATCH(F55,'All Data'!$O:$O,0)))</f>
        <v/>
      </c>
      <c r="H55" s="114" t="str">
        <f>IF(F55="","",INDEX('All Data'!$Q:$Q,MATCH(F55,'All Data'!$O:$O,0)))</f>
        <v/>
      </c>
      <c r="I55" s="113" t="str">
        <f>IF(F55="","",INDEX('All Data'!$AF:$AF,MATCH(F55,'All Data'!$O:$O,0)))</f>
        <v/>
      </c>
      <c r="J55" s="60" t="str">
        <f>IF(F55="","",INDEX('All Data'!$AD:$AD,MATCH(F55,'All Data'!$O:$O,0)))</f>
        <v/>
      </c>
      <c r="K55" s="112" t="str">
        <f>IF(F55="","",INDEX('All Data'!$X:$X,MATCH(F55,'All Data'!$O:$O,0)))</f>
        <v/>
      </c>
      <c r="L55" s="60" t="str">
        <f>IF(F55="","",INDEX('All Data'!$Y:$Y,MATCH(F55,'All Data'!$O:$O,0)))</f>
        <v/>
      </c>
      <c r="M55" s="112" t="str">
        <f>IF(F55="","",INDEX('All Data'!$Z:$Z,MATCH(F55,'All Data'!$O:$O,0)))</f>
        <v/>
      </c>
      <c r="N55" s="111" t="str">
        <f>IF(F55="","",INDEX('All Data'!$AA:$AA,MATCH(F55,'All Data'!$O:$O,0)))</f>
        <v/>
      </c>
      <c r="O55" s="112" t="str">
        <f>IF(F55="","",INDEX('All Data'!$U:$U,MATCH(F55,'All Data'!$O:$O,0)))</f>
        <v/>
      </c>
      <c r="P55" s="150" t="str">
        <f>IF(F55="","",INDEX('All Data'!$V:$V,MATCH(F55,'All Data'!$O:$O,0)))</f>
        <v/>
      </c>
      <c r="Q55" s="228" t="str">
        <f>IF(F55="","",INDEX('All Data'!$AK:$AK,MATCH(F55,'All Data'!$O:$O,0)))</f>
        <v/>
      </c>
      <c r="R55" s="112" t="str">
        <f>IF(F55="","",INDEX('All Data'!$I:$I,MATCH(F55,'All Data'!$O:$O,0)))</f>
        <v/>
      </c>
      <c r="S55" s="150" t="str">
        <f>IF(F55="","",INDEX('All Data'!$K:$K,MATCH(F55,'All Data'!$O:$O,0)))</f>
        <v/>
      </c>
      <c r="T55" s="151" t="str">
        <f>IF(F55="","",INDEX('All Data'!$AS:$AS,MATCH(F55,'All Data'!$O:$O,0)))</f>
        <v/>
      </c>
      <c r="U55" s="573" t="str">
        <f t="shared" si="0"/>
        <v/>
      </c>
      <c r="V55" s="49"/>
    </row>
    <row r="56" spans="1:22" ht="18">
      <c r="A56" s="62"/>
      <c r="B56" s="63"/>
      <c r="C56" s="62"/>
      <c r="D56" s="60" t="str">
        <f>IF(F56="","",INDEX('All Data'!$F:$F,MATCH(F56,'All Data'!$O:$O,0)))</f>
        <v/>
      </c>
      <c r="E56" s="48" t="str">
        <f>IF(F56&lt;&gt;"",COUNTIF($F$7:F56,"*")&amp;".","")</f>
        <v/>
      </c>
      <c r="F56" s="116"/>
      <c r="G56" s="115" t="str">
        <f>IF(F56="","",INDEX('All Data'!$N:$N,MATCH(F56,'All Data'!$O:$O,0)))</f>
        <v/>
      </c>
      <c r="H56" s="114" t="str">
        <f>IF(F56="","",INDEX('All Data'!$Q:$Q,MATCH(F56,'All Data'!$O:$O,0)))</f>
        <v/>
      </c>
      <c r="I56" s="113" t="str">
        <f>IF(F56="","",INDEX('All Data'!$AF:$AF,MATCH(F56,'All Data'!$O:$O,0)))</f>
        <v/>
      </c>
      <c r="J56" s="60" t="str">
        <f>IF(F56="","",INDEX('All Data'!$AD:$AD,MATCH(F56,'All Data'!$O:$O,0)))</f>
        <v/>
      </c>
      <c r="K56" s="112" t="str">
        <f>IF(F56="","",INDEX('All Data'!$X:$X,MATCH(F56,'All Data'!$O:$O,0)))</f>
        <v/>
      </c>
      <c r="L56" s="60" t="str">
        <f>IF(F56="","",INDEX('All Data'!$Y:$Y,MATCH(F56,'All Data'!$O:$O,0)))</f>
        <v/>
      </c>
      <c r="M56" s="112" t="str">
        <f>IF(F56="","",INDEX('All Data'!$Z:$Z,MATCH(F56,'All Data'!$O:$O,0)))</f>
        <v/>
      </c>
      <c r="N56" s="111" t="str">
        <f>IF(F56="","",INDEX('All Data'!$AA:$AA,MATCH(F56,'All Data'!$O:$O,0)))</f>
        <v/>
      </c>
      <c r="O56" s="112" t="str">
        <f>IF(F56="","",INDEX('All Data'!$U:$U,MATCH(F56,'All Data'!$O:$O,0)))</f>
        <v/>
      </c>
      <c r="P56" s="150" t="str">
        <f>IF(F56="","",INDEX('All Data'!$V:$V,MATCH(F56,'All Data'!$O:$O,0)))</f>
        <v/>
      </c>
      <c r="Q56" s="228" t="str">
        <f>IF(F56="","",INDEX('All Data'!$AK:$AK,MATCH(F56,'All Data'!$O:$O,0)))</f>
        <v/>
      </c>
      <c r="R56" s="112" t="str">
        <f>IF(F56="","",INDEX('All Data'!$I:$I,MATCH(F56,'All Data'!$O:$O,0)))</f>
        <v/>
      </c>
      <c r="S56" s="150" t="str">
        <f>IF(F56="","",INDEX('All Data'!$K:$K,MATCH(F56,'All Data'!$O:$O,0)))</f>
        <v/>
      </c>
      <c r="T56" s="151" t="str">
        <f>IF(F56="","",INDEX('All Data'!$AS:$AS,MATCH(F56,'All Data'!$O:$O,0)))</f>
        <v/>
      </c>
      <c r="U56" s="573" t="str">
        <f t="shared" si="0"/>
        <v/>
      </c>
      <c r="V56" s="49"/>
    </row>
    <row r="57" spans="1:22" ht="18">
      <c r="A57" s="62"/>
      <c r="B57" s="63"/>
      <c r="C57" s="62"/>
      <c r="D57" s="60" t="str">
        <f>IF(F57="","",INDEX('All Data'!$F:$F,MATCH(F57,'All Data'!$O:$O,0)))</f>
        <v/>
      </c>
      <c r="E57" s="48" t="str">
        <f>IF(F57&lt;&gt;"",COUNTIF($F$7:F57,"*")&amp;".","")</f>
        <v/>
      </c>
      <c r="F57" s="116"/>
      <c r="G57" s="115" t="str">
        <f>IF(F57="","",INDEX('All Data'!$N:$N,MATCH(F57,'All Data'!$O:$O,0)))</f>
        <v/>
      </c>
      <c r="H57" s="114" t="str">
        <f>IF(F57="","",INDEX('All Data'!$Q:$Q,MATCH(F57,'All Data'!$O:$O,0)))</f>
        <v/>
      </c>
      <c r="I57" s="113" t="str">
        <f>IF(F57="","",INDEX('All Data'!$AF:$AF,MATCH(F57,'All Data'!$O:$O,0)))</f>
        <v/>
      </c>
      <c r="J57" s="60" t="str">
        <f>IF(F57="","",INDEX('All Data'!$AD:$AD,MATCH(F57,'All Data'!$O:$O,0)))</f>
        <v/>
      </c>
      <c r="K57" s="112" t="str">
        <f>IF(F57="","",INDEX('All Data'!$X:$X,MATCH(F57,'All Data'!$O:$O,0)))</f>
        <v/>
      </c>
      <c r="L57" s="60" t="str">
        <f>IF(F57="","",INDEX('All Data'!$Y:$Y,MATCH(F57,'All Data'!$O:$O,0)))</f>
        <v/>
      </c>
      <c r="M57" s="112" t="str">
        <f>IF(F57="","",INDEX('All Data'!$Z:$Z,MATCH(F57,'All Data'!$O:$O,0)))</f>
        <v/>
      </c>
      <c r="N57" s="111" t="str">
        <f>IF(F57="","",INDEX('All Data'!$AA:$AA,MATCH(F57,'All Data'!$O:$O,0)))</f>
        <v/>
      </c>
      <c r="O57" s="112" t="str">
        <f>IF(F57="","",INDEX('All Data'!$U:$U,MATCH(F57,'All Data'!$O:$O,0)))</f>
        <v/>
      </c>
      <c r="P57" s="150" t="str">
        <f>IF(F57="","",INDEX('All Data'!$V:$V,MATCH(F57,'All Data'!$O:$O,0)))</f>
        <v/>
      </c>
      <c r="Q57" s="228" t="str">
        <f>IF(F57="","",INDEX('All Data'!$AK:$AK,MATCH(F57,'All Data'!$O:$O,0)))</f>
        <v/>
      </c>
      <c r="R57" s="112" t="str">
        <f>IF(F57="","",INDEX('All Data'!$I:$I,MATCH(F57,'All Data'!$O:$O,0)))</f>
        <v/>
      </c>
      <c r="S57" s="150" t="str">
        <f>IF(F57="","",INDEX('All Data'!$K:$K,MATCH(F57,'All Data'!$O:$O,0)))</f>
        <v/>
      </c>
      <c r="T57" s="151" t="str">
        <f>IF(F57="","",INDEX('All Data'!$AS:$AS,MATCH(F57,'All Data'!$O:$O,0)))</f>
        <v/>
      </c>
      <c r="U57" s="573" t="str">
        <f t="shared" si="0"/>
        <v/>
      </c>
      <c r="V57" s="49"/>
    </row>
    <row r="58" spans="1:22" ht="18">
      <c r="A58" s="62"/>
      <c r="B58" s="63"/>
      <c r="C58" s="62"/>
      <c r="D58" s="60" t="str">
        <f>IF(F58="","",INDEX('All Data'!$F:$F,MATCH(F58,'All Data'!$O:$O,0)))</f>
        <v/>
      </c>
      <c r="E58" s="48" t="str">
        <f>IF(F58&lt;&gt;"",COUNTIF($F$7:F58,"*")&amp;".","")</f>
        <v/>
      </c>
      <c r="F58" s="116"/>
      <c r="G58" s="115" t="str">
        <f>IF(F58="","",INDEX('All Data'!$N:$N,MATCH(F58,'All Data'!$O:$O,0)))</f>
        <v/>
      </c>
      <c r="H58" s="114" t="str">
        <f>IF(F58="","",INDEX('All Data'!$Q:$Q,MATCH(F58,'All Data'!$O:$O,0)))</f>
        <v/>
      </c>
      <c r="I58" s="113" t="str">
        <f>IF(F58="","",INDEX('All Data'!$AF:$AF,MATCH(F58,'All Data'!$O:$O,0)))</f>
        <v/>
      </c>
      <c r="J58" s="60" t="str">
        <f>IF(F58="","",INDEX('All Data'!$AD:$AD,MATCH(F58,'All Data'!$O:$O,0)))</f>
        <v/>
      </c>
      <c r="K58" s="112" t="str">
        <f>IF(F58="","",INDEX('All Data'!$X:$X,MATCH(F58,'All Data'!$O:$O,0)))</f>
        <v/>
      </c>
      <c r="L58" s="60" t="str">
        <f>IF(F58="","",INDEX('All Data'!$Y:$Y,MATCH(F58,'All Data'!$O:$O,0)))</f>
        <v/>
      </c>
      <c r="M58" s="112" t="str">
        <f>IF(F58="","",INDEX('All Data'!$Z:$Z,MATCH(F58,'All Data'!$O:$O,0)))</f>
        <v/>
      </c>
      <c r="N58" s="111" t="str">
        <f>IF(F58="","",INDEX('All Data'!$AA:$AA,MATCH(F58,'All Data'!$O:$O,0)))</f>
        <v/>
      </c>
      <c r="O58" s="112" t="str">
        <f>IF(F58="","",INDEX('All Data'!$U:$U,MATCH(F58,'All Data'!$O:$O,0)))</f>
        <v/>
      </c>
      <c r="P58" s="150" t="str">
        <f>IF(F58="","",INDEX('All Data'!$V:$V,MATCH(F58,'All Data'!$O:$O,0)))</f>
        <v/>
      </c>
      <c r="Q58" s="228" t="str">
        <f>IF(F58="","",INDEX('All Data'!$AK:$AK,MATCH(F58,'All Data'!$O:$O,0)))</f>
        <v/>
      </c>
      <c r="R58" s="112" t="str">
        <f>IF(F58="","",INDEX('All Data'!$I:$I,MATCH(F58,'All Data'!$O:$O,0)))</f>
        <v/>
      </c>
      <c r="S58" s="150" t="str">
        <f>IF(F58="","",INDEX('All Data'!$K:$K,MATCH(F58,'All Data'!$O:$O,0)))</f>
        <v/>
      </c>
      <c r="T58" s="151" t="str">
        <f>IF(F58="","",INDEX('All Data'!$AS:$AS,MATCH(F58,'All Data'!$O:$O,0)))</f>
        <v/>
      </c>
      <c r="U58" s="573" t="str">
        <f t="shared" si="0"/>
        <v/>
      </c>
      <c r="V58" s="49"/>
    </row>
    <row r="59" spans="1:22" ht="18">
      <c r="A59" s="62"/>
      <c r="B59" s="63"/>
      <c r="C59" s="62"/>
      <c r="D59" s="60" t="str">
        <f>IF(F59="","",INDEX('All Data'!$F:$F,MATCH(F59,'All Data'!$O:$O,0)))</f>
        <v/>
      </c>
      <c r="E59" s="48" t="str">
        <f>IF(F59&lt;&gt;"",COUNTIF($F$7:F59,"*")&amp;".","")</f>
        <v/>
      </c>
      <c r="F59" s="116"/>
      <c r="G59" s="115" t="str">
        <f>IF(F59="","",INDEX('All Data'!$N:$N,MATCH(F59,'All Data'!$O:$O,0)))</f>
        <v/>
      </c>
      <c r="H59" s="114" t="str">
        <f>IF(F59="","",INDEX('All Data'!$Q:$Q,MATCH(F59,'All Data'!$O:$O,0)))</f>
        <v/>
      </c>
      <c r="I59" s="113" t="str">
        <f>IF(F59="","",INDEX('All Data'!$AF:$AF,MATCH(F59,'All Data'!$O:$O,0)))</f>
        <v/>
      </c>
      <c r="J59" s="60" t="str">
        <f>IF(F59="","",INDEX('All Data'!$AD:$AD,MATCH(F59,'All Data'!$O:$O,0)))</f>
        <v/>
      </c>
      <c r="K59" s="112" t="str">
        <f>IF(F59="","",INDEX('All Data'!$X:$X,MATCH(F59,'All Data'!$O:$O,0)))</f>
        <v/>
      </c>
      <c r="L59" s="60" t="str">
        <f>IF(F59="","",INDEX('All Data'!$Y:$Y,MATCH(F59,'All Data'!$O:$O,0)))</f>
        <v/>
      </c>
      <c r="M59" s="112" t="str">
        <f>IF(F59="","",INDEX('All Data'!$Z:$Z,MATCH(F59,'All Data'!$O:$O,0)))</f>
        <v/>
      </c>
      <c r="N59" s="111" t="str">
        <f>IF(F59="","",INDEX('All Data'!$AA:$AA,MATCH(F59,'All Data'!$O:$O,0)))</f>
        <v/>
      </c>
      <c r="O59" s="112" t="str">
        <f>IF(F59="","",INDEX('All Data'!$U:$U,MATCH(F59,'All Data'!$O:$O,0)))</f>
        <v/>
      </c>
      <c r="P59" s="150" t="str">
        <f>IF(F59="","",INDEX('All Data'!$V:$V,MATCH(F59,'All Data'!$O:$O,0)))</f>
        <v/>
      </c>
      <c r="Q59" s="228" t="str">
        <f>IF(F59="","",INDEX('All Data'!$AK:$AK,MATCH(F59,'All Data'!$O:$O,0)))</f>
        <v/>
      </c>
      <c r="R59" s="112" t="str">
        <f>IF(F59="","",INDEX('All Data'!$I:$I,MATCH(F59,'All Data'!$O:$O,0)))</f>
        <v/>
      </c>
      <c r="S59" s="150" t="str">
        <f>IF(F59="","",INDEX('All Data'!$K:$K,MATCH(F59,'All Data'!$O:$O,0)))</f>
        <v/>
      </c>
      <c r="T59" s="151" t="str">
        <f>IF(F59="","",INDEX('All Data'!$AS:$AS,MATCH(F59,'All Data'!$O:$O,0)))</f>
        <v/>
      </c>
      <c r="U59" s="573" t="str">
        <f t="shared" si="0"/>
        <v/>
      </c>
      <c r="V59" s="49"/>
    </row>
    <row r="60" spans="1:22" ht="18">
      <c r="A60" s="62"/>
      <c r="B60" s="63"/>
      <c r="C60" s="62"/>
      <c r="D60" s="60" t="str">
        <f>IF(F60="","",INDEX('All Data'!$F:$F,MATCH(F60,'All Data'!$O:$O,0)))</f>
        <v/>
      </c>
      <c r="E60" s="48" t="str">
        <f>IF(F60&lt;&gt;"",COUNTIF($F$7:F60,"*")&amp;".","")</f>
        <v/>
      </c>
      <c r="F60" s="116"/>
      <c r="G60" s="115" t="str">
        <f>IF(F60="","",INDEX('All Data'!$N:$N,MATCH(F60,'All Data'!$O:$O,0)))</f>
        <v/>
      </c>
      <c r="H60" s="114" t="str">
        <f>IF(F60="","",INDEX('All Data'!$Q:$Q,MATCH(F60,'All Data'!$O:$O,0)))</f>
        <v/>
      </c>
      <c r="I60" s="113" t="str">
        <f>IF(F60="","",INDEX('All Data'!$AF:$AF,MATCH(F60,'All Data'!$O:$O,0)))</f>
        <v/>
      </c>
      <c r="J60" s="60" t="str">
        <f>IF(F60="","",INDEX('All Data'!$AD:$AD,MATCH(F60,'All Data'!$O:$O,0)))</f>
        <v/>
      </c>
      <c r="K60" s="112" t="str">
        <f>IF(F60="","",INDEX('All Data'!$X:$X,MATCH(F60,'All Data'!$O:$O,0)))</f>
        <v/>
      </c>
      <c r="L60" s="60" t="str">
        <f>IF(F60="","",INDEX('All Data'!$Y:$Y,MATCH(F60,'All Data'!$O:$O,0)))</f>
        <v/>
      </c>
      <c r="M60" s="112" t="str">
        <f>IF(F60="","",INDEX('All Data'!$Z:$Z,MATCH(F60,'All Data'!$O:$O,0)))</f>
        <v/>
      </c>
      <c r="N60" s="111" t="str">
        <f>IF(F60="","",INDEX('All Data'!$AA:$AA,MATCH(F60,'All Data'!$O:$O,0)))</f>
        <v/>
      </c>
      <c r="O60" s="112" t="str">
        <f>IF(F60="","",INDEX('All Data'!$U:$U,MATCH(F60,'All Data'!$O:$O,0)))</f>
        <v/>
      </c>
      <c r="P60" s="150" t="str">
        <f>IF(F60="","",INDEX('All Data'!$V:$V,MATCH(F60,'All Data'!$O:$O,0)))</f>
        <v/>
      </c>
      <c r="Q60" s="228" t="str">
        <f>IF(F60="","",INDEX('All Data'!$AK:$AK,MATCH(F60,'All Data'!$O:$O,0)))</f>
        <v/>
      </c>
      <c r="R60" s="112" t="str">
        <f>IF(F60="","",INDEX('All Data'!$I:$I,MATCH(F60,'All Data'!$O:$O,0)))</f>
        <v/>
      </c>
      <c r="S60" s="150" t="str">
        <f>IF(F60="","",INDEX('All Data'!$K:$K,MATCH(F60,'All Data'!$O:$O,0)))</f>
        <v/>
      </c>
      <c r="T60" s="151" t="str">
        <f>IF(F60="","",INDEX('All Data'!$AS:$AS,MATCH(F60,'All Data'!$O:$O,0)))</f>
        <v/>
      </c>
      <c r="U60" s="573" t="str">
        <f t="shared" si="0"/>
        <v/>
      </c>
      <c r="V60" s="49"/>
    </row>
    <row r="61" spans="1:22" ht="18">
      <c r="A61" s="62"/>
      <c r="B61" s="63"/>
      <c r="C61" s="62"/>
      <c r="D61" s="60" t="str">
        <f>IF(F61="","",INDEX('All Data'!$F:$F,MATCH(F61,'All Data'!$O:$O,0)))</f>
        <v/>
      </c>
      <c r="E61" s="48" t="str">
        <f>IF(F61&lt;&gt;"",COUNTIF($F$7:F61,"*")&amp;".","")</f>
        <v/>
      </c>
      <c r="F61" s="116"/>
      <c r="G61" s="115" t="str">
        <f>IF(F61="","",INDEX('All Data'!$N:$N,MATCH(F61,'All Data'!$O:$O,0)))</f>
        <v/>
      </c>
      <c r="H61" s="114" t="str">
        <f>IF(F61="","",INDEX('All Data'!$Q:$Q,MATCH(F61,'All Data'!$O:$O,0)))</f>
        <v/>
      </c>
      <c r="I61" s="113" t="str">
        <f>IF(F61="","",INDEX('All Data'!$AF:$AF,MATCH(F61,'All Data'!$O:$O,0)))</f>
        <v/>
      </c>
      <c r="J61" s="60" t="str">
        <f>IF(F61="","",INDEX('All Data'!$AD:$AD,MATCH(F61,'All Data'!$O:$O,0)))</f>
        <v/>
      </c>
      <c r="K61" s="112" t="str">
        <f>IF(F61="","",INDEX('All Data'!$X:$X,MATCH(F61,'All Data'!$O:$O,0)))</f>
        <v/>
      </c>
      <c r="L61" s="60" t="str">
        <f>IF(F61="","",INDEX('All Data'!$Y:$Y,MATCH(F61,'All Data'!$O:$O,0)))</f>
        <v/>
      </c>
      <c r="M61" s="112" t="str">
        <f>IF(F61="","",INDEX('All Data'!$Z:$Z,MATCH(F61,'All Data'!$O:$O,0)))</f>
        <v/>
      </c>
      <c r="N61" s="111" t="str">
        <f>IF(F61="","",INDEX('All Data'!$AA:$AA,MATCH(F61,'All Data'!$O:$O,0)))</f>
        <v/>
      </c>
      <c r="O61" s="112" t="str">
        <f>IF(F61="","",INDEX('All Data'!$U:$U,MATCH(F61,'All Data'!$O:$O,0)))</f>
        <v/>
      </c>
      <c r="P61" s="150" t="str">
        <f>IF(F61="","",INDEX('All Data'!$V:$V,MATCH(F61,'All Data'!$O:$O,0)))</f>
        <v/>
      </c>
      <c r="Q61" s="228" t="str">
        <f>IF(F61="","",INDEX('All Data'!$AK:$AK,MATCH(F61,'All Data'!$O:$O,0)))</f>
        <v/>
      </c>
      <c r="R61" s="112" t="str">
        <f>IF(F61="","",INDEX('All Data'!$I:$I,MATCH(F61,'All Data'!$O:$O,0)))</f>
        <v/>
      </c>
      <c r="S61" s="150" t="str">
        <f>IF(F61="","",INDEX('All Data'!$K:$K,MATCH(F61,'All Data'!$O:$O,0)))</f>
        <v/>
      </c>
      <c r="T61" s="151" t="str">
        <f>IF(F61="","",INDEX('All Data'!$AS:$AS,MATCH(F61,'All Data'!$O:$O,0)))</f>
        <v/>
      </c>
      <c r="U61" s="573" t="str">
        <f t="shared" si="0"/>
        <v/>
      </c>
      <c r="V61" s="49"/>
    </row>
    <row r="62" spans="1:22" ht="18">
      <c r="A62" s="62"/>
      <c r="B62" s="63"/>
      <c r="C62" s="62"/>
      <c r="D62" s="60" t="str">
        <f>IF(F62="","",INDEX('All Data'!$F:$F,MATCH(F62,'All Data'!$O:$O,0)))</f>
        <v/>
      </c>
      <c r="E62" s="48" t="str">
        <f>IF(F62&lt;&gt;"",COUNTIF($F$7:F62,"*")&amp;".","")</f>
        <v/>
      </c>
      <c r="F62" s="116"/>
      <c r="G62" s="115" t="str">
        <f>IF(F62="","",INDEX('All Data'!$N:$N,MATCH(F62,'All Data'!$O:$O,0)))</f>
        <v/>
      </c>
      <c r="H62" s="114" t="str">
        <f>IF(F62="","",INDEX('All Data'!$Q:$Q,MATCH(F62,'All Data'!$O:$O,0)))</f>
        <v/>
      </c>
      <c r="I62" s="113" t="str">
        <f>IF(F62="","",INDEX('All Data'!$AF:$AF,MATCH(F62,'All Data'!$O:$O,0)))</f>
        <v/>
      </c>
      <c r="J62" s="60" t="str">
        <f>IF(F62="","",INDEX('All Data'!$AD:$AD,MATCH(F62,'All Data'!$O:$O,0)))</f>
        <v/>
      </c>
      <c r="K62" s="112" t="str">
        <f>IF(F62="","",INDEX('All Data'!$X:$X,MATCH(F62,'All Data'!$O:$O,0)))</f>
        <v/>
      </c>
      <c r="L62" s="60" t="str">
        <f>IF(F62="","",INDEX('All Data'!$Y:$Y,MATCH(F62,'All Data'!$O:$O,0)))</f>
        <v/>
      </c>
      <c r="M62" s="112" t="str">
        <f>IF(F62="","",INDEX('All Data'!$Z:$Z,MATCH(F62,'All Data'!$O:$O,0)))</f>
        <v/>
      </c>
      <c r="N62" s="111" t="str">
        <f>IF(F62="","",INDEX('All Data'!$AA:$AA,MATCH(F62,'All Data'!$O:$O,0)))</f>
        <v/>
      </c>
      <c r="O62" s="112" t="str">
        <f>IF(F62="","",INDEX('All Data'!$U:$U,MATCH(F62,'All Data'!$O:$O,0)))</f>
        <v/>
      </c>
      <c r="P62" s="150" t="str">
        <f>IF(F62="","",INDEX('All Data'!$V:$V,MATCH(F62,'All Data'!$O:$O,0)))</f>
        <v/>
      </c>
      <c r="Q62" s="228" t="str">
        <f>IF(F62="","",INDEX('All Data'!$AK:$AK,MATCH(F62,'All Data'!$O:$O,0)))</f>
        <v/>
      </c>
      <c r="R62" s="112" t="str">
        <f>IF(F62="","",INDEX('All Data'!$I:$I,MATCH(F62,'All Data'!$O:$O,0)))</f>
        <v/>
      </c>
      <c r="S62" s="150" t="str">
        <f>IF(F62="","",INDEX('All Data'!$K:$K,MATCH(F62,'All Data'!$O:$O,0)))</f>
        <v/>
      </c>
      <c r="T62" s="151" t="str">
        <f>IF(F62="","",INDEX('All Data'!$AS:$AS,MATCH(F62,'All Data'!$O:$O,0)))</f>
        <v/>
      </c>
      <c r="U62" s="573" t="str">
        <f t="shared" si="0"/>
        <v/>
      </c>
      <c r="V62" s="49"/>
    </row>
    <row r="63" spans="1:22" ht="18">
      <c r="A63" s="62"/>
      <c r="B63" s="63"/>
      <c r="C63" s="62"/>
      <c r="D63" s="60" t="str">
        <f>IF(F63="","",INDEX('All Data'!$F:$F,MATCH(F63,'All Data'!$O:$O,0)))</f>
        <v/>
      </c>
      <c r="E63" s="48" t="str">
        <f>IF(F63&lt;&gt;"",COUNTIF($F$7:F63,"*")&amp;".","")</f>
        <v/>
      </c>
      <c r="F63" s="116"/>
      <c r="G63" s="115" t="str">
        <f>IF(F63="","",INDEX('All Data'!$N:$N,MATCH(F63,'All Data'!$O:$O,0)))</f>
        <v/>
      </c>
      <c r="H63" s="114" t="str">
        <f>IF(F63="","",INDEX('All Data'!$Q:$Q,MATCH(F63,'All Data'!$O:$O,0)))</f>
        <v/>
      </c>
      <c r="I63" s="113" t="str">
        <f>IF(F63="","",INDEX('All Data'!$AF:$AF,MATCH(F63,'All Data'!$O:$O,0)))</f>
        <v/>
      </c>
      <c r="J63" s="60" t="str">
        <f>IF(F63="","",INDEX('All Data'!$AD:$AD,MATCH(F63,'All Data'!$O:$O,0)))</f>
        <v/>
      </c>
      <c r="K63" s="112" t="str">
        <f>IF(F63="","",INDEX('All Data'!$X:$X,MATCH(F63,'All Data'!$O:$O,0)))</f>
        <v/>
      </c>
      <c r="L63" s="60" t="str">
        <f>IF(F63="","",INDEX('All Data'!$Y:$Y,MATCH(F63,'All Data'!$O:$O,0)))</f>
        <v/>
      </c>
      <c r="M63" s="112" t="str">
        <f>IF(F63="","",INDEX('All Data'!$Z:$Z,MATCH(F63,'All Data'!$O:$O,0)))</f>
        <v/>
      </c>
      <c r="N63" s="111" t="str">
        <f>IF(F63="","",INDEX('All Data'!$AA:$AA,MATCH(F63,'All Data'!$O:$O,0)))</f>
        <v/>
      </c>
      <c r="O63" s="112" t="str">
        <f>IF(F63="","",INDEX('All Data'!$U:$U,MATCH(F63,'All Data'!$O:$O,0)))</f>
        <v/>
      </c>
      <c r="P63" s="150" t="str">
        <f>IF(F63="","",INDEX('All Data'!$V:$V,MATCH(F63,'All Data'!$O:$O,0)))</f>
        <v/>
      </c>
      <c r="Q63" s="228" t="str">
        <f>IF(F63="","",INDEX('All Data'!$AK:$AK,MATCH(F63,'All Data'!$O:$O,0)))</f>
        <v/>
      </c>
      <c r="R63" s="112" t="str">
        <f>IF(F63="","",INDEX('All Data'!$I:$I,MATCH(F63,'All Data'!$O:$O,0)))</f>
        <v/>
      </c>
      <c r="S63" s="150" t="str">
        <f>IF(F63="","",INDEX('All Data'!$K:$K,MATCH(F63,'All Data'!$O:$O,0)))</f>
        <v/>
      </c>
      <c r="T63" s="151" t="str">
        <f>IF(F63="","",INDEX('All Data'!$AS:$AS,MATCH(F63,'All Data'!$O:$O,0)))</f>
        <v/>
      </c>
      <c r="U63" s="573" t="str">
        <f t="shared" si="0"/>
        <v/>
      </c>
      <c r="V63" s="49"/>
    </row>
    <row r="64" spans="1:22" ht="18">
      <c r="A64" s="62"/>
      <c r="B64" s="63"/>
      <c r="C64" s="62"/>
      <c r="D64" s="60" t="str">
        <f>IF(F64="","",INDEX('All Data'!$F:$F,MATCH(F64,'All Data'!$O:$O,0)))</f>
        <v/>
      </c>
      <c r="E64" s="48" t="str">
        <f>IF(F64&lt;&gt;"",COUNTIF($F$7:F64,"*")&amp;".","")</f>
        <v/>
      </c>
      <c r="F64" s="116"/>
      <c r="G64" s="115" t="str">
        <f>IF(F64="","",INDEX('All Data'!$N:$N,MATCH(F64,'All Data'!$O:$O,0)))</f>
        <v/>
      </c>
      <c r="H64" s="114" t="str">
        <f>IF(F64="","",INDEX('All Data'!$Q:$Q,MATCH(F64,'All Data'!$O:$O,0)))</f>
        <v/>
      </c>
      <c r="I64" s="113" t="str">
        <f>IF(F64="","",INDEX('All Data'!$AF:$AF,MATCH(F64,'All Data'!$O:$O,0)))</f>
        <v/>
      </c>
      <c r="J64" s="60" t="str">
        <f>IF(F64="","",INDEX('All Data'!$AD:$AD,MATCH(F64,'All Data'!$O:$O,0)))</f>
        <v/>
      </c>
      <c r="K64" s="112" t="str">
        <f>IF(F64="","",INDEX('All Data'!$X:$X,MATCH(F64,'All Data'!$O:$O,0)))</f>
        <v/>
      </c>
      <c r="L64" s="60" t="str">
        <f>IF(F64="","",INDEX('All Data'!$Y:$Y,MATCH(F64,'All Data'!$O:$O,0)))</f>
        <v/>
      </c>
      <c r="M64" s="112" t="str">
        <f>IF(F64="","",INDEX('All Data'!$Z:$Z,MATCH(F64,'All Data'!$O:$O,0)))</f>
        <v/>
      </c>
      <c r="N64" s="111" t="str">
        <f>IF(F64="","",INDEX('All Data'!$AA:$AA,MATCH(F64,'All Data'!$O:$O,0)))</f>
        <v/>
      </c>
      <c r="O64" s="112" t="str">
        <f>IF(F64="","",INDEX('All Data'!$U:$U,MATCH(F64,'All Data'!$O:$O,0)))</f>
        <v/>
      </c>
      <c r="P64" s="150" t="str">
        <f>IF(F64="","",INDEX('All Data'!$V:$V,MATCH(F64,'All Data'!$O:$O,0)))</f>
        <v/>
      </c>
      <c r="Q64" s="228" t="str">
        <f>IF(F64="","",INDEX('All Data'!$AK:$AK,MATCH(F64,'All Data'!$O:$O,0)))</f>
        <v/>
      </c>
      <c r="R64" s="112" t="str">
        <f>IF(F64="","",INDEX('All Data'!$I:$I,MATCH(F64,'All Data'!$O:$O,0)))</f>
        <v/>
      </c>
      <c r="S64" s="150" t="str">
        <f>IF(F64="","",INDEX('All Data'!$K:$K,MATCH(F64,'All Data'!$O:$O,0)))</f>
        <v/>
      </c>
      <c r="T64" s="151" t="str">
        <f>IF(F64="","",INDEX('All Data'!$AS:$AS,MATCH(F64,'All Data'!$O:$O,0)))</f>
        <v/>
      </c>
      <c r="U64" s="573" t="str">
        <f t="shared" si="0"/>
        <v/>
      </c>
      <c r="V64" s="49"/>
    </row>
    <row r="65" spans="1:22" ht="18">
      <c r="A65" s="62"/>
      <c r="B65" s="63"/>
      <c r="C65" s="62"/>
      <c r="D65" s="60" t="str">
        <f>IF(F65="","",INDEX('All Data'!$F:$F,MATCH(F65,'All Data'!$O:$O,0)))</f>
        <v/>
      </c>
      <c r="E65" s="48" t="str">
        <f>IF(F65&lt;&gt;"",COUNTIF($F$7:F65,"*")&amp;".","")</f>
        <v/>
      </c>
      <c r="F65" s="116"/>
      <c r="G65" s="115" t="str">
        <f>IF(F65="","",INDEX('All Data'!$N:$N,MATCH(F65,'All Data'!$O:$O,0)))</f>
        <v/>
      </c>
      <c r="H65" s="114" t="str">
        <f>IF(F65="","",INDEX('All Data'!$Q:$Q,MATCH(F65,'All Data'!$O:$O,0)))</f>
        <v/>
      </c>
      <c r="I65" s="113" t="str">
        <f>IF(F65="","",INDEX('All Data'!$AF:$AF,MATCH(F65,'All Data'!$O:$O,0)))</f>
        <v/>
      </c>
      <c r="J65" s="60" t="str">
        <f>IF(F65="","",INDEX('All Data'!$AD:$AD,MATCH(F65,'All Data'!$O:$O,0)))</f>
        <v/>
      </c>
      <c r="K65" s="112" t="str">
        <f>IF(F65="","",INDEX('All Data'!$X:$X,MATCH(F65,'All Data'!$O:$O,0)))</f>
        <v/>
      </c>
      <c r="L65" s="60" t="str">
        <f>IF(F65="","",INDEX('All Data'!$Y:$Y,MATCH(F65,'All Data'!$O:$O,0)))</f>
        <v/>
      </c>
      <c r="M65" s="112" t="str">
        <f>IF(F65="","",INDEX('All Data'!$Z:$Z,MATCH(F65,'All Data'!$O:$O,0)))</f>
        <v/>
      </c>
      <c r="N65" s="111" t="str">
        <f>IF(F65="","",INDEX('All Data'!$AA:$AA,MATCH(F65,'All Data'!$O:$O,0)))</f>
        <v/>
      </c>
      <c r="O65" s="112" t="str">
        <f>IF(F65="","",INDEX('All Data'!$U:$U,MATCH(F65,'All Data'!$O:$O,0)))</f>
        <v/>
      </c>
      <c r="P65" s="150" t="str">
        <f>IF(F65="","",INDEX('All Data'!$V:$V,MATCH(F65,'All Data'!$O:$O,0)))</f>
        <v/>
      </c>
      <c r="Q65" s="228" t="str">
        <f>IF(F65="","",INDEX('All Data'!$AK:$AK,MATCH(F65,'All Data'!$O:$O,0)))</f>
        <v/>
      </c>
      <c r="R65" s="112" t="str">
        <f>IF(F65="","",INDEX('All Data'!$I:$I,MATCH(F65,'All Data'!$O:$O,0)))</f>
        <v/>
      </c>
      <c r="S65" s="150" t="str">
        <f>IF(F65="","",INDEX('All Data'!$K:$K,MATCH(F65,'All Data'!$O:$O,0)))</f>
        <v/>
      </c>
      <c r="T65" s="151" t="str">
        <f>IF(F65="","",INDEX('All Data'!$AS:$AS,MATCH(F65,'All Data'!$O:$O,0)))</f>
        <v/>
      </c>
      <c r="U65" s="573" t="str">
        <f t="shared" si="0"/>
        <v/>
      </c>
      <c r="V65" s="49"/>
    </row>
    <row r="66" spans="1:22" ht="18">
      <c r="A66" s="62"/>
      <c r="B66" s="63"/>
      <c r="C66" s="62"/>
      <c r="D66" s="60" t="str">
        <f>IF(F66="","",INDEX('All Data'!$F:$F,MATCH(F66,'All Data'!$O:$O,0)))</f>
        <v/>
      </c>
      <c r="E66" s="48" t="str">
        <f>IF(F66&lt;&gt;"",COUNTIF($F$7:F66,"*")&amp;".","")</f>
        <v/>
      </c>
      <c r="F66" s="116"/>
      <c r="G66" s="115" t="str">
        <f>IF(F66="","",INDEX('All Data'!$N:$N,MATCH(F66,'All Data'!$O:$O,0)))</f>
        <v/>
      </c>
      <c r="H66" s="114" t="str">
        <f>IF(F66="","",INDEX('All Data'!$Q:$Q,MATCH(F66,'All Data'!$O:$O,0)))</f>
        <v/>
      </c>
      <c r="I66" s="113" t="str">
        <f>IF(F66="","",INDEX('All Data'!$AF:$AF,MATCH(F66,'All Data'!$O:$O,0)))</f>
        <v/>
      </c>
      <c r="J66" s="60" t="str">
        <f>IF(F66="","",INDEX('All Data'!$AD:$AD,MATCH(F66,'All Data'!$O:$O,0)))</f>
        <v/>
      </c>
      <c r="K66" s="112" t="str">
        <f>IF(F66="","",INDEX('All Data'!$X:$X,MATCH(F66,'All Data'!$O:$O,0)))</f>
        <v/>
      </c>
      <c r="L66" s="60" t="str">
        <f>IF(F66="","",INDEX('All Data'!$Y:$Y,MATCH(F66,'All Data'!$O:$O,0)))</f>
        <v/>
      </c>
      <c r="M66" s="112" t="str">
        <f>IF(F66="","",INDEX('All Data'!$Z:$Z,MATCH(F66,'All Data'!$O:$O,0)))</f>
        <v/>
      </c>
      <c r="N66" s="111" t="str">
        <f>IF(F66="","",INDEX('All Data'!$AA:$AA,MATCH(F66,'All Data'!$O:$O,0)))</f>
        <v/>
      </c>
      <c r="O66" s="112" t="str">
        <f>IF(F66="","",INDEX('All Data'!$U:$U,MATCH(F66,'All Data'!$O:$O,0)))</f>
        <v/>
      </c>
      <c r="P66" s="150" t="str">
        <f>IF(F66="","",INDEX('All Data'!$V:$V,MATCH(F66,'All Data'!$O:$O,0)))</f>
        <v/>
      </c>
      <c r="Q66" s="228" t="str">
        <f>IF(F66="","",INDEX('All Data'!$AK:$AK,MATCH(F66,'All Data'!$O:$O,0)))</f>
        <v/>
      </c>
      <c r="R66" s="112" t="str">
        <f>IF(F66="","",INDEX('All Data'!$I:$I,MATCH(F66,'All Data'!$O:$O,0)))</f>
        <v/>
      </c>
      <c r="S66" s="150" t="str">
        <f>IF(F66="","",INDEX('All Data'!$K:$K,MATCH(F66,'All Data'!$O:$O,0)))</f>
        <v/>
      </c>
      <c r="T66" s="151" t="str">
        <f>IF(F66="","",INDEX('All Data'!$AS:$AS,MATCH(F66,'All Data'!$O:$O,0)))</f>
        <v/>
      </c>
      <c r="U66" s="573" t="str">
        <f t="shared" si="0"/>
        <v/>
      </c>
      <c r="V66" s="49"/>
    </row>
    <row r="67" spans="1:22" ht="18">
      <c r="A67" s="62"/>
      <c r="B67" s="63"/>
      <c r="C67" s="62"/>
      <c r="D67" s="60" t="str">
        <f>IF(F67="","",INDEX('All Data'!$F:$F,MATCH(F67,'All Data'!$O:$O,0)))</f>
        <v/>
      </c>
      <c r="E67" s="48" t="str">
        <f>IF(F67&lt;&gt;"",COUNTIF($F$7:F67,"*")&amp;".","")</f>
        <v/>
      </c>
      <c r="F67" s="116"/>
      <c r="G67" s="115" t="str">
        <f>IF(F67="","",INDEX('All Data'!$N:$N,MATCH(F67,'All Data'!$O:$O,0)))</f>
        <v/>
      </c>
      <c r="H67" s="114" t="str">
        <f>IF(F67="","",INDEX('All Data'!$Q:$Q,MATCH(F67,'All Data'!$O:$O,0)))</f>
        <v/>
      </c>
      <c r="I67" s="113" t="str">
        <f>IF(F67="","",INDEX('All Data'!$AF:$AF,MATCH(F67,'All Data'!$O:$O,0)))</f>
        <v/>
      </c>
      <c r="J67" s="60" t="str">
        <f>IF(F67="","",INDEX('All Data'!$AD:$AD,MATCH(F67,'All Data'!$O:$O,0)))</f>
        <v/>
      </c>
      <c r="K67" s="112" t="str">
        <f>IF(F67="","",INDEX('All Data'!$X:$X,MATCH(F67,'All Data'!$O:$O,0)))</f>
        <v/>
      </c>
      <c r="L67" s="60" t="str">
        <f>IF(F67="","",INDEX('All Data'!$Y:$Y,MATCH(F67,'All Data'!$O:$O,0)))</f>
        <v/>
      </c>
      <c r="M67" s="112" t="str">
        <f>IF(F67="","",INDEX('All Data'!$Z:$Z,MATCH(F67,'All Data'!$O:$O,0)))</f>
        <v/>
      </c>
      <c r="N67" s="111" t="str">
        <f>IF(F67="","",INDEX('All Data'!$AA:$AA,MATCH(F67,'All Data'!$O:$O,0)))</f>
        <v/>
      </c>
      <c r="O67" s="112" t="str">
        <f>IF(F67="","",INDEX('All Data'!$U:$U,MATCH(F67,'All Data'!$O:$O,0)))</f>
        <v/>
      </c>
      <c r="P67" s="150" t="str">
        <f>IF(F67="","",INDEX('All Data'!$V:$V,MATCH(F67,'All Data'!$O:$O,0)))</f>
        <v/>
      </c>
      <c r="Q67" s="228" t="str">
        <f>IF(F67="","",INDEX('All Data'!$AK:$AK,MATCH(F67,'All Data'!$O:$O,0)))</f>
        <v/>
      </c>
      <c r="R67" s="112" t="str">
        <f>IF(F67="","",INDEX('All Data'!$I:$I,MATCH(F67,'All Data'!$O:$O,0)))</f>
        <v/>
      </c>
      <c r="S67" s="150" t="str">
        <f>IF(F67="","",INDEX('All Data'!$K:$K,MATCH(F67,'All Data'!$O:$O,0)))</f>
        <v/>
      </c>
      <c r="T67" s="151" t="str">
        <f>IF(F67="","",INDEX('All Data'!$AS:$AS,MATCH(F67,'All Data'!$O:$O,0)))</f>
        <v/>
      </c>
      <c r="U67" s="573" t="str">
        <f t="shared" si="0"/>
        <v/>
      </c>
      <c r="V67" s="49"/>
    </row>
    <row r="68" spans="1:22" ht="18">
      <c r="A68" s="62"/>
      <c r="B68" s="63"/>
      <c r="C68" s="62"/>
      <c r="D68" s="60" t="str">
        <f>IF(F68="","",INDEX('All Data'!$F:$F,MATCH(F68,'All Data'!$O:$O,0)))</f>
        <v/>
      </c>
      <c r="E68" s="48" t="str">
        <f>IF(F68&lt;&gt;"",COUNTIF($F$7:F68,"*")&amp;".","")</f>
        <v/>
      </c>
      <c r="F68" s="116"/>
      <c r="G68" s="115" t="str">
        <f>IF(F68="","",INDEX('All Data'!$N:$N,MATCH(F68,'All Data'!$O:$O,0)))</f>
        <v/>
      </c>
      <c r="H68" s="114" t="str">
        <f>IF(F68="","",INDEX('All Data'!$Q:$Q,MATCH(F68,'All Data'!$O:$O,0)))</f>
        <v/>
      </c>
      <c r="I68" s="113" t="str">
        <f>IF(F68="","",INDEX('All Data'!$AF:$AF,MATCH(F68,'All Data'!$O:$O,0)))</f>
        <v/>
      </c>
      <c r="J68" s="60" t="str">
        <f>IF(F68="","",INDEX('All Data'!$AD:$AD,MATCH(F68,'All Data'!$O:$O,0)))</f>
        <v/>
      </c>
      <c r="K68" s="112" t="str">
        <f>IF(F68="","",INDEX('All Data'!$X:$X,MATCH(F68,'All Data'!$O:$O,0)))</f>
        <v/>
      </c>
      <c r="L68" s="60" t="str">
        <f>IF(F68="","",INDEX('All Data'!$Y:$Y,MATCH(F68,'All Data'!$O:$O,0)))</f>
        <v/>
      </c>
      <c r="M68" s="112" t="str">
        <f>IF(F68="","",INDEX('All Data'!$Z:$Z,MATCH(F68,'All Data'!$O:$O,0)))</f>
        <v/>
      </c>
      <c r="N68" s="111" t="str">
        <f>IF(F68="","",INDEX('All Data'!$AA:$AA,MATCH(F68,'All Data'!$O:$O,0)))</f>
        <v/>
      </c>
      <c r="O68" s="112" t="str">
        <f>IF(F68="","",INDEX('All Data'!$U:$U,MATCH(F68,'All Data'!$O:$O,0)))</f>
        <v/>
      </c>
      <c r="P68" s="150" t="str">
        <f>IF(F68="","",INDEX('All Data'!$V:$V,MATCH(F68,'All Data'!$O:$O,0)))</f>
        <v/>
      </c>
      <c r="Q68" s="228" t="str">
        <f>IF(F68="","",INDEX('All Data'!$AK:$AK,MATCH(F68,'All Data'!$O:$O,0)))</f>
        <v/>
      </c>
      <c r="R68" s="112" t="str">
        <f>IF(F68="","",INDEX('All Data'!$I:$I,MATCH(F68,'All Data'!$O:$O,0)))</f>
        <v/>
      </c>
      <c r="S68" s="150" t="str">
        <f>IF(F68="","",INDEX('All Data'!$K:$K,MATCH(F68,'All Data'!$O:$O,0)))</f>
        <v/>
      </c>
      <c r="T68" s="151" t="str">
        <f>IF(F68="","",INDEX('All Data'!$AS:$AS,MATCH(F68,'All Data'!$O:$O,0)))</f>
        <v/>
      </c>
      <c r="U68" s="573" t="str">
        <f t="shared" si="0"/>
        <v/>
      </c>
      <c r="V68" s="49"/>
    </row>
    <row r="69" spans="1:22" ht="18">
      <c r="A69" s="62"/>
      <c r="B69" s="63"/>
      <c r="C69" s="62"/>
      <c r="D69" s="60" t="str">
        <f>IF(F69="","",INDEX('All Data'!$F:$F,MATCH(F69,'All Data'!$O:$O,0)))</f>
        <v/>
      </c>
      <c r="E69" s="48" t="str">
        <f>IF(F69&lt;&gt;"",COUNTIF($F$7:F69,"*")&amp;".","")</f>
        <v/>
      </c>
      <c r="F69" s="116"/>
      <c r="G69" s="115" t="str">
        <f>IF(F69="","",INDEX('All Data'!$N:$N,MATCH(F69,'All Data'!$O:$O,0)))</f>
        <v/>
      </c>
      <c r="H69" s="114" t="str">
        <f>IF(F69="","",INDEX('All Data'!$Q:$Q,MATCH(F69,'All Data'!$O:$O,0)))</f>
        <v/>
      </c>
      <c r="I69" s="113" t="str">
        <f>IF(F69="","",INDEX('All Data'!$AF:$AF,MATCH(F69,'All Data'!$O:$O,0)))</f>
        <v/>
      </c>
      <c r="J69" s="60" t="str">
        <f>IF(F69="","",INDEX('All Data'!$AD:$AD,MATCH(F69,'All Data'!$O:$O,0)))</f>
        <v/>
      </c>
      <c r="K69" s="112" t="str">
        <f>IF(F69="","",INDEX('All Data'!$X:$X,MATCH(F69,'All Data'!$O:$O,0)))</f>
        <v/>
      </c>
      <c r="L69" s="60" t="str">
        <f>IF(F69="","",INDEX('All Data'!$Y:$Y,MATCH(F69,'All Data'!$O:$O,0)))</f>
        <v/>
      </c>
      <c r="M69" s="112" t="str">
        <f>IF(F69="","",INDEX('All Data'!$Z:$Z,MATCH(F69,'All Data'!$O:$O,0)))</f>
        <v/>
      </c>
      <c r="N69" s="111" t="str">
        <f>IF(F69="","",INDEX('All Data'!$AA:$AA,MATCH(F69,'All Data'!$O:$O,0)))</f>
        <v/>
      </c>
      <c r="O69" s="112" t="str">
        <f>IF(F69="","",INDEX('All Data'!$U:$U,MATCH(F69,'All Data'!$O:$O,0)))</f>
        <v/>
      </c>
      <c r="P69" s="150" t="str">
        <f>IF(F69="","",INDEX('All Data'!$V:$V,MATCH(F69,'All Data'!$O:$O,0)))</f>
        <v/>
      </c>
      <c r="Q69" s="228" t="str">
        <f>IF(F69="","",INDEX('All Data'!$AK:$AK,MATCH(F69,'All Data'!$O:$O,0)))</f>
        <v/>
      </c>
      <c r="R69" s="112" t="str">
        <f>IF(F69="","",INDEX('All Data'!$I:$I,MATCH(F69,'All Data'!$O:$O,0)))</f>
        <v/>
      </c>
      <c r="S69" s="150" t="str">
        <f>IF(F69="","",INDEX('All Data'!$K:$K,MATCH(F69,'All Data'!$O:$O,0)))</f>
        <v/>
      </c>
      <c r="T69" s="151" t="str">
        <f>IF(F69="","",INDEX('All Data'!$AS:$AS,MATCH(F69,'All Data'!$O:$O,0)))</f>
        <v/>
      </c>
      <c r="U69" s="573" t="str">
        <f t="shared" si="0"/>
        <v/>
      </c>
      <c r="V69" s="49"/>
    </row>
    <row r="70" spans="1:22" ht="18">
      <c r="A70" s="62"/>
      <c r="B70" s="63"/>
      <c r="C70" s="62"/>
      <c r="D70" s="60" t="str">
        <f>IF(F70="","",INDEX('All Data'!$F:$F,MATCH(F70,'All Data'!$O:$O,0)))</f>
        <v/>
      </c>
      <c r="E70" s="48" t="str">
        <f>IF(F70&lt;&gt;"",COUNTIF($F$7:F70,"*")&amp;".","")</f>
        <v/>
      </c>
      <c r="F70" s="116"/>
      <c r="G70" s="115" t="str">
        <f>IF(F70="","",INDEX('All Data'!$N:$N,MATCH(F70,'All Data'!$O:$O,0)))</f>
        <v/>
      </c>
      <c r="H70" s="114" t="str">
        <f>IF(F70="","",INDEX('All Data'!$Q:$Q,MATCH(F70,'All Data'!$O:$O,0)))</f>
        <v/>
      </c>
      <c r="I70" s="113" t="str">
        <f>IF(F70="","",INDEX('All Data'!$AF:$AF,MATCH(F70,'All Data'!$O:$O,0)))</f>
        <v/>
      </c>
      <c r="J70" s="60" t="str">
        <f>IF(F70="","",INDEX('All Data'!$AD:$AD,MATCH(F70,'All Data'!$O:$O,0)))</f>
        <v/>
      </c>
      <c r="K70" s="112" t="str">
        <f>IF(F70="","",INDEX('All Data'!$X:$X,MATCH(F70,'All Data'!$O:$O,0)))</f>
        <v/>
      </c>
      <c r="L70" s="60" t="str">
        <f>IF(F70="","",INDEX('All Data'!$Y:$Y,MATCH(F70,'All Data'!$O:$O,0)))</f>
        <v/>
      </c>
      <c r="M70" s="112" t="str">
        <f>IF(F70="","",INDEX('All Data'!$Z:$Z,MATCH(F70,'All Data'!$O:$O,0)))</f>
        <v/>
      </c>
      <c r="N70" s="111" t="str">
        <f>IF(F70="","",INDEX('All Data'!$AA:$AA,MATCH(F70,'All Data'!$O:$O,0)))</f>
        <v/>
      </c>
      <c r="O70" s="112" t="str">
        <f>IF(F70="","",INDEX('All Data'!$U:$U,MATCH(F70,'All Data'!$O:$O,0)))</f>
        <v/>
      </c>
      <c r="P70" s="150" t="str">
        <f>IF(F70="","",INDEX('All Data'!$V:$V,MATCH(F70,'All Data'!$O:$O,0)))</f>
        <v/>
      </c>
      <c r="Q70" s="228" t="str">
        <f>IF(F70="","",INDEX('All Data'!$AK:$AK,MATCH(F70,'All Data'!$O:$O,0)))</f>
        <v/>
      </c>
      <c r="R70" s="112" t="str">
        <f>IF(F70="","",INDEX('All Data'!$I:$I,MATCH(F70,'All Data'!$O:$O,0)))</f>
        <v/>
      </c>
      <c r="S70" s="150" t="str">
        <f>IF(F70="","",INDEX('All Data'!$K:$K,MATCH(F70,'All Data'!$O:$O,0)))</f>
        <v/>
      </c>
      <c r="T70" s="151" t="str">
        <f>IF(F70="","",INDEX('All Data'!$AS:$AS,MATCH(F70,'All Data'!$O:$O,0)))</f>
        <v/>
      </c>
      <c r="U70" s="573" t="str">
        <f t="shared" si="0"/>
        <v/>
      </c>
      <c r="V70" s="49"/>
    </row>
    <row r="71" spans="1:22" ht="18">
      <c r="A71" s="62"/>
      <c r="B71" s="63"/>
      <c r="C71" s="62"/>
      <c r="D71" s="60" t="str">
        <f>IF(F71="","",INDEX('All Data'!$F:$F,MATCH(F71,'All Data'!$O:$O,0)))</f>
        <v/>
      </c>
      <c r="E71" s="48" t="str">
        <f>IF(F71&lt;&gt;"",COUNTIF($F$7:F71,"*")&amp;".","")</f>
        <v/>
      </c>
      <c r="F71" s="116"/>
      <c r="G71" s="115" t="str">
        <f>IF(F71="","",INDEX('All Data'!$N:$N,MATCH(F71,'All Data'!$O:$O,0)))</f>
        <v/>
      </c>
      <c r="H71" s="114" t="str">
        <f>IF(F71="","",INDEX('All Data'!$Q:$Q,MATCH(F71,'All Data'!$O:$O,0)))</f>
        <v/>
      </c>
      <c r="I71" s="113" t="str">
        <f>IF(F71="","",INDEX('All Data'!$AF:$AF,MATCH(F71,'All Data'!$O:$O,0)))</f>
        <v/>
      </c>
      <c r="J71" s="60" t="str">
        <f>IF(F71="","",INDEX('All Data'!$AD:$AD,MATCH(F71,'All Data'!$O:$O,0)))</f>
        <v/>
      </c>
      <c r="K71" s="112" t="str">
        <f>IF(F71="","",INDEX('All Data'!$X:$X,MATCH(F71,'All Data'!$O:$O,0)))</f>
        <v/>
      </c>
      <c r="L71" s="60" t="str">
        <f>IF(F71="","",INDEX('All Data'!$Y:$Y,MATCH(F71,'All Data'!$O:$O,0)))</f>
        <v/>
      </c>
      <c r="M71" s="112" t="str">
        <f>IF(F71="","",INDEX('All Data'!$Z:$Z,MATCH(F71,'All Data'!$O:$O,0)))</f>
        <v/>
      </c>
      <c r="N71" s="111" t="str">
        <f>IF(F71="","",INDEX('All Data'!$AA:$AA,MATCH(F71,'All Data'!$O:$O,0)))</f>
        <v/>
      </c>
      <c r="O71" s="112" t="str">
        <f>IF(F71="","",INDEX('All Data'!$U:$U,MATCH(F71,'All Data'!$O:$O,0)))</f>
        <v/>
      </c>
      <c r="P71" s="150" t="str">
        <f>IF(F71="","",INDEX('All Data'!$V:$V,MATCH(F71,'All Data'!$O:$O,0)))</f>
        <v/>
      </c>
      <c r="Q71" s="228" t="str">
        <f>IF(F71="","",INDEX('All Data'!$AK:$AK,MATCH(F71,'All Data'!$O:$O,0)))</f>
        <v/>
      </c>
      <c r="R71" s="112" t="str">
        <f>IF(F71="","",INDEX('All Data'!$I:$I,MATCH(F71,'All Data'!$O:$O,0)))</f>
        <v/>
      </c>
      <c r="S71" s="150" t="str">
        <f>IF(F71="","",INDEX('All Data'!$K:$K,MATCH(F71,'All Data'!$O:$O,0)))</f>
        <v/>
      </c>
      <c r="T71" s="151" t="str">
        <f>IF(F71="","",INDEX('All Data'!$AS:$AS,MATCH(F71,'All Data'!$O:$O,0)))</f>
        <v/>
      </c>
      <c r="U71" s="573" t="str">
        <f t="shared" ref="U71:U106" si="1">IF(F71="","",H71&amp;"uH, "&amp;I71&amp;" x "&amp;J71&amp;"mm, "&amp;K71&amp;"A(40C), "&amp;M71&amp;"A(L-30%), "&amp;P71&amp;"mΩ max")</f>
        <v/>
      </c>
      <c r="V71" s="49"/>
    </row>
    <row r="72" spans="1:22" ht="18">
      <c r="A72" s="62"/>
      <c r="B72" s="63"/>
      <c r="C72" s="62"/>
      <c r="D72" s="60" t="str">
        <f>IF(F72="","",INDEX('All Data'!$F:$F,MATCH(F72,'All Data'!$O:$O,0)))</f>
        <v/>
      </c>
      <c r="E72" s="48" t="str">
        <f>IF(F72&lt;&gt;"",COUNTIF($F$7:F72,"*")&amp;".","")</f>
        <v/>
      </c>
      <c r="F72" s="116"/>
      <c r="G72" s="115" t="str">
        <f>IF(F72="","",INDEX('All Data'!$N:$N,MATCH(F72,'All Data'!$O:$O,0)))</f>
        <v/>
      </c>
      <c r="H72" s="114" t="str">
        <f>IF(F72="","",INDEX('All Data'!$Q:$Q,MATCH(F72,'All Data'!$O:$O,0)))</f>
        <v/>
      </c>
      <c r="I72" s="113" t="str">
        <f>IF(F72="","",INDEX('All Data'!$AF:$AF,MATCH(F72,'All Data'!$O:$O,0)))</f>
        <v/>
      </c>
      <c r="J72" s="60" t="str">
        <f>IF(F72="","",INDEX('All Data'!$AD:$AD,MATCH(F72,'All Data'!$O:$O,0)))</f>
        <v/>
      </c>
      <c r="K72" s="112" t="str">
        <f>IF(F72="","",INDEX('All Data'!$X:$X,MATCH(F72,'All Data'!$O:$O,0)))</f>
        <v/>
      </c>
      <c r="L72" s="60" t="str">
        <f>IF(F72="","",INDEX('All Data'!$Y:$Y,MATCH(F72,'All Data'!$O:$O,0)))</f>
        <v/>
      </c>
      <c r="M72" s="112" t="str">
        <f>IF(F72="","",INDEX('All Data'!$Z:$Z,MATCH(F72,'All Data'!$O:$O,0)))</f>
        <v/>
      </c>
      <c r="N72" s="111" t="str">
        <f>IF(F72="","",INDEX('All Data'!$AA:$AA,MATCH(F72,'All Data'!$O:$O,0)))</f>
        <v/>
      </c>
      <c r="O72" s="112" t="str">
        <f>IF(F72="","",INDEX('All Data'!$U:$U,MATCH(F72,'All Data'!$O:$O,0)))</f>
        <v/>
      </c>
      <c r="P72" s="150" t="str">
        <f>IF(F72="","",INDEX('All Data'!$V:$V,MATCH(F72,'All Data'!$O:$O,0)))</f>
        <v/>
      </c>
      <c r="Q72" s="228" t="str">
        <f>IF(F72="","",INDEX('All Data'!$AK:$AK,MATCH(F72,'All Data'!$O:$O,0)))</f>
        <v/>
      </c>
      <c r="R72" s="112" t="str">
        <f>IF(F72="","",INDEX('All Data'!$I:$I,MATCH(F72,'All Data'!$O:$O,0)))</f>
        <v/>
      </c>
      <c r="S72" s="150" t="str">
        <f>IF(F72="","",INDEX('All Data'!$K:$K,MATCH(F72,'All Data'!$O:$O,0)))</f>
        <v/>
      </c>
      <c r="T72" s="151" t="str">
        <f>IF(F72="","",INDEX('All Data'!$AS:$AS,MATCH(F72,'All Data'!$O:$O,0)))</f>
        <v/>
      </c>
      <c r="U72" s="573" t="str">
        <f t="shared" si="1"/>
        <v/>
      </c>
      <c r="V72" s="49"/>
    </row>
    <row r="73" spans="1:22" ht="18">
      <c r="A73" s="62"/>
      <c r="B73" s="63"/>
      <c r="C73" s="62"/>
      <c r="D73" s="60" t="str">
        <f>IF(F73="","",INDEX('All Data'!$F:$F,MATCH(F73,'All Data'!$O:$O,0)))</f>
        <v/>
      </c>
      <c r="E73" s="48" t="str">
        <f>IF(F73&lt;&gt;"",COUNTIF($F$7:F73,"*")&amp;".","")</f>
        <v/>
      </c>
      <c r="F73" s="116"/>
      <c r="G73" s="115" t="str">
        <f>IF(F73="","",INDEX('All Data'!$N:$N,MATCH(F73,'All Data'!$O:$O,0)))</f>
        <v/>
      </c>
      <c r="H73" s="114" t="str">
        <f>IF(F73="","",INDEX('All Data'!$Q:$Q,MATCH(F73,'All Data'!$O:$O,0)))</f>
        <v/>
      </c>
      <c r="I73" s="113" t="str">
        <f>IF(F73="","",INDEX('All Data'!$AF:$AF,MATCH(F73,'All Data'!$O:$O,0)))</f>
        <v/>
      </c>
      <c r="J73" s="60" t="str">
        <f>IF(F73="","",INDEX('All Data'!$AD:$AD,MATCH(F73,'All Data'!$O:$O,0)))</f>
        <v/>
      </c>
      <c r="K73" s="112" t="str">
        <f>IF(F73="","",INDEX('All Data'!$X:$X,MATCH(F73,'All Data'!$O:$O,0)))</f>
        <v/>
      </c>
      <c r="L73" s="60" t="str">
        <f>IF(F73="","",INDEX('All Data'!$Y:$Y,MATCH(F73,'All Data'!$O:$O,0)))</f>
        <v/>
      </c>
      <c r="M73" s="112" t="str">
        <f>IF(F73="","",INDEX('All Data'!$Z:$Z,MATCH(F73,'All Data'!$O:$O,0)))</f>
        <v/>
      </c>
      <c r="N73" s="111" t="str">
        <f>IF(F73="","",INDEX('All Data'!$AA:$AA,MATCH(F73,'All Data'!$O:$O,0)))</f>
        <v/>
      </c>
      <c r="O73" s="112" t="str">
        <f>IF(F73="","",INDEX('All Data'!$U:$U,MATCH(F73,'All Data'!$O:$O,0)))</f>
        <v/>
      </c>
      <c r="P73" s="150" t="str">
        <f>IF(F73="","",INDEX('All Data'!$V:$V,MATCH(F73,'All Data'!$O:$O,0)))</f>
        <v/>
      </c>
      <c r="Q73" s="228" t="str">
        <f>IF(F73="","",INDEX('All Data'!$AK:$AK,MATCH(F73,'All Data'!$O:$O,0)))</f>
        <v/>
      </c>
      <c r="R73" s="112" t="str">
        <f>IF(F73="","",INDEX('All Data'!$I:$I,MATCH(F73,'All Data'!$O:$O,0)))</f>
        <v/>
      </c>
      <c r="S73" s="150" t="str">
        <f>IF(F73="","",INDEX('All Data'!$K:$K,MATCH(F73,'All Data'!$O:$O,0)))</f>
        <v/>
      </c>
      <c r="T73" s="151" t="str">
        <f>IF(F73="","",INDEX('All Data'!$AS:$AS,MATCH(F73,'All Data'!$O:$O,0)))</f>
        <v/>
      </c>
      <c r="U73" s="573" t="str">
        <f t="shared" si="1"/>
        <v/>
      </c>
      <c r="V73" s="49"/>
    </row>
    <row r="74" spans="1:22" ht="18">
      <c r="A74" s="62"/>
      <c r="B74" s="63"/>
      <c r="C74" s="62"/>
      <c r="D74" s="60" t="str">
        <f>IF(F74="","",INDEX('All Data'!$F:$F,MATCH(F74,'All Data'!$O:$O,0)))</f>
        <v/>
      </c>
      <c r="E74" s="48" t="str">
        <f>IF(F74&lt;&gt;"",COUNTIF($F$7:F74,"*")&amp;".","")</f>
        <v/>
      </c>
      <c r="F74" s="116"/>
      <c r="G74" s="115" t="str">
        <f>IF(F74="","",INDEX('All Data'!$N:$N,MATCH(F74,'All Data'!$O:$O,0)))</f>
        <v/>
      </c>
      <c r="H74" s="114" t="str">
        <f>IF(F74="","",INDEX('All Data'!$Q:$Q,MATCH(F74,'All Data'!$O:$O,0)))</f>
        <v/>
      </c>
      <c r="I74" s="113" t="str">
        <f>IF(F74="","",INDEX('All Data'!$AF:$AF,MATCH(F74,'All Data'!$O:$O,0)))</f>
        <v/>
      </c>
      <c r="J74" s="60" t="str">
        <f>IF(F74="","",INDEX('All Data'!$AD:$AD,MATCH(F74,'All Data'!$O:$O,0)))</f>
        <v/>
      </c>
      <c r="K74" s="112" t="str">
        <f>IF(F74="","",INDEX('All Data'!$X:$X,MATCH(F74,'All Data'!$O:$O,0)))</f>
        <v/>
      </c>
      <c r="L74" s="60" t="str">
        <f>IF(F74="","",INDEX('All Data'!$Y:$Y,MATCH(F74,'All Data'!$O:$O,0)))</f>
        <v/>
      </c>
      <c r="M74" s="112" t="str">
        <f>IF(F74="","",INDEX('All Data'!$Z:$Z,MATCH(F74,'All Data'!$O:$O,0)))</f>
        <v/>
      </c>
      <c r="N74" s="111" t="str">
        <f>IF(F74="","",INDEX('All Data'!$AA:$AA,MATCH(F74,'All Data'!$O:$O,0)))</f>
        <v/>
      </c>
      <c r="O74" s="112" t="str">
        <f>IF(F74="","",INDEX('All Data'!$U:$U,MATCH(F74,'All Data'!$O:$O,0)))</f>
        <v/>
      </c>
      <c r="P74" s="150" t="str">
        <f>IF(F74="","",INDEX('All Data'!$V:$V,MATCH(F74,'All Data'!$O:$O,0)))</f>
        <v/>
      </c>
      <c r="Q74" s="228" t="str">
        <f>IF(F74="","",INDEX('All Data'!$AK:$AK,MATCH(F74,'All Data'!$O:$O,0)))</f>
        <v/>
      </c>
      <c r="R74" s="112" t="str">
        <f>IF(F74="","",INDEX('All Data'!$I:$I,MATCH(F74,'All Data'!$O:$O,0)))</f>
        <v/>
      </c>
      <c r="S74" s="150" t="str">
        <f>IF(F74="","",INDEX('All Data'!$K:$K,MATCH(F74,'All Data'!$O:$O,0)))</f>
        <v/>
      </c>
      <c r="T74" s="151" t="str">
        <f>IF(F74="","",INDEX('All Data'!$AS:$AS,MATCH(F74,'All Data'!$O:$O,0)))</f>
        <v/>
      </c>
      <c r="U74" s="573" t="str">
        <f t="shared" si="1"/>
        <v/>
      </c>
      <c r="V74" s="49"/>
    </row>
    <row r="75" spans="1:22" ht="18">
      <c r="A75" s="62"/>
      <c r="B75" s="63"/>
      <c r="C75" s="62"/>
      <c r="D75" s="60" t="str">
        <f>IF(F75="","",INDEX('All Data'!$F:$F,MATCH(F75,'All Data'!$O:$O,0)))</f>
        <v/>
      </c>
      <c r="E75" s="48" t="str">
        <f>IF(F75&lt;&gt;"",COUNTIF($F$7:F75,"*")&amp;".","")</f>
        <v/>
      </c>
      <c r="F75" s="116"/>
      <c r="G75" s="115" t="str">
        <f>IF(F75="","",INDEX('All Data'!$N:$N,MATCH(F75,'All Data'!$O:$O,0)))</f>
        <v/>
      </c>
      <c r="H75" s="114" t="str">
        <f>IF(F75="","",INDEX('All Data'!$Q:$Q,MATCH(F75,'All Data'!$O:$O,0)))</f>
        <v/>
      </c>
      <c r="I75" s="113" t="str">
        <f>IF(F75="","",INDEX('All Data'!$AF:$AF,MATCH(F75,'All Data'!$O:$O,0)))</f>
        <v/>
      </c>
      <c r="J75" s="60" t="str">
        <f>IF(F75="","",INDEX('All Data'!$AD:$AD,MATCH(F75,'All Data'!$O:$O,0)))</f>
        <v/>
      </c>
      <c r="K75" s="112" t="str">
        <f>IF(F75="","",INDEX('All Data'!$X:$X,MATCH(F75,'All Data'!$O:$O,0)))</f>
        <v/>
      </c>
      <c r="L75" s="60" t="str">
        <f>IF(F75="","",INDEX('All Data'!$Y:$Y,MATCH(F75,'All Data'!$O:$O,0)))</f>
        <v/>
      </c>
      <c r="M75" s="112" t="str">
        <f>IF(F75="","",INDEX('All Data'!$Z:$Z,MATCH(F75,'All Data'!$O:$O,0)))</f>
        <v/>
      </c>
      <c r="N75" s="111" t="str">
        <f>IF(F75="","",INDEX('All Data'!$AA:$AA,MATCH(F75,'All Data'!$O:$O,0)))</f>
        <v/>
      </c>
      <c r="O75" s="112" t="str">
        <f>IF(F75="","",INDEX('All Data'!$U:$U,MATCH(F75,'All Data'!$O:$O,0)))</f>
        <v/>
      </c>
      <c r="P75" s="150" t="str">
        <f>IF(F75="","",INDEX('All Data'!$V:$V,MATCH(F75,'All Data'!$O:$O,0)))</f>
        <v/>
      </c>
      <c r="Q75" s="228" t="str">
        <f>IF(F75="","",INDEX('All Data'!$AK:$AK,MATCH(F75,'All Data'!$O:$O,0)))</f>
        <v/>
      </c>
      <c r="R75" s="112" t="str">
        <f>IF(F75="","",INDEX('All Data'!$I:$I,MATCH(F75,'All Data'!$O:$O,0)))</f>
        <v/>
      </c>
      <c r="S75" s="150" t="str">
        <f>IF(F75="","",INDEX('All Data'!$K:$K,MATCH(F75,'All Data'!$O:$O,0)))</f>
        <v/>
      </c>
      <c r="T75" s="151" t="str">
        <f>IF(F75="","",INDEX('All Data'!$AS:$AS,MATCH(F75,'All Data'!$O:$O,0)))</f>
        <v/>
      </c>
      <c r="U75" s="573" t="str">
        <f t="shared" si="1"/>
        <v/>
      </c>
      <c r="V75" s="49"/>
    </row>
    <row r="76" spans="1:22" ht="18">
      <c r="A76" s="62"/>
      <c r="B76" s="63"/>
      <c r="C76" s="62"/>
      <c r="D76" s="60" t="str">
        <f>IF(F76="","",INDEX('All Data'!$F:$F,MATCH(F76,'All Data'!$O:$O,0)))</f>
        <v/>
      </c>
      <c r="E76" s="48" t="str">
        <f>IF(F76&lt;&gt;"",COUNTIF($F$7:F76,"*")&amp;".","")</f>
        <v/>
      </c>
      <c r="F76" s="116"/>
      <c r="G76" s="115" t="str">
        <f>IF(F76="","",INDEX('All Data'!$N:$N,MATCH(F76,'All Data'!$O:$O,0)))</f>
        <v/>
      </c>
      <c r="H76" s="114" t="str">
        <f>IF(F76="","",INDEX('All Data'!$Q:$Q,MATCH(F76,'All Data'!$O:$O,0)))</f>
        <v/>
      </c>
      <c r="I76" s="113" t="str">
        <f>IF(F76="","",INDEX('All Data'!$AF:$AF,MATCH(F76,'All Data'!$O:$O,0)))</f>
        <v/>
      </c>
      <c r="J76" s="60" t="str">
        <f>IF(F76="","",INDEX('All Data'!$AD:$AD,MATCH(F76,'All Data'!$O:$O,0)))</f>
        <v/>
      </c>
      <c r="K76" s="112" t="str">
        <f>IF(F76="","",INDEX('All Data'!$X:$X,MATCH(F76,'All Data'!$O:$O,0)))</f>
        <v/>
      </c>
      <c r="L76" s="60" t="str">
        <f>IF(F76="","",INDEX('All Data'!$Y:$Y,MATCH(F76,'All Data'!$O:$O,0)))</f>
        <v/>
      </c>
      <c r="M76" s="112" t="str">
        <f>IF(F76="","",INDEX('All Data'!$Z:$Z,MATCH(F76,'All Data'!$O:$O,0)))</f>
        <v/>
      </c>
      <c r="N76" s="111" t="str">
        <f>IF(F76="","",INDEX('All Data'!$AA:$AA,MATCH(F76,'All Data'!$O:$O,0)))</f>
        <v/>
      </c>
      <c r="O76" s="112" t="str">
        <f>IF(F76="","",INDEX('All Data'!$U:$U,MATCH(F76,'All Data'!$O:$O,0)))</f>
        <v/>
      </c>
      <c r="P76" s="150" t="str">
        <f>IF(F76="","",INDEX('All Data'!$V:$V,MATCH(F76,'All Data'!$O:$O,0)))</f>
        <v/>
      </c>
      <c r="Q76" s="228" t="str">
        <f>IF(F76="","",INDEX('All Data'!$AK:$AK,MATCH(F76,'All Data'!$O:$O,0)))</f>
        <v/>
      </c>
      <c r="R76" s="112" t="str">
        <f>IF(F76="","",INDEX('All Data'!$I:$I,MATCH(F76,'All Data'!$O:$O,0)))</f>
        <v/>
      </c>
      <c r="S76" s="150" t="str">
        <f>IF(F76="","",INDEX('All Data'!$K:$K,MATCH(F76,'All Data'!$O:$O,0)))</f>
        <v/>
      </c>
      <c r="T76" s="151" t="str">
        <f>IF(F76="","",INDEX('All Data'!$AS:$AS,MATCH(F76,'All Data'!$O:$O,0)))</f>
        <v/>
      </c>
      <c r="U76" s="573" t="str">
        <f t="shared" si="1"/>
        <v/>
      </c>
      <c r="V76" s="49"/>
    </row>
    <row r="77" spans="1:22" ht="18">
      <c r="A77" s="62"/>
      <c r="B77" s="63"/>
      <c r="C77" s="62"/>
      <c r="D77" s="60" t="str">
        <f>IF(F77="","",INDEX('All Data'!$F:$F,MATCH(F77,'All Data'!$O:$O,0)))</f>
        <v/>
      </c>
      <c r="E77" s="48" t="str">
        <f>IF(F77&lt;&gt;"",COUNTIF($F$7:F77,"*")&amp;".","")</f>
        <v/>
      </c>
      <c r="F77" s="116"/>
      <c r="G77" s="115" t="str">
        <f>IF(F77="","",INDEX('All Data'!$N:$N,MATCH(F77,'All Data'!$O:$O,0)))</f>
        <v/>
      </c>
      <c r="H77" s="114" t="str">
        <f>IF(F77="","",INDEX('All Data'!$Q:$Q,MATCH(F77,'All Data'!$O:$O,0)))</f>
        <v/>
      </c>
      <c r="I77" s="113" t="str">
        <f>IF(F77="","",INDEX('All Data'!$AF:$AF,MATCH(F77,'All Data'!$O:$O,0)))</f>
        <v/>
      </c>
      <c r="J77" s="60" t="str">
        <f>IF(F77="","",INDEX('All Data'!$AD:$AD,MATCH(F77,'All Data'!$O:$O,0)))</f>
        <v/>
      </c>
      <c r="K77" s="112" t="str">
        <f>IF(F77="","",INDEX('All Data'!$X:$X,MATCH(F77,'All Data'!$O:$O,0)))</f>
        <v/>
      </c>
      <c r="L77" s="60" t="str">
        <f>IF(F77="","",INDEX('All Data'!$Y:$Y,MATCH(F77,'All Data'!$O:$O,0)))</f>
        <v/>
      </c>
      <c r="M77" s="112" t="str">
        <f>IF(F77="","",INDEX('All Data'!$Z:$Z,MATCH(F77,'All Data'!$O:$O,0)))</f>
        <v/>
      </c>
      <c r="N77" s="111" t="str">
        <f>IF(F77="","",INDEX('All Data'!$AA:$AA,MATCH(F77,'All Data'!$O:$O,0)))</f>
        <v/>
      </c>
      <c r="O77" s="112" t="str">
        <f>IF(F77="","",INDEX('All Data'!$U:$U,MATCH(F77,'All Data'!$O:$O,0)))</f>
        <v/>
      </c>
      <c r="P77" s="150" t="str">
        <f>IF(F77="","",INDEX('All Data'!$V:$V,MATCH(F77,'All Data'!$O:$O,0)))</f>
        <v/>
      </c>
      <c r="Q77" s="228" t="str">
        <f>IF(F77="","",INDEX('All Data'!$AK:$AK,MATCH(F77,'All Data'!$O:$O,0)))</f>
        <v/>
      </c>
      <c r="R77" s="112" t="str">
        <f>IF(F77="","",INDEX('All Data'!$I:$I,MATCH(F77,'All Data'!$O:$O,0)))</f>
        <v/>
      </c>
      <c r="S77" s="150" t="str">
        <f>IF(F77="","",INDEX('All Data'!$K:$K,MATCH(F77,'All Data'!$O:$O,0)))</f>
        <v/>
      </c>
      <c r="T77" s="151" t="str">
        <f>IF(F77="","",INDEX('All Data'!$AS:$AS,MATCH(F77,'All Data'!$O:$O,0)))</f>
        <v/>
      </c>
      <c r="U77" s="573" t="str">
        <f t="shared" si="1"/>
        <v/>
      </c>
      <c r="V77" s="49"/>
    </row>
    <row r="78" spans="1:22" ht="18">
      <c r="A78" s="62"/>
      <c r="B78" s="63"/>
      <c r="C78" s="62"/>
      <c r="D78" s="60" t="str">
        <f>IF(F78="","",INDEX('All Data'!$F:$F,MATCH(F78,'All Data'!$O:$O,0)))</f>
        <v/>
      </c>
      <c r="E78" s="48" t="str">
        <f>IF(F78&lt;&gt;"",COUNTIF($F$7:F78,"*")&amp;".","")</f>
        <v/>
      </c>
      <c r="F78" s="116"/>
      <c r="G78" s="115" t="str">
        <f>IF(F78="","",INDEX('All Data'!$N:$N,MATCH(F78,'All Data'!$O:$O,0)))</f>
        <v/>
      </c>
      <c r="H78" s="114" t="str">
        <f>IF(F78="","",INDEX('All Data'!$Q:$Q,MATCH(F78,'All Data'!$O:$O,0)))</f>
        <v/>
      </c>
      <c r="I78" s="113" t="str">
        <f>IF(F78="","",INDEX('All Data'!$AF:$AF,MATCH(F78,'All Data'!$O:$O,0)))</f>
        <v/>
      </c>
      <c r="J78" s="60" t="str">
        <f>IF(F78="","",INDEX('All Data'!$AD:$AD,MATCH(F78,'All Data'!$O:$O,0)))</f>
        <v/>
      </c>
      <c r="K78" s="112" t="str">
        <f>IF(F78="","",INDEX('All Data'!$X:$X,MATCH(F78,'All Data'!$O:$O,0)))</f>
        <v/>
      </c>
      <c r="L78" s="60" t="str">
        <f>IF(F78="","",INDEX('All Data'!$Y:$Y,MATCH(F78,'All Data'!$O:$O,0)))</f>
        <v/>
      </c>
      <c r="M78" s="112" t="str">
        <f>IF(F78="","",INDEX('All Data'!$Z:$Z,MATCH(F78,'All Data'!$O:$O,0)))</f>
        <v/>
      </c>
      <c r="N78" s="111" t="str">
        <f>IF(F78="","",INDEX('All Data'!$AA:$AA,MATCH(F78,'All Data'!$O:$O,0)))</f>
        <v/>
      </c>
      <c r="O78" s="112" t="str">
        <f>IF(F78="","",INDEX('All Data'!$U:$U,MATCH(F78,'All Data'!$O:$O,0)))</f>
        <v/>
      </c>
      <c r="P78" s="150" t="str">
        <f>IF(F78="","",INDEX('All Data'!$V:$V,MATCH(F78,'All Data'!$O:$O,0)))</f>
        <v/>
      </c>
      <c r="Q78" s="228" t="str">
        <f>IF(F78="","",INDEX('All Data'!$AK:$AK,MATCH(F78,'All Data'!$O:$O,0)))</f>
        <v/>
      </c>
      <c r="R78" s="112" t="str">
        <f>IF(F78="","",INDEX('All Data'!$I:$I,MATCH(F78,'All Data'!$O:$O,0)))</f>
        <v/>
      </c>
      <c r="S78" s="150" t="str">
        <f>IF(F78="","",INDEX('All Data'!$K:$K,MATCH(F78,'All Data'!$O:$O,0)))</f>
        <v/>
      </c>
      <c r="T78" s="151" t="str">
        <f>IF(F78="","",INDEX('All Data'!$AS:$AS,MATCH(F78,'All Data'!$O:$O,0)))</f>
        <v/>
      </c>
      <c r="U78" s="573" t="str">
        <f t="shared" si="1"/>
        <v/>
      </c>
      <c r="V78" s="49"/>
    </row>
    <row r="79" spans="1:22" ht="18">
      <c r="A79" s="62"/>
      <c r="B79" s="63"/>
      <c r="C79" s="62"/>
      <c r="D79" s="60" t="str">
        <f>IF(F79="","",INDEX('All Data'!$F:$F,MATCH(F79,'All Data'!$O:$O,0)))</f>
        <v/>
      </c>
      <c r="E79" s="48" t="str">
        <f>IF(F79&lt;&gt;"",COUNTIF($F$7:F79,"*")&amp;".","")</f>
        <v/>
      </c>
      <c r="F79" s="116"/>
      <c r="G79" s="115" t="str">
        <f>IF(F79="","",INDEX('All Data'!$N:$N,MATCH(F79,'All Data'!$O:$O,0)))</f>
        <v/>
      </c>
      <c r="H79" s="114" t="str">
        <f>IF(F79="","",INDEX('All Data'!$Q:$Q,MATCH(F79,'All Data'!$O:$O,0)))</f>
        <v/>
      </c>
      <c r="I79" s="113" t="str">
        <f>IF(F79="","",INDEX('All Data'!$AF:$AF,MATCH(F79,'All Data'!$O:$O,0)))</f>
        <v/>
      </c>
      <c r="J79" s="60" t="str">
        <f>IF(F79="","",INDEX('All Data'!$AD:$AD,MATCH(F79,'All Data'!$O:$O,0)))</f>
        <v/>
      </c>
      <c r="K79" s="112" t="str">
        <f>IF(F79="","",INDEX('All Data'!$X:$X,MATCH(F79,'All Data'!$O:$O,0)))</f>
        <v/>
      </c>
      <c r="L79" s="60" t="str">
        <f>IF(F79="","",INDEX('All Data'!$Y:$Y,MATCH(F79,'All Data'!$O:$O,0)))</f>
        <v/>
      </c>
      <c r="M79" s="112" t="str">
        <f>IF(F79="","",INDEX('All Data'!$Z:$Z,MATCH(F79,'All Data'!$O:$O,0)))</f>
        <v/>
      </c>
      <c r="N79" s="111" t="str">
        <f>IF(F79="","",INDEX('All Data'!$AA:$AA,MATCH(F79,'All Data'!$O:$O,0)))</f>
        <v/>
      </c>
      <c r="O79" s="112" t="str">
        <f>IF(F79="","",INDEX('All Data'!$U:$U,MATCH(F79,'All Data'!$O:$O,0)))</f>
        <v/>
      </c>
      <c r="P79" s="150" t="str">
        <f>IF(F79="","",INDEX('All Data'!$V:$V,MATCH(F79,'All Data'!$O:$O,0)))</f>
        <v/>
      </c>
      <c r="Q79" s="228" t="str">
        <f>IF(F79="","",INDEX('All Data'!$AK:$AK,MATCH(F79,'All Data'!$O:$O,0)))</f>
        <v/>
      </c>
      <c r="R79" s="112" t="str">
        <f>IF(F79="","",INDEX('All Data'!$I:$I,MATCH(F79,'All Data'!$O:$O,0)))</f>
        <v/>
      </c>
      <c r="S79" s="150" t="str">
        <f>IF(F79="","",INDEX('All Data'!$K:$K,MATCH(F79,'All Data'!$O:$O,0)))</f>
        <v/>
      </c>
      <c r="T79" s="151" t="str">
        <f>IF(F79="","",INDEX('All Data'!$AS:$AS,MATCH(F79,'All Data'!$O:$O,0)))</f>
        <v/>
      </c>
      <c r="U79" s="573" t="str">
        <f t="shared" si="1"/>
        <v/>
      </c>
      <c r="V79" s="49"/>
    </row>
    <row r="80" spans="1:22" ht="18">
      <c r="A80" s="62"/>
      <c r="B80" s="63"/>
      <c r="C80" s="62"/>
      <c r="D80" s="60" t="str">
        <f>IF(F80="","",INDEX('All Data'!$F:$F,MATCH(F80,'All Data'!$O:$O,0)))</f>
        <v/>
      </c>
      <c r="E80" s="48" t="str">
        <f>IF(F80&lt;&gt;"",COUNTIF($F$7:F80,"*")&amp;".","")</f>
        <v/>
      </c>
      <c r="F80" s="116"/>
      <c r="G80" s="115" t="str">
        <f>IF(F80="","",INDEX('All Data'!$N:$N,MATCH(F80,'All Data'!$O:$O,0)))</f>
        <v/>
      </c>
      <c r="H80" s="114" t="str">
        <f>IF(F80="","",INDEX('All Data'!$Q:$Q,MATCH(F80,'All Data'!$O:$O,0)))</f>
        <v/>
      </c>
      <c r="I80" s="113" t="str">
        <f>IF(F80="","",INDEX('All Data'!$AF:$AF,MATCH(F80,'All Data'!$O:$O,0)))</f>
        <v/>
      </c>
      <c r="J80" s="60" t="str">
        <f>IF(F80="","",INDEX('All Data'!$AD:$AD,MATCH(F80,'All Data'!$O:$O,0)))</f>
        <v/>
      </c>
      <c r="K80" s="112" t="str">
        <f>IF(F80="","",INDEX('All Data'!$X:$X,MATCH(F80,'All Data'!$O:$O,0)))</f>
        <v/>
      </c>
      <c r="L80" s="60" t="str">
        <f>IF(F80="","",INDEX('All Data'!$Y:$Y,MATCH(F80,'All Data'!$O:$O,0)))</f>
        <v/>
      </c>
      <c r="M80" s="112" t="str">
        <f>IF(F80="","",INDEX('All Data'!$Z:$Z,MATCH(F80,'All Data'!$O:$O,0)))</f>
        <v/>
      </c>
      <c r="N80" s="111" t="str">
        <f>IF(F80="","",INDEX('All Data'!$AA:$AA,MATCH(F80,'All Data'!$O:$O,0)))</f>
        <v/>
      </c>
      <c r="O80" s="112" t="str">
        <f>IF(F80="","",INDEX('All Data'!$U:$U,MATCH(F80,'All Data'!$O:$O,0)))</f>
        <v/>
      </c>
      <c r="P80" s="150" t="str">
        <f>IF(F80="","",INDEX('All Data'!$V:$V,MATCH(F80,'All Data'!$O:$O,0)))</f>
        <v/>
      </c>
      <c r="Q80" s="228" t="str">
        <f>IF(F80="","",INDEX('All Data'!$AK:$AK,MATCH(F80,'All Data'!$O:$O,0)))</f>
        <v/>
      </c>
      <c r="R80" s="112" t="str">
        <f>IF(F80="","",INDEX('All Data'!$I:$I,MATCH(F80,'All Data'!$O:$O,0)))</f>
        <v/>
      </c>
      <c r="S80" s="150" t="str">
        <f>IF(F80="","",INDEX('All Data'!$K:$K,MATCH(F80,'All Data'!$O:$O,0)))</f>
        <v/>
      </c>
      <c r="T80" s="151" t="str">
        <f>IF(F80="","",INDEX('All Data'!$AS:$AS,MATCH(F80,'All Data'!$O:$O,0)))</f>
        <v/>
      </c>
      <c r="U80" s="573" t="str">
        <f t="shared" si="1"/>
        <v/>
      </c>
      <c r="V80" s="49"/>
    </row>
    <row r="81" spans="1:22" ht="18">
      <c r="A81" s="62"/>
      <c r="B81" s="63"/>
      <c r="C81" s="62"/>
      <c r="D81" s="60" t="str">
        <f>IF(F81="","",INDEX('All Data'!$F:$F,MATCH(F81,'All Data'!$O:$O,0)))</f>
        <v/>
      </c>
      <c r="E81" s="48" t="str">
        <f>IF(F81&lt;&gt;"",COUNTIF($F$7:F81,"*")&amp;".","")</f>
        <v/>
      </c>
      <c r="F81" s="116"/>
      <c r="G81" s="115" t="str">
        <f>IF(F81="","",INDEX('All Data'!$N:$N,MATCH(F81,'All Data'!$O:$O,0)))</f>
        <v/>
      </c>
      <c r="H81" s="114" t="str">
        <f>IF(F81="","",INDEX('All Data'!$Q:$Q,MATCH(F81,'All Data'!$O:$O,0)))</f>
        <v/>
      </c>
      <c r="I81" s="113" t="str">
        <f>IF(F81="","",INDEX('All Data'!$AF:$AF,MATCH(F81,'All Data'!$O:$O,0)))</f>
        <v/>
      </c>
      <c r="J81" s="60" t="str">
        <f>IF(F81="","",INDEX('All Data'!$AD:$AD,MATCH(F81,'All Data'!$O:$O,0)))</f>
        <v/>
      </c>
      <c r="K81" s="112" t="str">
        <f>IF(F81="","",INDEX('All Data'!$X:$X,MATCH(F81,'All Data'!$O:$O,0)))</f>
        <v/>
      </c>
      <c r="L81" s="60" t="str">
        <f>IF(F81="","",INDEX('All Data'!$Y:$Y,MATCH(F81,'All Data'!$O:$O,0)))</f>
        <v/>
      </c>
      <c r="M81" s="112" t="str">
        <f>IF(F81="","",INDEX('All Data'!$Z:$Z,MATCH(F81,'All Data'!$O:$O,0)))</f>
        <v/>
      </c>
      <c r="N81" s="111" t="str">
        <f>IF(F81="","",INDEX('All Data'!$AA:$AA,MATCH(F81,'All Data'!$O:$O,0)))</f>
        <v/>
      </c>
      <c r="O81" s="112" t="str">
        <f>IF(F81="","",INDEX('All Data'!$U:$U,MATCH(F81,'All Data'!$O:$O,0)))</f>
        <v/>
      </c>
      <c r="P81" s="150" t="str">
        <f>IF(F81="","",INDEX('All Data'!$V:$V,MATCH(F81,'All Data'!$O:$O,0)))</f>
        <v/>
      </c>
      <c r="Q81" s="228" t="str">
        <f>IF(F81="","",INDEX('All Data'!$AK:$AK,MATCH(F81,'All Data'!$O:$O,0)))</f>
        <v/>
      </c>
      <c r="R81" s="112" t="str">
        <f>IF(F81="","",INDEX('All Data'!$I:$I,MATCH(F81,'All Data'!$O:$O,0)))</f>
        <v/>
      </c>
      <c r="S81" s="150" t="str">
        <f>IF(F81="","",INDEX('All Data'!$K:$K,MATCH(F81,'All Data'!$O:$O,0)))</f>
        <v/>
      </c>
      <c r="T81" s="151" t="str">
        <f>IF(F81="","",INDEX('All Data'!$AS:$AS,MATCH(F81,'All Data'!$O:$O,0)))</f>
        <v/>
      </c>
      <c r="U81" s="573" t="str">
        <f t="shared" si="1"/>
        <v/>
      </c>
      <c r="V81" s="49"/>
    </row>
    <row r="82" spans="1:22" ht="18">
      <c r="A82" s="62"/>
      <c r="B82" s="63"/>
      <c r="C82" s="62"/>
      <c r="D82" s="60" t="str">
        <f>IF(F82="","",INDEX('All Data'!$F:$F,MATCH(F82,'All Data'!$O:$O,0)))</f>
        <v/>
      </c>
      <c r="E82" s="48" t="str">
        <f>IF(F82&lt;&gt;"",COUNTIF($F$7:F82,"*")&amp;".","")</f>
        <v/>
      </c>
      <c r="F82" s="116"/>
      <c r="G82" s="115" t="str">
        <f>IF(F82="","",INDEX('All Data'!$N:$N,MATCH(F82,'All Data'!$O:$O,0)))</f>
        <v/>
      </c>
      <c r="H82" s="114" t="str">
        <f>IF(F82="","",INDEX('All Data'!$Q:$Q,MATCH(F82,'All Data'!$O:$O,0)))</f>
        <v/>
      </c>
      <c r="I82" s="113" t="str">
        <f>IF(F82="","",INDEX('All Data'!$AF:$AF,MATCH(F82,'All Data'!$O:$O,0)))</f>
        <v/>
      </c>
      <c r="J82" s="60" t="str">
        <f>IF(F82="","",INDEX('All Data'!$AD:$AD,MATCH(F82,'All Data'!$O:$O,0)))</f>
        <v/>
      </c>
      <c r="K82" s="112" t="str">
        <f>IF(F82="","",INDEX('All Data'!$X:$X,MATCH(F82,'All Data'!$O:$O,0)))</f>
        <v/>
      </c>
      <c r="L82" s="60" t="str">
        <f>IF(F82="","",INDEX('All Data'!$Y:$Y,MATCH(F82,'All Data'!$O:$O,0)))</f>
        <v/>
      </c>
      <c r="M82" s="112" t="str">
        <f>IF(F82="","",INDEX('All Data'!$Z:$Z,MATCH(F82,'All Data'!$O:$O,0)))</f>
        <v/>
      </c>
      <c r="N82" s="111" t="str">
        <f>IF(F82="","",INDEX('All Data'!$AA:$AA,MATCH(F82,'All Data'!$O:$O,0)))</f>
        <v/>
      </c>
      <c r="O82" s="112" t="str">
        <f>IF(F82="","",INDEX('All Data'!$U:$U,MATCH(F82,'All Data'!$O:$O,0)))</f>
        <v/>
      </c>
      <c r="P82" s="150" t="str">
        <f>IF(F82="","",INDEX('All Data'!$V:$V,MATCH(F82,'All Data'!$O:$O,0)))</f>
        <v/>
      </c>
      <c r="Q82" s="228" t="str">
        <f>IF(F82="","",INDEX('All Data'!$AK:$AK,MATCH(F82,'All Data'!$O:$O,0)))</f>
        <v/>
      </c>
      <c r="R82" s="112" t="str">
        <f>IF(F82="","",INDEX('All Data'!$I:$I,MATCH(F82,'All Data'!$O:$O,0)))</f>
        <v/>
      </c>
      <c r="S82" s="150" t="str">
        <f>IF(F82="","",INDEX('All Data'!$K:$K,MATCH(F82,'All Data'!$O:$O,0)))</f>
        <v/>
      </c>
      <c r="T82" s="151" t="str">
        <f>IF(F82="","",INDEX('All Data'!$AS:$AS,MATCH(F82,'All Data'!$O:$O,0)))</f>
        <v/>
      </c>
      <c r="U82" s="573" t="str">
        <f t="shared" si="1"/>
        <v/>
      </c>
      <c r="V82" s="49"/>
    </row>
    <row r="83" spans="1:22" ht="18">
      <c r="A83" s="62"/>
      <c r="B83" s="63"/>
      <c r="C83" s="62"/>
      <c r="D83" s="60" t="str">
        <f>IF(F83="","",INDEX('All Data'!$F:$F,MATCH(F83,'All Data'!$O:$O,0)))</f>
        <v/>
      </c>
      <c r="E83" s="48" t="str">
        <f>IF(F83&lt;&gt;"",COUNTIF($F$7:F83,"*")&amp;".","")</f>
        <v/>
      </c>
      <c r="F83" s="116"/>
      <c r="G83" s="115" t="str">
        <f>IF(F83="","",INDEX('All Data'!$N:$N,MATCH(F83,'All Data'!$O:$O,0)))</f>
        <v/>
      </c>
      <c r="H83" s="114" t="str">
        <f>IF(F83="","",INDEX('All Data'!$Q:$Q,MATCH(F83,'All Data'!$O:$O,0)))</f>
        <v/>
      </c>
      <c r="I83" s="113" t="str">
        <f>IF(F83="","",INDEX('All Data'!$AF:$AF,MATCH(F83,'All Data'!$O:$O,0)))</f>
        <v/>
      </c>
      <c r="J83" s="60" t="str">
        <f>IF(F83="","",INDEX('All Data'!$AD:$AD,MATCH(F83,'All Data'!$O:$O,0)))</f>
        <v/>
      </c>
      <c r="K83" s="112" t="str">
        <f>IF(F83="","",INDEX('All Data'!$X:$X,MATCH(F83,'All Data'!$O:$O,0)))</f>
        <v/>
      </c>
      <c r="L83" s="60" t="str">
        <f>IF(F83="","",INDEX('All Data'!$Y:$Y,MATCH(F83,'All Data'!$O:$O,0)))</f>
        <v/>
      </c>
      <c r="M83" s="112" t="str">
        <f>IF(F83="","",INDEX('All Data'!$Z:$Z,MATCH(F83,'All Data'!$O:$O,0)))</f>
        <v/>
      </c>
      <c r="N83" s="111" t="str">
        <f>IF(F83="","",INDEX('All Data'!$AA:$AA,MATCH(F83,'All Data'!$O:$O,0)))</f>
        <v/>
      </c>
      <c r="O83" s="112" t="str">
        <f>IF(F83="","",INDEX('All Data'!$U:$U,MATCH(F83,'All Data'!$O:$O,0)))</f>
        <v/>
      </c>
      <c r="P83" s="150" t="str">
        <f>IF(F83="","",INDEX('All Data'!$V:$V,MATCH(F83,'All Data'!$O:$O,0)))</f>
        <v/>
      </c>
      <c r="Q83" s="228" t="str">
        <f>IF(F83="","",INDEX('All Data'!$AK:$AK,MATCH(F83,'All Data'!$O:$O,0)))</f>
        <v/>
      </c>
      <c r="R83" s="112" t="str">
        <f>IF(F83="","",INDEX('All Data'!$I:$I,MATCH(F83,'All Data'!$O:$O,0)))</f>
        <v/>
      </c>
      <c r="S83" s="150" t="str">
        <f>IF(F83="","",INDEX('All Data'!$K:$K,MATCH(F83,'All Data'!$O:$O,0)))</f>
        <v/>
      </c>
      <c r="T83" s="151" t="str">
        <f>IF(F83="","",INDEX('All Data'!$AS:$AS,MATCH(F83,'All Data'!$O:$O,0)))</f>
        <v/>
      </c>
      <c r="U83" s="573" t="str">
        <f t="shared" si="1"/>
        <v/>
      </c>
      <c r="V83" s="49"/>
    </row>
    <row r="84" spans="1:22" ht="18">
      <c r="A84" s="62"/>
      <c r="B84" s="63"/>
      <c r="C84" s="62"/>
      <c r="D84" s="60" t="str">
        <f>IF(F84="","",INDEX('All Data'!$F:$F,MATCH(F84,'All Data'!$O:$O,0)))</f>
        <v/>
      </c>
      <c r="E84" s="48" t="str">
        <f>IF(F84&lt;&gt;"",COUNTIF($F$7:F84,"*")&amp;".","")</f>
        <v/>
      </c>
      <c r="F84" s="116"/>
      <c r="G84" s="115" t="str">
        <f>IF(F84="","",INDEX('All Data'!$N:$N,MATCH(F84,'All Data'!$O:$O,0)))</f>
        <v/>
      </c>
      <c r="H84" s="114" t="str">
        <f>IF(F84="","",INDEX('All Data'!$Q:$Q,MATCH(F84,'All Data'!$O:$O,0)))</f>
        <v/>
      </c>
      <c r="I84" s="113" t="str">
        <f>IF(F84="","",INDEX('All Data'!$AF:$AF,MATCH(F84,'All Data'!$O:$O,0)))</f>
        <v/>
      </c>
      <c r="J84" s="60" t="str">
        <f>IF(F84="","",INDEX('All Data'!$AD:$AD,MATCH(F84,'All Data'!$O:$O,0)))</f>
        <v/>
      </c>
      <c r="K84" s="112" t="str">
        <f>IF(F84="","",INDEX('All Data'!$X:$X,MATCH(F84,'All Data'!$O:$O,0)))</f>
        <v/>
      </c>
      <c r="L84" s="60" t="str">
        <f>IF(F84="","",INDEX('All Data'!$Y:$Y,MATCH(F84,'All Data'!$O:$O,0)))</f>
        <v/>
      </c>
      <c r="M84" s="112" t="str">
        <f>IF(F84="","",INDEX('All Data'!$Z:$Z,MATCH(F84,'All Data'!$O:$O,0)))</f>
        <v/>
      </c>
      <c r="N84" s="111" t="str">
        <f>IF(F84="","",INDEX('All Data'!$AA:$AA,MATCH(F84,'All Data'!$O:$O,0)))</f>
        <v/>
      </c>
      <c r="O84" s="112" t="str">
        <f>IF(F84="","",INDEX('All Data'!$U:$U,MATCH(F84,'All Data'!$O:$O,0)))</f>
        <v/>
      </c>
      <c r="P84" s="150" t="str">
        <f>IF(F84="","",INDEX('All Data'!$V:$V,MATCH(F84,'All Data'!$O:$O,0)))</f>
        <v/>
      </c>
      <c r="Q84" s="228" t="str">
        <f>IF(F84="","",INDEX('All Data'!$AK:$AK,MATCH(F84,'All Data'!$O:$O,0)))</f>
        <v/>
      </c>
      <c r="R84" s="112" t="str">
        <f>IF(F84="","",INDEX('All Data'!$I:$I,MATCH(F84,'All Data'!$O:$O,0)))</f>
        <v/>
      </c>
      <c r="S84" s="150" t="str">
        <f>IF(F84="","",INDEX('All Data'!$K:$K,MATCH(F84,'All Data'!$O:$O,0)))</f>
        <v/>
      </c>
      <c r="T84" s="151" t="str">
        <f>IF(F84="","",INDEX('All Data'!$AS:$AS,MATCH(F84,'All Data'!$O:$O,0)))</f>
        <v/>
      </c>
      <c r="U84" s="573" t="str">
        <f t="shared" si="1"/>
        <v/>
      </c>
      <c r="V84" s="49"/>
    </row>
    <row r="85" spans="1:22" ht="18">
      <c r="A85" s="62"/>
      <c r="B85" s="63"/>
      <c r="C85" s="62"/>
      <c r="D85" s="60" t="str">
        <f>IF(F85="","",INDEX('All Data'!$F:$F,MATCH(F85,'All Data'!$O:$O,0)))</f>
        <v/>
      </c>
      <c r="E85" s="48" t="str">
        <f>IF(F85&lt;&gt;"",COUNTIF($F$7:F85,"*")&amp;".","")</f>
        <v/>
      </c>
      <c r="F85" s="116"/>
      <c r="G85" s="115" t="str">
        <f>IF(F85="","",INDEX('All Data'!$N:$N,MATCH(F85,'All Data'!$O:$O,0)))</f>
        <v/>
      </c>
      <c r="H85" s="114" t="str">
        <f>IF(F85="","",INDEX('All Data'!$Q:$Q,MATCH(F85,'All Data'!$O:$O,0)))</f>
        <v/>
      </c>
      <c r="I85" s="113" t="str">
        <f>IF(F85="","",INDEX('All Data'!$AF:$AF,MATCH(F85,'All Data'!$O:$O,0)))</f>
        <v/>
      </c>
      <c r="J85" s="60" t="str">
        <f>IF(F85="","",INDEX('All Data'!$AD:$AD,MATCH(F85,'All Data'!$O:$O,0)))</f>
        <v/>
      </c>
      <c r="K85" s="112" t="str">
        <f>IF(F85="","",INDEX('All Data'!$X:$X,MATCH(F85,'All Data'!$O:$O,0)))</f>
        <v/>
      </c>
      <c r="L85" s="60" t="str">
        <f>IF(F85="","",INDEX('All Data'!$Y:$Y,MATCH(F85,'All Data'!$O:$O,0)))</f>
        <v/>
      </c>
      <c r="M85" s="112" t="str">
        <f>IF(F85="","",INDEX('All Data'!$Z:$Z,MATCH(F85,'All Data'!$O:$O,0)))</f>
        <v/>
      </c>
      <c r="N85" s="111" t="str">
        <f>IF(F85="","",INDEX('All Data'!$AA:$AA,MATCH(F85,'All Data'!$O:$O,0)))</f>
        <v/>
      </c>
      <c r="O85" s="112" t="str">
        <f>IF(F85="","",INDEX('All Data'!$U:$U,MATCH(F85,'All Data'!$O:$O,0)))</f>
        <v/>
      </c>
      <c r="P85" s="150" t="str">
        <f>IF(F85="","",INDEX('All Data'!$V:$V,MATCH(F85,'All Data'!$O:$O,0)))</f>
        <v/>
      </c>
      <c r="Q85" s="228" t="str">
        <f>IF(F85="","",INDEX('All Data'!$AK:$AK,MATCH(F85,'All Data'!$O:$O,0)))</f>
        <v/>
      </c>
      <c r="R85" s="112" t="str">
        <f>IF(F85="","",INDEX('All Data'!$I:$I,MATCH(F85,'All Data'!$O:$O,0)))</f>
        <v/>
      </c>
      <c r="S85" s="150" t="str">
        <f>IF(F85="","",INDEX('All Data'!$K:$K,MATCH(F85,'All Data'!$O:$O,0)))</f>
        <v/>
      </c>
      <c r="T85" s="151" t="str">
        <f>IF(F85="","",INDEX('All Data'!$AS:$AS,MATCH(F85,'All Data'!$O:$O,0)))</f>
        <v/>
      </c>
      <c r="U85" s="573" t="str">
        <f t="shared" si="1"/>
        <v/>
      </c>
      <c r="V85" s="49"/>
    </row>
    <row r="86" spans="1:22" ht="18">
      <c r="A86" s="62"/>
      <c r="B86" s="63"/>
      <c r="C86" s="62"/>
      <c r="D86" s="60" t="str">
        <f>IF(F86="","",INDEX('All Data'!$F:$F,MATCH(F86,'All Data'!$O:$O,0)))</f>
        <v/>
      </c>
      <c r="E86" s="48" t="str">
        <f>IF(F86&lt;&gt;"",COUNTIF($F$7:F86,"*")&amp;".","")</f>
        <v/>
      </c>
      <c r="F86" s="116"/>
      <c r="G86" s="115" t="str">
        <f>IF(F86="","",INDEX('All Data'!$N:$N,MATCH(F86,'All Data'!$O:$O,0)))</f>
        <v/>
      </c>
      <c r="H86" s="114" t="str">
        <f>IF(F86="","",INDEX('All Data'!$Q:$Q,MATCH(F86,'All Data'!$O:$O,0)))</f>
        <v/>
      </c>
      <c r="I86" s="113" t="str">
        <f>IF(F86="","",INDEX('All Data'!$AF:$AF,MATCH(F86,'All Data'!$O:$O,0)))</f>
        <v/>
      </c>
      <c r="J86" s="60" t="str">
        <f>IF(F86="","",INDEX('All Data'!$AD:$AD,MATCH(F86,'All Data'!$O:$O,0)))</f>
        <v/>
      </c>
      <c r="K86" s="112" t="str">
        <f>IF(F86="","",INDEX('All Data'!$X:$X,MATCH(F86,'All Data'!$O:$O,0)))</f>
        <v/>
      </c>
      <c r="L86" s="60" t="str">
        <f>IF(F86="","",INDEX('All Data'!$Y:$Y,MATCH(F86,'All Data'!$O:$O,0)))</f>
        <v/>
      </c>
      <c r="M86" s="112" t="str">
        <f>IF(F86="","",INDEX('All Data'!$Z:$Z,MATCH(F86,'All Data'!$O:$O,0)))</f>
        <v/>
      </c>
      <c r="N86" s="111" t="str">
        <f>IF(F86="","",INDEX('All Data'!$AA:$AA,MATCH(F86,'All Data'!$O:$O,0)))</f>
        <v/>
      </c>
      <c r="O86" s="112" t="str">
        <f>IF(F86="","",INDEX('All Data'!$U:$U,MATCH(F86,'All Data'!$O:$O,0)))</f>
        <v/>
      </c>
      <c r="P86" s="150" t="str">
        <f>IF(F86="","",INDEX('All Data'!$V:$V,MATCH(F86,'All Data'!$O:$O,0)))</f>
        <v/>
      </c>
      <c r="Q86" s="228" t="str">
        <f>IF(F86="","",INDEX('All Data'!$AK:$AK,MATCH(F86,'All Data'!$O:$O,0)))</f>
        <v/>
      </c>
      <c r="R86" s="112" t="str">
        <f>IF(F86="","",INDEX('All Data'!$I:$I,MATCH(F86,'All Data'!$O:$O,0)))</f>
        <v/>
      </c>
      <c r="S86" s="150" t="str">
        <f>IF(F86="","",INDEX('All Data'!$K:$K,MATCH(F86,'All Data'!$O:$O,0)))</f>
        <v/>
      </c>
      <c r="T86" s="151" t="str">
        <f>IF(F86="","",INDEX('All Data'!$AS:$AS,MATCH(F86,'All Data'!$O:$O,0)))</f>
        <v/>
      </c>
      <c r="U86" s="573" t="str">
        <f t="shared" si="1"/>
        <v/>
      </c>
      <c r="V86" s="49"/>
    </row>
    <row r="87" spans="1:22" ht="18">
      <c r="A87" s="62"/>
      <c r="B87" s="63"/>
      <c r="C87" s="62"/>
      <c r="D87" s="60" t="str">
        <f>IF(F87="","",INDEX('All Data'!$F:$F,MATCH(F87,'All Data'!$O:$O,0)))</f>
        <v/>
      </c>
      <c r="E87" s="48" t="str">
        <f>IF(F87&lt;&gt;"",COUNTIF($F$7:F87,"*")&amp;".","")</f>
        <v/>
      </c>
      <c r="F87" s="116"/>
      <c r="G87" s="115" t="str">
        <f>IF(F87="","",INDEX('All Data'!$N:$N,MATCH(F87,'All Data'!$O:$O,0)))</f>
        <v/>
      </c>
      <c r="H87" s="114" t="str">
        <f>IF(F87="","",INDEX('All Data'!$Q:$Q,MATCH(F87,'All Data'!$O:$O,0)))</f>
        <v/>
      </c>
      <c r="I87" s="113" t="str">
        <f>IF(F87="","",INDEX('All Data'!$AF:$AF,MATCH(F87,'All Data'!$O:$O,0)))</f>
        <v/>
      </c>
      <c r="J87" s="60" t="str">
        <f>IF(F87="","",INDEX('All Data'!$AD:$AD,MATCH(F87,'All Data'!$O:$O,0)))</f>
        <v/>
      </c>
      <c r="K87" s="112" t="str">
        <f>IF(F87="","",INDEX('All Data'!$X:$X,MATCH(F87,'All Data'!$O:$O,0)))</f>
        <v/>
      </c>
      <c r="L87" s="60" t="str">
        <f>IF(F87="","",INDEX('All Data'!$Y:$Y,MATCH(F87,'All Data'!$O:$O,0)))</f>
        <v/>
      </c>
      <c r="M87" s="112" t="str">
        <f>IF(F87="","",INDEX('All Data'!$Z:$Z,MATCH(F87,'All Data'!$O:$O,0)))</f>
        <v/>
      </c>
      <c r="N87" s="111" t="str">
        <f>IF(F87="","",INDEX('All Data'!$AA:$AA,MATCH(F87,'All Data'!$O:$O,0)))</f>
        <v/>
      </c>
      <c r="O87" s="112" t="str">
        <f>IF(F87="","",INDEX('All Data'!$U:$U,MATCH(F87,'All Data'!$O:$O,0)))</f>
        <v/>
      </c>
      <c r="P87" s="150" t="str">
        <f>IF(F87="","",INDEX('All Data'!$V:$V,MATCH(F87,'All Data'!$O:$O,0)))</f>
        <v/>
      </c>
      <c r="Q87" s="228" t="str">
        <f>IF(F87="","",INDEX('All Data'!$AK:$AK,MATCH(F87,'All Data'!$O:$O,0)))</f>
        <v/>
      </c>
      <c r="R87" s="112" t="str">
        <f>IF(F87="","",INDEX('All Data'!$I:$I,MATCH(F87,'All Data'!$O:$O,0)))</f>
        <v/>
      </c>
      <c r="S87" s="150" t="str">
        <f>IF(F87="","",INDEX('All Data'!$K:$K,MATCH(F87,'All Data'!$O:$O,0)))</f>
        <v/>
      </c>
      <c r="T87" s="151" t="str">
        <f>IF(F87="","",INDEX('All Data'!$AS:$AS,MATCH(F87,'All Data'!$O:$O,0)))</f>
        <v/>
      </c>
      <c r="U87" s="573" t="str">
        <f t="shared" si="1"/>
        <v/>
      </c>
      <c r="V87" s="49"/>
    </row>
    <row r="88" spans="1:22" ht="18">
      <c r="A88" s="62"/>
      <c r="B88" s="63"/>
      <c r="C88" s="62"/>
      <c r="D88" s="60" t="str">
        <f>IF(F88="","",INDEX('All Data'!$F:$F,MATCH(F88,'All Data'!$O:$O,0)))</f>
        <v/>
      </c>
      <c r="E88" s="48" t="str">
        <f>IF(F88&lt;&gt;"",COUNTIF($F$7:F88,"*")&amp;".","")</f>
        <v/>
      </c>
      <c r="F88" s="116"/>
      <c r="G88" s="115" t="str">
        <f>IF(F88="","",INDEX('All Data'!$N:$N,MATCH(F88,'All Data'!$O:$O,0)))</f>
        <v/>
      </c>
      <c r="H88" s="114" t="str">
        <f>IF(F88="","",INDEX('All Data'!$Q:$Q,MATCH(F88,'All Data'!$O:$O,0)))</f>
        <v/>
      </c>
      <c r="I88" s="113" t="str">
        <f>IF(F88="","",INDEX('All Data'!$AF:$AF,MATCH(F88,'All Data'!$O:$O,0)))</f>
        <v/>
      </c>
      <c r="J88" s="60" t="str">
        <f>IF(F88="","",INDEX('All Data'!$AD:$AD,MATCH(F88,'All Data'!$O:$O,0)))</f>
        <v/>
      </c>
      <c r="K88" s="112" t="str">
        <f>IF(F88="","",INDEX('All Data'!$X:$X,MATCH(F88,'All Data'!$O:$O,0)))</f>
        <v/>
      </c>
      <c r="L88" s="60" t="str">
        <f>IF(F88="","",INDEX('All Data'!$Y:$Y,MATCH(F88,'All Data'!$O:$O,0)))</f>
        <v/>
      </c>
      <c r="M88" s="112" t="str">
        <f>IF(F88="","",INDEX('All Data'!$Z:$Z,MATCH(F88,'All Data'!$O:$O,0)))</f>
        <v/>
      </c>
      <c r="N88" s="111" t="str">
        <f>IF(F88="","",INDEX('All Data'!$AA:$AA,MATCH(F88,'All Data'!$O:$O,0)))</f>
        <v/>
      </c>
      <c r="O88" s="112" t="str">
        <f>IF(F88="","",INDEX('All Data'!$U:$U,MATCH(F88,'All Data'!$O:$O,0)))</f>
        <v/>
      </c>
      <c r="P88" s="150" t="str">
        <f>IF(F88="","",INDEX('All Data'!$V:$V,MATCH(F88,'All Data'!$O:$O,0)))</f>
        <v/>
      </c>
      <c r="Q88" s="228" t="str">
        <f>IF(F88="","",INDEX('All Data'!$AK:$AK,MATCH(F88,'All Data'!$O:$O,0)))</f>
        <v/>
      </c>
      <c r="R88" s="112" t="str">
        <f>IF(F88="","",INDEX('All Data'!$I:$I,MATCH(F88,'All Data'!$O:$O,0)))</f>
        <v/>
      </c>
      <c r="S88" s="150" t="str">
        <f>IF(F88="","",INDEX('All Data'!$K:$K,MATCH(F88,'All Data'!$O:$O,0)))</f>
        <v/>
      </c>
      <c r="T88" s="151" t="str">
        <f>IF(F88="","",INDEX('All Data'!$AS:$AS,MATCH(F88,'All Data'!$O:$O,0)))</f>
        <v/>
      </c>
      <c r="U88" s="573" t="str">
        <f t="shared" si="1"/>
        <v/>
      </c>
      <c r="V88" s="49"/>
    </row>
    <row r="89" spans="1:22" ht="18">
      <c r="A89" s="62"/>
      <c r="B89" s="63"/>
      <c r="C89" s="62"/>
      <c r="D89" s="60" t="str">
        <f>IF(F89="","",INDEX('All Data'!$F:$F,MATCH(F89,'All Data'!$O:$O,0)))</f>
        <v/>
      </c>
      <c r="E89" s="48" t="str">
        <f>IF(F89&lt;&gt;"",COUNTIF($F$7:F89,"*")&amp;".","")</f>
        <v/>
      </c>
      <c r="F89" s="116"/>
      <c r="G89" s="115" t="str">
        <f>IF(F89="","",INDEX('All Data'!$N:$N,MATCH(F89,'All Data'!$O:$O,0)))</f>
        <v/>
      </c>
      <c r="H89" s="114" t="str">
        <f>IF(F89="","",INDEX('All Data'!$Q:$Q,MATCH(F89,'All Data'!$O:$O,0)))</f>
        <v/>
      </c>
      <c r="I89" s="113" t="str">
        <f>IF(F89="","",INDEX('All Data'!$AF:$AF,MATCH(F89,'All Data'!$O:$O,0)))</f>
        <v/>
      </c>
      <c r="J89" s="60" t="str">
        <f>IF(F89="","",INDEX('All Data'!$AD:$AD,MATCH(F89,'All Data'!$O:$O,0)))</f>
        <v/>
      </c>
      <c r="K89" s="112" t="str">
        <f>IF(F89="","",INDEX('All Data'!$X:$X,MATCH(F89,'All Data'!$O:$O,0)))</f>
        <v/>
      </c>
      <c r="L89" s="60" t="str">
        <f>IF(F89="","",INDEX('All Data'!$Y:$Y,MATCH(F89,'All Data'!$O:$O,0)))</f>
        <v/>
      </c>
      <c r="M89" s="112" t="str">
        <f>IF(F89="","",INDEX('All Data'!$Z:$Z,MATCH(F89,'All Data'!$O:$O,0)))</f>
        <v/>
      </c>
      <c r="N89" s="111" t="str">
        <f>IF(F89="","",INDEX('All Data'!$AA:$AA,MATCH(F89,'All Data'!$O:$O,0)))</f>
        <v/>
      </c>
      <c r="O89" s="112" t="str">
        <f>IF(F89="","",INDEX('All Data'!$U:$U,MATCH(F89,'All Data'!$O:$O,0)))</f>
        <v/>
      </c>
      <c r="P89" s="150" t="str">
        <f>IF(F89="","",INDEX('All Data'!$V:$V,MATCH(F89,'All Data'!$O:$O,0)))</f>
        <v/>
      </c>
      <c r="Q89" s="228" t="str">
        <f>IF(F89="","",INDEX('All Data'!$AK:$AK,MATCH(F89,'All Data'!$O:$O,0)))</f>
        <v/>
      </c>
      <c r="R89" s="112" t="str">
        <f>IF(F89="","",INDEX('All Data'!$I:$I,MATCH(F89,'All Data'!$O:$O,0)))</f>
        <v/>
      </c>
      <c r="S89" s="150" t="str">
        <f>IF(F89="","",INDEX('All Data'!$K:$K,MATCH(F89,'All Data'!$O:$O,0)))</f>
        <v/>
      </c>
      <c r="T89" s="151" t="str">
        <f>IF(F89="","",INDEX('All Data'!$AS:$AS,MATCH(F89,'All Data'!$O:$O,0)))</f>
        <v/>
      </c>
      <c r="U89" s="573" t="str">
        <f t="shared" si="1"/>
        <v/>
      </c>
      <c r="V89" s="49"/>
    </row>
    <row r="90" spans="1:22" ht="18">
      <c r="A90" s="62"/>
      <c r="B90" s="63"/>
      <c r="C90" s="62"/>
      <c r="D90" s="60" t="str">
        <f>IF(F90="","",INDEX('All Data'!$F:$F,MATCH(F90,'All Data'!$O:$O,0)))</f>
        <v/>
      </c>
      <c r="E90" s="48" t="str">
        <f>IF(F90&lt;&gt;"",COUNTIF($F$7:F90,"*")&amp;".","")</f>
        <v/>
      </c>
      <c r="F90" s="116"/>
      <c r="G90" s="115" t="str">
        <f>IF(F90="","",INDEX('All Data'!$N:$N,MATCH(F90,'All Data'!$O:$O,0)))</f>
        <v/>
      </c>
      <c r="H90" s="114" t="str">
        <f>IF(F90="","",INDEX('All Data'!$Q:$Q,MATCH(F90,'All Data'!$O:$O,0)))</f>
        <v/>
      </c>
      <c r="I90" s="113" t="str">
        <f>IF(F90="","",INDEX('All Data'!$AF:$AF,MATCH(F90,'All Data'!$O:$O,0)))</f>
        <v/>
      </c>
      <c r="J90" s="60" t="str">
        <f>IF(F90="","",INDEX('All Data'!$AD:$AD,MATCH(F90,'All Data'!$O:$O,0)))</f>
        <v/>
      </c>
      <c r="K90" s="112" t="str">
        <f>IF(F90="","",INDEX('All Data'!$X:$X,MATCH(F90,'All Data'!$O:$O,0)))</f>
        <v/>
      </c>
      <c r="L90" s="60" t="str">
        <f>IF(F90="","",INDEX('All Data'!$Y:$Y,MATCH(F90,'All Data'!$O:$O,0)))</f>
        <v/>
      </c>
      <c r="M90" s="112" t="str">
        <f>IF(F90="","",INDEX('All Data'!$Z:$Z,MATCH(F90,'All Data'!$O:$O,0)))</f>
        <v/>
      </c>
      <c r="N90" s="111" t="str">
        <f>IF(F90="","",INDEX('All Data'!$AA:$AA,MATCH(F90,'All Data'!$O:$O,0)))</f>
        <v/>
      </c>
      <c r="O90" s="112" t="str">
        <f>IF(F90="","",INDEX('All Data'!$U:$U,MATCH(F90,'All Data'!$O:$O,0)))</f>
        <v/>
      </c>
      <c r="P90" s="150" t="str">
        <f>IF(F90="","",INDEX('All Data'!$V:$V,MATCH(F90,'All Data'!$O:$O,0)))</f>
        <v/>
      </c>
      <c r="Q90" s="228" t="str">
        <f>IF(F90="","",INDEX('All Data'!$AK:$AK,MATCH(F90,'All Data'!$O:$O,0)))</f>
        <v/>
      </c>
      <c r="R90" s="112" t="str">
        <f>IF(F90="","",INDEX('All Data'!$I:$I,MATCH(F90,'All Data'!$O:$O,0)))</f>
        <v/>
      </c>
      <c r="S90" s="150" t="str">
        <f>IF(F90="","",INDEX('All Data'!$K:$K,MATCH(F90,'All Data'!$O:$O,0)))</f>
        <v/>
      </c>
      <c r="T90" s="151" t="str">
        <f>IF(F90="","",INDEX('All Data'!$AS:$AS,MATCH(F90,'All Data'!$O:$O,0)))</f>
        <v/>
      </c>
      <c r="U90" s="573" t="str">
        <f t="shared" si="1"/>
        <v/>
      </c>
      <c r="V90" s="49"/>
    </row>
    <row r="91" spans="1:22" ht="18">
      <c r="A91" s="62"/>
      <c r="B91" s="63"/>
      <c r="C91" s="62"/>
      <c r="D91" s="60" t="str">
        <f>IF(F91="","",INDEX('All Data'!$F:$F,MATCH(F91,'All Data'!$O:$O,0)))</f>
        <v/>
      </c>
      <c r="E91" s="48" t="str">
        <f>IF(F91&lt;&gt;"",COUNTIF($F$7:F91,"*")&amp;".","")</f>
        <v/>
      </c>
      <c r="F91" s="116"/>
      <c r="G91" s="115" t="str">
        <f>IF(F91="","",INDEX('All Data'!$N:$N,MATCH(F91,'All Data'!$O:$O,0)))</f>
        <v/>
      </c>
      <c r="H91" s="114" t="str">
        <f>IF(F91="","",INDEX('All Data'!$Q:$Q,MATCH(F91,'All Data'!$O:$O,0)))</f>
        <v/>
      </c>
      <c r="I91" s="113" t="str">
        <f>IF(F91="","",INDEX('All Data'!$AF:$AF,MATCH(F91,'All Data'!$O:$O,0)))</f>
        <v/>
      </c>
      <c r="J91" s="60" t="str">
        <f>IF(F91="","",INDEX('All Data'!$AD:$AD,MATCH(F91,'All Data'!$O:$O,0)))</f>
        <v/>
      </c>
      <c r="K91" s="112" t="str">
        <f>IF(F91="","",INDEX('All Data'!$X:$X,MATCH(F91,'All Data'!$O:$O,0)))</f>
        <v/>
      </c>
      <c r="L91" s="60" t="str">
        <f>IF(F91="","",INDEX('All Data'!$Y:$Y,MATCH(F91,'All Data'!$O:$O,0)))</f>
        <v/>
      </c>
      <c r="M91" s="112" t="str">
        <f>IF(F91="","",INDEX('All Data'!$Z:$Z,MATCH(F91,'All Data'!$O:$O,0)))</f>
        <v/>
      </c>
      <c r="N91" s="111" t="str">
        <f>IF(F91="","",INDEX('All Data'!$AA:$AA,MATCH(F91,'All Data'!$O:$O,0)))</f>
        <v/>
      </c>
      <c r="O91" s="112" t="str">
        <f>IF(F91="","",INDEX('All Data'!$U:$U,MATCH(F91,'All Data'!$O:$O,0)))</f>
        <v/>
      </c>
      <c r="P91" s="150" t="str">
        <f>IF(F91="","",INDEX('All Data'!$V:$V,MATCH(F91,'All Data'!$O:$O,0)))</f>
        <v/>
      </c>
      <c r="Q91" s="228" t="str">
        <f>IF(F91="","",INDEX('All Data'!$AK:$AK,MATCH(F91,'All Data'!$O:$O,0)))</f>
        <v/>
      </c>
      <c r="R91" s="112" t="str">
        <f>IF(F91="","",INDEX('All Data'!$I:$I,MATCH(F91,'All Data'!$O:$O,0)))</f>
        <v/>
      </c>
      <c r="S91" s="150" t="str">
        <f>IF(F91="","",INDEX('All Data'!$K:$K,MATCH(F91,'All Data'!$O:$O,0)))</f>
        <v/>
      </c>
      <c r="T91" s="151" t="str">
        <f>IF(F91="","",INDEX('All Data'!$AS:$AS,MATCH(F91,'All Data'!$O:$O,0)))</f>
        <v/>
      </c>
      <c r="U91" s="573" t="str">
        <f t="shared" si="1"/>
        <v/>
      </c>
      <c r="V91" s="49"/>
    </row>
    <row r="92" spans="1:22" ht="18">
      <c r="A92" s="62"/>
      <c r="B92" s="63"/>
      <c r="C92" s="62"/>
      <c r="D92" s="60" t="str">
        <f>IF(F92="","",INDEX('All Data'!$F:$F,MATCH(F92,'All Data'!$O:$O,0)))</f>
        <v/>
      </c>
      <c r="E92" s="48" t="str">
        <f>IF(F92&lt;&gt;"",COUNTIF($F$7:F92,"*")&amp;".","")</f>
        <v/>
      </c>
      <c r="F92" s="116"/>
      <c r="G92" s="115" t="str">
        <f>IF(F92="","",INDEX('All Data'!$N:$N,MATCH(F92,'All Data'!$O:$O,0)))</f>
        <v/>
      </c>
      <c r="H92" s="114" t="str">
        <f>IF(F92="","",INDEX('All Data'!$Q:$Q,MATCH(F92,'All Data'!$O:$O,0)))</f>
        <v/>
      </c>
      <c r="I92" s="113" t="str">
        <f>IF(F92="","",INDEX('All Data'!$AF:$AF,MATCH(F92,'All Data'!$O:$O,0)))</f>
        <v/>
      </c>
      <c r="J92" s="60" t="str">
        <f>IF(F92="","",INDEX('All Data'!$AD:$AD,MATCH(F92,'All Data'!$O:$O,0)))</f>
        <v/>
      </c>
      <c r="K92" s="112" t="str">
        <f>IF(F92="","",INDEX('All Data'!$X:$X,MATCH(F92,'All Data'!$O:$O,0)))</f>
        <v/>
      </c>
      <c r="L92" s="60" t="str">
        <f>IF(F92="","",INDEX('All Data'!$Y:$Y,MATCH(F92,'All Data'!$O:$O,0)))</f>
        <v/>
      </c>
      <c r="M92" s="112" t="str">
        <f>IF(F92="","",INDEX('All Data'!$Z:$Z,MATCH(F92,'All Data'!$O:$O,0)))</f>
        <v/>
      </c>
      <c r="N92" s="111" t="str">
        <f>IF(F92="","",INDEX('All Data'!$AA:$AA,MATCH(F92,'All Data'!$O:$O,0)))</f>
        <v/>
      </c>
      <c r="O92" s="112" t="str">
        <f>IF(F92="","",INDEX('All Data'!$U:$U,MATCH(F92,'All Data'!$O:$O,0)))</f>
        <v/>
      </c>
      <c r="P92" s="150" t="str">
        <f>IF(F92="","",INDEX('All Data'!$V:$V,MATCH(F92,'All Data'!$O:$O,0)))</f>
        <v/>
      </c>
      <c r="Q92" s="228" t="str">
        <f>IF(F92="","",INDEX('All Data'!$AK:$AK,MATCH(F92,'All Data'!$O:$O,0)))</f>
        <v/>
      </c>
      <c r="R92" s="112" t="str">
        <f>IF(F92="","",INDEX('All Data'!$I:$I,MATCH(F92,'All Data'!$O:$O,0)))</f>
        <v/>
      </c>
      <c r="S92" s="150" t="str">
        <f>IF(F92="","",INDEX('All Data'!$K:$K,MATCH(F92,'All Data'!$O:$O,0)))</f>
        <v/>
      </c>
      <c r="T92" s="151" t="str">
        <f>IF(F92="","",INDEX('All Data'!$AS:$AS,MATCH(F92,'All Data'!$O:$O,0)))</f>
        <v/>
      </c>
      <c r="U92" s="573" t="str">
        <f t="shared" si="1"/>
        <v/>
      </c>
      <c r="V92" s="49"/>
    </row>
    <row r="93" spans="1:22" ht="18">
      <c r="A93" s="62"/>
      <c r="B93" s="63"/>
      <c r="C93" s="62"/>
      <c r="D93" s="60" t="str">
        <f>IF(F93="","",INDEX('All Data'!$F:$F,MATCH(F93,'All Data'!$O:$O,0)))</f>
        <v/>
      </c>
      <c r="E93" s="48" t="str">
        <f>IF(F93&lt;&gt;"",COUNTIF($F$7:F93,"*")&amp;".","")</f>
        <v/>
      </c>
      <c r="F93" s="116"/>
      <c r="G93" s="115" t="str">
        <f>IF(F93="","",INDEX('All Data'!$N:$N,MATCH(F93,'All Data'!$O:$O,0)))</f>
        <v/>
      </c>
      <c r="H93" s="114" t="str">
        <f>IF(F93="","",INDEX('All Data'!$Q:$Q,MATCH(F93,'All Data'!$O:$O,0)))</f>
        <v/>
      </c>
      <c r="I93" s="113" t="str">
        <f>IF(F93="","",INDEX('All Data'!$AF:$AF,MATCH(F93,'All Data'!$O:$O,0)))</f>
        <v/>
      </c>
      <c r="J93" s="60" t="str">
        <f>IF(F93="","",INDEX('All Data'!$AD:$AD,MATCH(F93,'All Data'!$O:$O,0)))</f>
        <v/>
      </c>
      <c r="K93" s="112" t="str">
        <f>IF(F93="","",INDEX('All Data'!$X:$X,MATCH(F93,'All Data'!$O:$O,0)))</f>
        <v/>
      </c>
      <c r="L93" s="60" t="str">
        <f>IF(F93="","",INDEX('All Data'!$Y:$Y,MATCH(F93,'All Data'!$O:$O,0)))</f>
        <v/>
      </c>
      <c r="M93" s="112" t="str">
        <f>IF(F93="","",INDEX('All Data'!$Z:$Z,MATCH(F93,'All Data'!$O:$O,0)))</f>
        <v/>
      </c>
      <c r="N93" s="111" t="str">
        <f>IF(F93="","",INDEX('All Data'!$AA:$AA,MATCH(F93,'All Data'!$O:$O,0)))</f>
        <v/>
      </c>
      <c r="O93" s="112" t="str">
        <f>IF(F93="","",INDEX('All Data'!$U:$U,MATCH(F93,'All Data'!$O:$O,0)))</f>
        <v/>
      </c>
      <c r="P93" s="150" t="str">
        <f>IF(F93="","",INDEX('All Data'!$V:$V,MATCH(F93,'All Data'!$O:$O,0)))</f>
        <v/>
      </c>
      <c r="Q93" s="228" t="str">
        <f>IF(F93="","",INDEX('All Data'!$AK:$AK,MATCH(F93,'All Data'!$O:$O,0)))</f>
        <v/>
      </c>
      <c r="R93" s="112" t="str">
        <f>IF(F93="","",INDEX('All Data'!$I:$I,MATCH(F93,'All Data'!$O:$O,0)))</f>
        <v/>
      </c>
      <c r="S93" s="150" t="str">
        <f>IF(F93="","",INDEX('All Data'!$K:$K,MATCH(F93,'All Data'!$O:$O,0)))</f>
        <v/>
      </c>
      <c r="T93" s="151" t="str">
        <f>IF(F93="","",INDEX('All Data'!$AS:$AS,MATCH(F93,'All Data'!$O:$O,0)))</f>
        <v/>
      </c>
      <c r="U93" s="573" t="str">
        <f t="shared" si="1"/>
        <v/>
      </c>
      <c r="V93" s="49"/>
    </row>
    <row r="94" spans="1:22" ht="18">
      <c r="A94" s="62"/>
      <c r="B94" s="63"/>
      <c r="C94" s="62"/>
      <c r="D94" s="60" t="str">
        <f>IF(F94="","",INDEX('All Data'!$F:$F,MATCH(F94,'All Data'!$O:$O,0)))</f>
        <v/>
      </c>
      <c r="E94" s="48" t="str">
        <f>IF(F94&lt;&gt;"",COUNTIF($F$7:F94,"*")&amp;".","")</f>
        <v/>
      </c>
      <c r="F94" s="116"/>
      <c r="G94" s="115" t="str">
        <f>IF(F94="","",INDEX('All Data'!$N:$N,MATCH(F94,'All Data'!$O:$O,0)))</f>
        <v/>
      </c>
      <c r="H94" s="114" t="str">
        <f>IF(F94="","",INDEX('All Data'!$Q:$Q,MATCH(F94,'All Data'!$O:$O,0)))</f>
        <v/>
      </c>
      <c r="I94" s="113" t="str">
        <f>IF(F94="","",INDEX('All Data'!$AF:$AF,MATCH(F94,'All Data'!$O:$O,0)))</f>
        <v/>
      </c>
      <c r="J94" s="60" t="str">
        <f>IF(F94="","",INDEX('All Data'!$AD:$AD,MATCH(F94,'All Data'!$O:$O,0)))</f>
        <v/>
      </c>
      <c r="K94" s="112" t="str">
        <f>IF(F94="","",INDEX('All Data'!$X:$X,MATCH(F94,'All Data'!$O:$O,0)))</f>
        <v/>
      </c>
      <c r="L94" s="60" t="str">
        <f>IF(F94="","",INDEX('All Data'!$Y:$Y,MATCH(F94,'All Data'!$O:$O,0)))</f>
        <v/>
      </c>
      <c r="M94" s="112" t="str">
        <f>IF(F94="","",INDEX('All Data'!$Z:$Z,MATCH(F94,'All Data'!$O:$O,0)))</f>
        <v/>
      </c>
      <c r="N94" s="111" t="str">
        <f>IF(F94="","",INDEX('All Data'!$AA:$AA,MATCH(F94,'All Data'!$O:$O,0)))</f>
        <v/>
      </c>
      <c r="O94" s="112" t="str">
        <f>IF(F94="","",INDEX('All Data'!$U:$U,MATCH(F94,'All Data'!$O:$O,0)))</f>
        <v/>
      </c>
      <c r="P94" s="150" t="str">
        <f>IF(F94="","",INDEX('All Data'!$V:$V,MATCH(F94,'All Data'!$O:$O,0)))</f>
        <v/>
      </c>
      <c r="Q94" s="228" t="str">
        <f>IF(F94="","",INDEX('All Data'!$AK:$AK,MATCH(F94,'All Data'!$O:$O,0)))</f>
        <v/>
      </c>
      <c r="R94" s="112" t="str">
        <f>IF(F94="","",INDEX('All Data'!$I:$I,MATCH(F94,'All Data'!$O:$O,0)))</f>
        <v/>
      </c>
      <c r="S94" s="150" t="str">
        <f>IF(F94="","",INDEX('All Data'!$K:$K,MATCH(F94,'All Data'!$O:$O,0)))</f>
        <v/>
      </c>
      <c r="T94" s="151" t="str">
        <f>IF(F94="","",INDEX('All Data'!$AS:$AS,MATCH(F94,'All Data'!$O:$O,0)))</f>
        <v/>
      </c>
      <c r="U94" s="573" t="str">
        <f t="shared" si="1"/>
        <v/>
      </c>
      <c r="V94" s="49"/>
    </row>
    <row r="95" spans="1:22" ht="18">
      <c r="A95" s="62"/>
      <c r="B95" s="63"/>
      <c r="C95" s="62"/>
      <c r="D95" s="60" t="str">
        <f>IF(F95="","",INDEX('All Data'!$F:$F,MATCH(F95,'All Data'!$O:$O,0)))</f>
        <v/>
      </c>
      <c r="E95" s="48" t="str">
        <f>IF(F95&lt;&gt;"",COUNTIF($F$7:F95,"*")&amp;".","")</f>
        <v/>
      </c>
      <c r="F95" s="116"/>
      <c r="G95" s="115" t="str">
        <f>IF(F95="","",INDEX('All Data'!$N:$N,MATCH(F95,'All Data'!$O:$O,0)))</f>
        <v/>
      </c>
      <c r="H95" s="114" t="str">
        <f>IF(F95="","",INDEX('All Data'!$Q:$Q,MATCH(F95,'All Data'!$O:$O,0)))</f>
        <v/>
      </c>
      <c r="I95" s="113" t="str">
        <f>IF(F95="","",INDEX('All Data'!$AF:$AF,MATCH(F95,'All Data'!$O:$O,0)))</f>
        <v/>
      </c>
      <c r="J95" s="60" t="str">
        <f>IF(F95="","",INDEX('All Data'!$AD:$AD,MATCH(F95,'All Data'!$O:$O,0)))</f>
        <v/>
      </c>
      <c r="K95" s="112" t="str">
        <f>IF(F95="","",INDEX('All Data'!$X:$X,MATCH(F95,'All Data'!$O:$O,0)))</f>
        <v/>
      </c>
      <c r="L95" s="60" t="str">
        <f>IF(F95="","",INDEX('All Data'!$Y:$Y,MATCH(F95,'All Data'!$O:$O,0)))</f>
        <v/>
      </c>
      <c r="M95" s="112" t="str">
        <f>IF(F95="","",INDEX('All Data'!$Z:$Z,MATCH(F95,'All Data'!$O:$O,0)))</f>
        <v/>
      </c>
      <c r="N95" s="111" t="str">
        <f>IF(F95="","",INDEX('All Data'!$AA:$AA,MATCH(F95,'All Data'!$O:$O,0)))</f>
        <v/>
      </c>
      <c r="O95" s="112" t="str">
        <f>IF(F95="","",INDEX('All Data'!$U:$U,MATCH(F95,'All Data'!$O:$O,0)))</f>
        <v/>
      </c>
      <c r="P95" s="150" t="str">
        <f>IF(F95="","",INDEX('All Data'!$V:$V,MATCH(F95,'All Data'!$O:$O,0)))</f>
        <v/>
      </c>
      <c r="Q95" s="228" t="str">
        <f>IF(F95="","",INDEX('All Data'!$AK:$AK,MATCH(F95,'All Data'!$O:$O,0)))</f>
        <v/>
      </c>
      <c r="R95" s="112" t="str">
        <f>IF(F95="","",INDEX('All Data'!$I:$I,MATCH(F95,'All Data'!$O:$O,0)))</f>
        <v/>
      </c>
      <c r="S95" s="150" t="str">
        <f>IF(F95="","",INDEX('All Data'!$K:$K,MATCH(F95,'All Data'!$O:$O,0)))</f>
        <v/>
      </c>
      <c r="T95" s="151" t="str">
        <f>IF(F95="","",INDEX('All Data'!$AS:$AS,MATCH(F95,'All Data'!$O:$O,0)))</f>
        <v/>
      </c>
      <c r="U95" s="573" t="str">
        <f t="shared" si="1"/>
        <v/>
      </c>
      <c r="V95" s="49"/>
    </row>
    <row r="96" spans="1:22" ht="18">
      <c r="A96" s="62"/>
      <c r="B96" s="63"/>
      <c r="C96" s="62"/>
      <c r="D96" s="60" t="str">
        <f>IF(F96="","",INDEX('All Data'!$F:$F,MATCH(F96,'All Data'!$O:$O,0)))</f>
        <v/>
      </c>
      <c r="E96" s="48" t="str">
        <f>IF(F96&lt;&gt;"",COUNTIF($F$7:F96,"*")&amp;".","")</f>
        <v/>
      </c>
      <c r="F96" s="116"/>
      <c r="G96" s="115" t="str">
        <f>IF(F96="","",INDEX('All Data'!$N:$N,MATCH(F96,'All Data'!$O:$O,0)))</f>
        <v/>
      </c>
      <c r="H96" s="114" t="str">
        <f>IF(F96="","",INDEX('All Data'!$Q:$Q,MATCH(F96,'All Data'!$O:$O,0)))</f>
        <v/>
      </c>
      <c r="I96" s="113" t="str">
        <f>IF(F96="","",INDEX('All Data'!$AF:$AF,MATCH(F96,'All Data'!$O:$O,0)))</f>
        <v/>
      </c>
      <c r="J96" s="60" t="str">
        <f>IF(F96="","",INDEX('All Data'!$AD:$AD,MATCH(F96,'All Data'!$O:$O,0)))</f>
        <v/>
      </c>
      <c r="K96" s="112" t="str">
        <f>IF(F96="","",INDEX('All Data'!$X:$X,MATCH(F96,'All Data'!$O:$O,0)))</f>
        <v/>
      </c>
      <c r="L96" s="60" t="str">
        <f>IF(F96="","",INDEX('All Data'!$Y:$Y,MATCH(F96,'All Data'!$O:$O,0)))</f>
        <v/>
      </c>
      <c r="M96" s="112" t="str">
        <f>IF(F96="","",INDEX('All Data'!$Z:$Z,MATCH(F96,'All Data'!$O:$O,0)))</f>
        <v/>
      </c>
      <c r="N96" s="111" t="str">
        <f>IF(F96="","",INDEX('All Data'!$AA:$AA,MATCH(F96,'All Data'!$O:$O,0)))</f>
        <v/>
      </c>
      <c r="O96" s="112" t="str">
        <f>IF(F96="","",INDEX('All Data'!$U:$U,MATCH(F96,'All Data'!$O:$O,0)))</f>
        <v/>
      </c>
      <c r="P96" s="150" t="str">
        <f>IF(F96="","",INDEX('All Data'!$V:$V,MATCH(F96,'All Data'!$O:$O,0)))</f>
        <v/>
      </c>
      <c r="Q96" s="228" t="str">
        <f>IF(F96="","",INDEX('All Data'!$AK:$AK,MATCH(F96,'All Data'!$O:$O,0)))</f>
        <v/>
      </c>
      <c r="R96" s="112" t="str">
        <f>IF(F96="","",INDEX('All Data'!$I:$I,MATCH(F96,'All Data'!$O:$O,0)))</f>
        <v/>
      </c>
      <c r="S96" s="150" t="str">
        <f>IF(F96="","",INDEX('All Data'!$K:$K,MATCH(F96,'All Data'!$O:$O,0)))</f>
        <v/>
      </c>
      <c r="T96" s="151" t="str">
        <f>IF(F96="","",INDEX('All Data'!$AS:$AS,MATCH(F96,'All Data'!$O:$O,0)))</f>
        <v/>
      </c>
      <c r="U96" s="573" t="str">
        <f t="shared" si="1"/>
        <v/>
      </c>
      <c r="V96" s="49"/>
    </row>
    <row r="97" spans="1:22" ht="18">
      <c r="A97" s="62"/>
      <c r="B97" s="63"/>
      <c r="C97" s="62"/>
      <c r="D97" s="60" t="str">
        <f>IF(F97="","",INDEX('All Data'!$F:$F,MATCH(F97,'All Data'!$O:$O,0)))</f>
        <v/>
      </c>
      <c r="E97" s="48" t="str">
        <f>IF(F97&lt;&gt;"",COUNTIF($F$7:F97,"*")&amp;".","")</f>
        <v/>
      </c>
      <c r="F97" s="116"/>
      <c r="G97" s="115" t="str">
        <f>IF(F97="","",INDEX('All Data'!$N:$N,MATCH(F97,'All Data'!$O:$O,0)))</f>
        <v/>
      </c>
      <c r="H97" s="114" t="str">
        <f>IF(F97="","",INDEX('All Data'!$Q:$Q,MATCH(F97,'All Data'!$O:$O,0)))</f>
        <v/>
      </c>
      <c r="I97" s="113" t="str">
        <f>IF(F97="","",INDEX('All Data'!$AF:$AF,MATCH(F97,'All Data'!$O:$O,0)))</f>
        <v/>
      </c>
      <c r="J97" s="60" t="str">
        <f>IF(F97="","",INDEX('All Data'!$AD:$AD,MATCH(F97,'All Data'!$O:$O,0)))</f>
        <v/>
      </c>
      <c r="K97" s="112" t="str">
        <f>IF(F97="","",INDEX('All Data'!$X:$X,MATCH(F97,'All Data'!$O:$O,0)))</f>
        <v/>
      </c>
      <c r="L97" s="60" t="str">
        <f>IF(F97="","",INDEX('All Data'!$Y:$Y,MATCH(F97,'All Data'!$O:$O,0)))</f>
        <v/>
      </c>
      <c r="M97" s="112" t="str">
        <f>IF(F97="","",INDEX('All Data'!$Z:$Z,MATCH(F97,'All Data'!$O:$O,0)))</f>
        <v/>
      </c>
      <c r="N97" s="111" t="str">
        <f>IF(F97="","",INDEX('All Data'!$AA:$AA,MATCH(F97,'All Data'!$O:$O,0)))</f>
        <v/>
      </c>
      <c r="O97" s="112" t="str">
        <f>IF(F97="","",INDEX('All Data'!$U:$U,MATCH(F97,'All Data'!$O:$O,0)))</f>
        <v/>
      </c>
      <c r="P97" s="150" t="str">
        <f>IF(F97="","",INDEX('All Data'!$V:$V,MATCH(F97,'All Data'!$O:$O,0)))</f>
        <v/>
      </c>
      <c r="Q97" s="228" t="str">
        <f>IF(F97="","",INDEX('All Data'!$AK:$AK,MATCH(F97,'All Data'!$O:$O,0)))</f>
        <v/>
      </c>
      <c r="R97" s="112" t="str">
        <f>IF(F97="","",INDEX('All Data'!$I:$I,MATCH(F97,'All Data'!$O:$O,0)))</f>
        <v/>
      </c>
      <c r="S97" s="150" t="str">
        <f>IF(F97="","",INDEX('All Data'!$K:$K,MATCH(F97,'All Data'!$O:$O,0)))</f>
        <v/>
      </c>
      <c r="T97" s="151" t="str">
        <f>IF(F97="","",INDEX('All Data'!$AS:$AS,MATCH(F97,'All Data'!$O:$O,0)))</f>
        <v/>
      </c>
      <c r="U97" s="573" t="str">
        <f t="shared" si="1"/>
        <v/>
      </c>
      <c r="V97" s="49"/>
    </row>
    <row r="98" spans="1:22" ht="18">
      <c r="A98" s="62"/>
      <c r="B98" s="63"/>
      <c r="C98" s="62"/>
      <c r="D98" s="60" t="str">
        <f>IF(F98="","",INDEX('All Data'!$F:$F,MATCH(F98,'All Data'!$O:$O,0)))</f>
        <v/>
      </c>
      <c r="E98" s="48" t="str">
        <f>IF(F98&lt;&gt;"",COUNTIF($F$7:F98,"*")&amp;".","")</f>
        <v/>
      </c>
      <c r="F98" s="116"/>
      <c r="G98" s="115" t="str">
        <f>IF(F98="","",INDEX('All Data'!$N:$N,MATCH(F98,'All Data'!$O:$O,0)))</f>
        <v/>
      </c>
      <c r="H98" s="114" t="str">
        <f>IF(F98="","",INDEX('All Data'!$Q:$Q,MATCH(F98,'All Data'!$O:$O,0)))</f>
        <v/>
      </c>
      <c r="I98" s="113" t="str">
        <f>IF(F98="","",INDEX('All Data'!$AF:$AF,MATCH(F98,'All Data'!$O:$O,0)))</f>
        <v/>
      </c>
      <c r="J98" s="60" t="str">
        <f>IF(F98="","",INDEX('All Data'!$AD:$AD,MATCH(F98,'All Data'!$O:$O,0)))</f>
        <v/>
      </c>
      <c r="K98" s="112" t="str">
        <f>IF(F98="","",INDEX('All Data'!$X:$X,MATCH(F98,'All Data'!$O:$O,0)))</f>
        <v/>
      </c>
      <c r="L98" s="60" t="str">
        <f>IF(F98="","",INDEX('All Data'!$Y:$Y,MATCH(F98,'All Data'!$O:$O,0)))</f>
        <v/>
      </c>
      <c r="M98" s="112" t="str">
        <f>IF(F98="","",INDEX('All Data'!$Z:$Z,MATCH(F98,'All Data'!$O:$O,0)))</f>
        <v/>
      </c>
      <c r="N98" s="111" t="str">
        <f>IF(F98="","",INDEX('All Data'!$AA:$AA,MATCH(F98,'All Data'!$O:$O,0)))</f>
        <v/>
      </c>
      <c r="O98" s="112" t="str">
        <f>IF(F98="","",INDEX('All Data'!$U:$U,MATCH(F98,'All Data'!$O:$O,0)))</f>
        <v/>
      </c>
      <c r="P98" s="150" t="str">
        <f>IF(F98="","",INDEX('All Data'!$V:$V,MATCH(F98,'All Data'!$O:$O,0)))</f>
        <v/>
      </c>
      <c r="Q98" s="228" t="str">
        <f>IF(F98="","",INDEX('All Data'!$AK:$AK,MATCH(F98,'All Data'!$O:$O,0)))</f>
        <v/>
      </c>
      <c r="R98" s="112" t="str">
        <f>IF(F98="","",INDEX('All Data'!$I:$I,MATCH(F98,'All Data'!$O:$O,0)))</f>
        <v/>
      </c>
      <c r="S98" s="150" t="str">
        <f>IF(F98="","",INDEX('All Data'!$K:$K,MATCH(F98,'All Data'!$O:$O,0)))</f>
        <v/>
      </c>
      <c r="T98" s="151" t="str">
        <f>IF(F98="","",INDEX('All Data'!$AS:$AS,MATCH(F98,'All Data'!$O:$O,0)))</f>
        <v/>
      </c>
      <c r="U98" s="573" t="str">
        <f t="shared" si="1"/>
        <v/>
      </c>
      <c r="V98" s="49"/>
    </row>
    <row r="99" spans="1:22" ht="18">
      <c r="A99" s="62"/>
      <c r="B99" s="63"/>
      <c r="C99" s="62"/>
      <c r="D99" s="60" t="str">
        <f>IF(F99="","",INDEX('All Data'!$F:$F,MATCH(F99,'All Data'!$O:$O,0)))</f>
        <v/>
      </c>
      <c r="E99" s="48" t="str">
        <f>IF(F99&lt;&gt;"",COUNTIF($F$7:F99,"*")&amp;".","")</f>
        <v/>
      </c>
      <c r="F99" s="116"/>
      <c r="G99" s="115" t="str">
        <f>IF(F99="","",INDEX('All Data'!$N:$N,MATCH(F99,'All Data'!$O:$O,0)))</f>
        <v/>
      </c>
      <c r="H99" s="114" t="str">
        <f>IF(F99="","",INDEX('All Data'!$Q:$Q,MATCH(F99,'All Data'!$O:$O,0)))</f>
        <v/>
      </c>
      <c r="I99" s="113" t="str">
        <f>IF(F99="","",INDEX('All Data'!$AF:$AF,MATCH(F99,'All Data'!$O:$O,0)))</f>
        <v/>
      </c>
      <c r="J99" s="60" t="str">
        <f>IF(F99="","",INDEX('All Data'!$AD:$AD,MATCH(F99,'All Data'!$O:$O,0)))</f>
        <v/>
      </c>
      <c r="K99" s="112" t="str">
        <f>IF(F99="","",INDEX('All Data'!$X:$X,MATCH(F99,'All Data'!$O:$O,0)))</f>
        <v/>
      </c>
      <c r="L99" s="60" t="str">
        <f>IF(F99="","",INDEX('All Data'!$Y:$Y,MATCH(F99,'All Data'!$O:$O,0)))</f>
        <v/>
      </c>
      <c r="M99" s="112" t="str">
        <f>IF(F99="","",INDEX('All Data'!$Z:$Z,MATCH(F99,'All Data'!$O:$O,0)))</f>
        <v/>
      </c>
      <c r="N99" s="111" t="str">
        <f>IF(F99="","",INDEX('All Data'!$AA:$AA,MATCH(F99,'All Data'!$O:$O,0)))</f>
        <v/>
      </c>
      <c r="O99" s="112" t="str">
        <f>IF(F99="","",INDEX('All Data'!$U:$U,MATCH(F99,'All Data'!$O:$O,0)))</f>
        <v/>
      </c>
      <c r="P99" s="150" t="str">
        <f>IF(F99="","",INDEX('All Data'!$V:$V,MATCH(F99,'All Data'!$O:$O,0)))</f>
        <v/>
      </c>
      <c r="Q99" s="228" t="str">
        <f>IF(F99="","",INDEX('All Data'!$AK:$AK,MATCH(F99,'All Data'!$O:$O,0)))</f>
        <v/>
      </c>
      <c r="R99" s="112" t="str">
        <f>IF(F99="","",INDEX('All Data'!$I:$I,MATCH(F99,'All Data'!$O:$O,0)))</f>
        <v/>
      </c>
      <c r="S99" s="150" t="str">
        <f>IF(F99="","",INDEX('All Data'!$K:$K,MATCH(F99,'All Data'!$O:$O,0)))</f>
        <v/>
      </c>
      <c r="T99" s="151" t="str">
        <f>IF(F99="","",INDEX('All Data'!$AS:$AS,MATCH(F99,'All Data'!$O:$O,0)))</f>
        <v/>
      </c>
      <c r="U99" s="573" t="str">
        <f t="shared" si="1"/>
        <v/>
      </c>
      <c r="V99" s="49"/>
    </row>
    <row r="100" spans="1:22" ht="18">
      <c r="A100" s="62"/>
      <c r="B100" s="63"/>
      <c r="C100" s="62"/>
      <c r="D100" s="60" t="str">
        <f>IF(F100="","",INDEX('All Data'!$F:$F,MATCH(F100,'All Data'!$O:$O,0)))</f>
        <v/>
      </c>
      <c r="E100" s="48" t="str">
        <f>IF(F100&lt;&gt;"",COUNTIF($F$7:F100,"*")&amp;".","")</f>
        <v/>
      </c>
      <c r="F100" s="116"/>
      <c r="G100" s="115" t="str">
        <f>IF(F100="","",INDEX('All Data'!$N:$N,MATCH(F100,'All Data'!$O:$O,0)))</f>
        <v/>
      </c>
      <c r="H100" s="114" t="str">
        <f>IF(F100="","",INDEX('All Data'!$Q:$Q,MATCH(F100,'All Data'!$O:$O,0)))</f>
        <v/>
      </c>
      <c r="I100" s="113" t="str">
        <f>IF(F100="","",INDEX('All Data'!$AF:$AF,MATCH(F100,'All Data'!$O:$O,0)))</f>
        <v/>
      </c>
      <c r="J100" s="60" t="str">
        <f>IF(F100="","",INDEX('All Data'!$AD:$AD,MATCH(F100,'All Data'!$O:$O,0)))</f>
        <v/>
      </c>
      <c r="K100" s="112" t="str">
        <f>IF(F100="","",INDEX('All Data'!$X:$X,MATCH(F100,'All Data'!$O:$O,0)))</f>
        <v/>
      </c>
      <c r="L100" s="60" t="str">
        <f>IF(F100="","",INDEX('All Data'!$Y:$Y,MATCH(F100,'All Data'!$O:$O,0)))</f>
        <v/>
      </c>
      <c r="M100" s="112" t="str">
        <f>IF(F100="","",INDEX('All Data'!$Z:$Z,MATCH(F100,'All Data'!$O:$O,0)))</f>
        <v/>
      </c>
      <c r="N100" s="111" t="str">
        <f>IF(F100="","",INDEX('All Data'!$AA:$AA,MATCH(F100,'All Data'!$O:$O,0)))</f>
        <v/>
      </c>
      <c r="O100" s="112" t="str">
        <f>IF(F100="","",INDEX('All Data'!$U:$U,MATCH(F100,'All Data'!$O:$O,0)))</f>
        <v/>
      </c>
      <c r="P100" s="150" t="str">
        <f>IF(F100="","",INDEX('All Data'!$V:$V,MATCH(F100,'All Data'!$O:$O,0)))</f>
        <v/>
      </c>
      <c r="Q100" s="228" t="str">
        <f>IF(F100="","",INDEX('All Data'!$AK:$AK,MATCH(F100,'All Data'!$O:$O,0)))</f>
        <v/>
      </c>
      <c r="R100" s="112" t="str">
        <f>IF(F100="","",INDEX('All Data'!$I:$I,MATCH(F100,'All Data'!$O:$O,0)))</f>
        <v/>
      </c>
      <c r="S100" s="150" t="str">
        <f>IF(F100="","",INDEX('All Data'!$K:$K,MATCH(F100,'All Data'!$O:$O,0)))</f>
        <v/>
      </c>
      <c r="T100" s="151" t="str">
        <f>IF(F100="","",INDEX('All Data'!$AS:$AS,MATCH(F100,'All Data'!$O:$O,0)))</f>
        <v/>
      </c>
      <c r="U100" s="573" t="str">
        <f t="shared" si="1"/>
        <v/>
      </c>
      <c r="V100" s="49"/>
    </row>
    <row r="101" spans="1:22" ht="18">
      <c r="A101" s="62"/>
      <c r="B101" s="63"/>
      <c r="C101" s="62"/>
      <c r="D101" s="60" t="str">
        <f>IF(F101="","",INDEX('All Data'!$F:$F,MATCH(F101,'All Data'!$O:$O,0)))</f>
        <v/>
      </c>
      <c r="E101" s="48" t="str">
        <f>IF(F101&lt;&gt;"",COUNTIF($F$7:F101,"*")&amp;".","")</f>
        <v/>
      </c>
      <c r="F101" s="116"/>
      <c r="G101" s="115" t="str">
        <f>IF(F101="","",INDEX('All Data'!$N:$N,MATCH(F101,'All Data'!$O:$O,0)))</f>
        <v/>
      </c>
      <c r="H101" s="114" t="str">
        <f>IF(F101="","",INDEX('All Data'!$Q:$Q,MATCH(F101,'All Data'!$O:$O,0)))</f>
        <v/>
      </c>
      <c r="I101" s="113" t="str">
        <f>IF(F101="","",INDEX('All Data'!$AF:$AF,MATCH(F101,'All Data'!$O:$O,0)))</f>
        <v/>
      </c>
      <c r="J101" s="60" t="str">
        <f>IF(F101="","",INDEX('All Data'!$AD:$AD,MATCH(F101,'All Data'!$O:$O,0)))</f>
        <v/>
      </c>
      <c r="K101" s="112" t="str">
        <f>IF(F101="","",INDEX('All Data'!$X:$X,MATCH(F101,'All Data'!$O:$O,0)))</f>
        <v/>
      </c>
      <c r="L101" s="60" t="str">
        <f>IF(F101="","",INDEX('All Data'!$Y:$Y,MATCH(F101,'All Data'!$O:$O,0)))</f>
        <v/>
      </c>
      <c r="M101" s="112" t="str">
        <f>IF(F101="","",INDEX('All Data'!$Z:$Z,MATCH(F101,'All Data'!$O:$O,0)))</f>
        <v/>
      </c>
      <c r="N101" s="111" t="str">
        <f>IF(F101="","",INDEX('All Data'!$AA:$AA,MATCH(F101,'All Data'!$O:$O,0)))</f>
        <v/>
      </c>
      <c r="O101" s="112" t="str">
        <f>IF(F101="","",INDEX('All Data'!$U:$U,MATCH(F101,'All Data'!$O:$O,0)))</f>
        <v/>
      </c>
      <c r="P101" s="150" t="str">
        <f>IF(F101="","",INDEX('All Data'!$V:$V,MATCH(F101,'All Data'!$O:$O,0)))</f>
        <v/>
      </c>
      <c r="Q101" s="228" t="str">
        <f>IF(F101="","",INDEX('All Data'!$AK:$AK,MATCH(F101,'All Data'!$O:$O,0)))</f>
        <v/>
      </c>
      <c r="R101" s="112" t="str">
        <f>IF(F101="","",INDEX('All Data'!$I:$I,MATCH(F101,'All Data'!$O:$O,0)))</f>
        <v/>
      </c>
      <c r="S101" s="150" t="str">
        <f>IF(F101="","",INDEX('All Data'!$K:$K,MATCH(F101,'All Data'!$O:$O,0)))</f>
        <v/>
      </c>
      <c r="T101" s="151" t="str">
        <f>IF(F101="","",INDEX('All Data'!$AS:$AS,MATCH(F101,'All Data'!$O:$O,0)))</f>
        <v/>
      </c>
      <c r="U101" s="573" t="str">
        <f t="shared" si="1"/>
        <v/>
      </c>
      <c r="V101" s="49"/>
    </row>
    <row r="102" spans="1:22" ht="18">
      <c r="A102" s="62"/>
      <c r="B102" s="63"/>
      <c r="C102" s="62"/>
      <c r="D102" s="60" t="str">
        <f>IF(F102="","",INDEX('All Data'!$F:$F,MATCH(F102,'All Data'!$O:$O,0)))</f>
        <v/>
      </c>
      <c r="E102" s="48" t="str">
        <f>IF(F102&lt;&gt;"",COUNTIF($F$7:F102,"*")&amp;".","")</f>
        <v/>
      </c>
      <c r="F102" s="116"/>
      <c r="G102" s="115" t="str">
        <f>IF(F102="","",INDEX('All Data'!$N:$N,MATCH(F102,'All Data'!$O:$O,0)))</f>
        <v/>
      </c>
      <c r="H102" s="114" t="str">
        <f>IF(F102="","",INDEX('All Data'!$Q:$Q,MATCH(F102,'All Data'!$O:$O,0)))</f>
        <v/>
      </c>
      <c r="I102" s="113" t="str">
        <f>IF(F102="","",INDEX('All Data'!$AF:$AF,MATCH(F102,'All Data'!$O:$O,0)))</f>
        <v/>
      </c>
      <c r="J102" s="60" t="str">
        <f>IF(F102="","",INDEX('All Data'!$AD:$AD,MATCH(F102,'All Data'!$O:$O,0)))</f>
        <v/>
      </c>
      <c r="K102" s="112" t="str">
        <f>IF(F102="","",INDEX('All Data'!$X:$X,MATCH(F102,'All Data'!$O:$O,0)))</f>
        <v/>
      </c>
      <c r="L102" s="60" t="str">
        <f>IF(F102="","",INDEX('All Data'!$Y:$Y,MATCH(F102,'All Data'!$O:$O,0)))</f>
        <v/>
      </c>
      <c r="M102" s="112" t="str">
        <f>IF(F102="","",INDEX('All Data'!$Z:$Z,MATCH(F102,'All Data'!$O:$O,0)))</f>
        <v/>
      </c>
      <c r="N102" s="111" t="str">
        <f>IF(F102="","",INDEX('All Data'!$AA:$AA,MATCH(F102,'All Data'!$O:$O,0)))</f>
        <v/>
      </c>
      <c r="O102" s="112" t="str">
        <f>IF(F102="","",INDEX('All Data'!$U:$U,MATCH(F102,'All Data'!$O:$O,0)))</f>
        <v/>
      </c>
      <c r="P102" s="150" t="str">
        <f>IF(F102="","",INDEX('All Data'!$V:$V,MATCH(F102,'All Data'!$O:$O,0)))</f>
        <v/>
      </c>
      <c r="Q102" s="228" t="str">
        <f>IF(F102="","",INDEX('All Data'!$AK:$AK,MATCH(F102,'All Data'!$O:$O,0)))</f>
        <v/>
      </c>
      <c r="R102" s="112" t="str">
        <f>IF(F102="","",INDEX('All Data'!$I:$I,MATCH(F102,'All Data'!$O:$O,0)))</f>
        <v/>
      </c>
      <c r="S102" s="150" t="str">
        <f>IF(F102="","",INDEX('All Data'!$K:$K,MATCH(F102,'All Data'!$O:$O,0)))</f>
        <v/>
      </c>
      <c r="T102" s="151" t="str">
        <f>IF(F102="","",INDEX('All Data'!$AS:$AS,MATCH(F102,'All Data'!$O:$O,0)))</f>
        <v/>
      </c>
      <c r="U102" s="573" t="str">
        <f t="shared" si="1"/>
        <v/>
      </c>
      <c r="V102" s="49"/>
    </row>
    <row r="103" spans="1:22" ht="18">
      <c r="A103" s="62"/>
      <c r="B103" s="63"/>
      <c r="C103" s="62"/>
      <c r="D103" s="60" t="str">
        <f>IF(F103="","",INDEX('All Data'!$F:$F,MATCH(F103,'All Data'!$O:$O,0)))</f>
        <v/>
      </c>
      <c r="E103" s="48" t="str">
        <f>IF(F103&lt;&gt;"",COUNTIF($F$7:F103,"*")&amp;".","")</f>
        <v/>
      </c>
      <c r="F103" s="116"/>
      <c r="G103" s="115" t="str">
        <f>IF(F103="","",INDEX('All Data'!$N:$N,MATCH(F103,'All Data'!$O:$O,0)))</f>
        <v/>
      </c>
      <c r="H103" s="114" t="str">
        <f>IF(F103="","",INDEX('All Data'!$Q:$Q,MATCH(F103,'All Data'!$O:$O,0)))</f>
        <v/>
      </c>
      <c r="I103" s="113" t="str">
        <f>IF(F103="","",INDEX('All Data'!$AF:$AF,MATCH(F103,'All Data'!$O:$O,0)))</f>
        <v/>
      </c>
      <c r="J103" s="60" t="str">
        <f>IF(F103="","",INDEX('All Data'!$AD:$AD,MATCH(F103,'All Data'!$O:$O,0)))</f>
        <v/>
      </c>
      <c r="K103" s="112" t="str">
        <f>IF(F103="","",INDEX('All Data'!$X:$X,MATCH(F103,'All Data'!$O:$O,0)))</f>
        <v/>
      </c>
      <c r="L103" s="60" t="str">
        <f>IF(F103="","",INDEX('All Data'!$Y:$Y,MATCH(F103,'All Data'!$O:$O,0)))</f>
        <v/>
      </c>
      <c r="M103" s="112" t="str">
        <f>IF(F103="","",INDEX('All Data'!$Z:$Z,MATCH(F103,'All Data'!$O:$O,0)))</f>
        <v/>
      </c>
      <c r="N103" s="111" t="str">
        <f>IF(F103="","",INDEX('All Data'!$AA:$AA,MATCH(F103,'All Data'!$O:$O,0)))</f>
        <v/>
      </c>
      <c r="O103" s="112" t="str">
        <f>IF(F103="","",INDEX('All Data'!$U:$U,MATCH(F103,'All Data'!$O:$O,0)))</f>
        <v/>
      </c>
      <c r="P103" s="150" t="str">
        <f>IF(F103="","",INDEX('All Data'!$V:$V,MATCH(F103,'All Data'!$O:$O,0)))</f>
        <v/>
      </c>
      <c r="Q103" s="228" t="str">
        <f>IF(F103="","",INDEX('All Data'!$AK:$AK,MATCH(F103,'All Data'!$O:$O,0)))</f>
        <v/>
      </c>
      <c r="R103" s="112" t="str">
        <f>IF(F103="","",INDEX('All Data'!$I:$I,MATCH(F103,'All Data'!$O:$O,0)))</f>
        <v/>
      </c>
      <c r="S103" s="150" t="str">
        <f>IF(F103="","",INDEX('All Data'!$K:$K,MATCH(F103,'All Data'!$O:$O,0)))</f>
        <v/>
      </c>
      <c r="T103" s="151" t="str">
        <f>IF(F103="","",INDEX('All Data'!$AS:$AS,MATCH(F103,'All Data'!$O:$O,0)))</f>
        <v/>
      </c>
      <c r="U103" s="573" t="str">
        <f t="shared" si="1"/>
        <v/>
      </c>
      <c r="V103" s="49"/>
    </row>
    <row r="104" spans="1:22" ht="18">
      <c r="A104" s="62"/>
      <c r="B104" s="63"/>
      <c r="C104" s="62"/>
      <c r="D104" s="60" t="str">
        <f>IF(F104="","",INDEX('All Data'!$F:$F,MATCH(F104,'All Data'!$O:$O,0)))</f>
        <v/>
      </c>
      <c r="E104" s="48" t="str">
        <f>IF(F104&lt;&gt;"",COUNTIF($F$7:F104,"*")&amp;".","")</f>
        <v/>
      </c>
      <c r="F104" s="116"/>
      <c r="G104" s="115" t="str">
        <f>IF(F104="","",INDEX('All Data'!$N:$N,MATCH(F104,'All Data'!$O:$O,0)))</f>
        <v/>
      </c>
      <c r="H104" s="114" t="str">
        <f>IF(F104="","",INDEX('All Data'!$Q:$Q,MATCH(F104,'All Data'!$O:$O,0)))</f>
        <v/>
      </c>
      <c r="I104" s="113" t="str">
        <f>IF(F104="","",INDEX('All Data'!$AF:$AF,MATCH(F104,'All Data'!$O:$O,0)))</f>
        <v/>
      </c>
      <c r="J104" s="60" t="str">
        <f>IF(F104="","",INDEX('All Data'!$AD:$AD,MATCH(F104,'All Data'!$O:$O,0)))</f>
        <v/>
      </c>
      <c r="K104" s="112" t="str">
        <f>IF(F104="","",INDEX('All Data'!$X:$X,MATCH(F104,'All Data'!$O:$O,0)))</f>
        <v/>
      </c>
      <c r="L104" s="60" t="str">
        <f>IF(F104="","",INDEX('All Data'!$Y:$Y,MATCH(F104,'All Data'!$O:$O,0)))</f>
        <v/>
      </c>
      <c r="M104" s="112" t="str">
        <f>IF(F104="","",INDEX('All Data'!$Z:$Z,MATCH(F104,'All Data'!$O:$O,0)))</f>
        <v/>
      </c>
      <c r="N104" s="111" t="str">
        <f>IF(F104="","",INDEX('All Data'!$AA:$AA,MATCH(F104,'All Data'!$O:$O,0)))</f>
        <v/>
      </c>
      <c r="O104" s="112" t="str">
        <f>IF(F104="","",INDEX('All Data'!$U:$U,MATCH(F104,'All Data'!$O:$O,0)))</f>
        <v/>
      </c>
      <c r="P104" s="150" t="str">
        <f>IF(F104="","",INDEX('All Data'!$V:$V,MATCH(F104,'All Data'!$O:$O,0)))</f>
        <v/>
      </c>
      <c r="Q104" s="228" t="str">
        <f>IF(F104="","",INDEX('All Data'!$AK:$AK,MATCH(F104,'All Data'!$O:$O,0)))</f>
        <v/>
      </c>
      <c r="R104" s="112" t="str">
        <f>IF(F104="","",INDEX('All Data'!$I:$I,MATCH(F104,'All Data'!$O:$O,0)))</f>
        <v/>
      </c>
      <c r="S104" s="150" t="str">
        <f>IF(F104="","",INDEX('All Data'!$K:$K,MATCH(F104,'All Data'!$O:$O,0)))</f>
        <v/>
      </c>
      <c r="T104" s="151" t="str">
        <f>IF(F104="","",INDEX('All Data'!$AS:$AS,MATCH(F104,'All Data'!$O:$O,0)))</f>
        <v/>
      </c>
      <c r="U104" s="573" t="str">
        <f t="shared" si="1"/>
        <v/>
      </c>
      <c r="V104" s="49"/>
    </row>
    <row r="105" spans="1:22" ht="18">
      <c r="A105" s="62"/>
      <c r="B105" s="63"/>
      <c r="C105" s="62"/>
      <c r="D105" s="60" t="str">
        <f>IF(F105="","",INDEX('All Data'!$F:$F,MATCH(F105,'All Data'!$O:$O,0)))</f>
        <v/>
      </c>
      <c r="E105" s="48" t="str">
        <f>IF(F105&lt;&gt;"",COUNTIF($F$7:F105,"*")&amp;".","")</f>
        <v/>
      </c>
      <c r="F105" s="116"/>
      <c r="G105" s="115" t="str">
        <f>IF(F105="","",INDEX('All Data'!$N:$N,MATCH(F105,'All Data'!$O:$O,0)))</f>
        <v/>
      </c>
      <c r="H105" s="114" t="str">
        <f>IF(F105="","",INDEX('All Data'!$Q:$Q,MATCH(F105,'All Data'!$O:$O,0)))</f>
        <v/>
      </c>
      <c r="I105" s="113" t="str">
        <f>IF(F105="","",INDEX('All Data'!$AF:$AF,MATCH(F105,'All Data'!$O:$O,0)))</f>
        <v/>
      </c>
      <c r="J105" s="60" t="str">
        <f>IF(F105="","",INDEX('All Data'!$AD:$AD,MATCH(F105,'All Data'!$O:$O,0)))</f>
        <v/>
      </c>
      <c r="K105" s="112" t="str">
        <f>IF(F105="","",INDEX('All Data'!$X:$X,MATCH(F105,'All Data'!$O:$O,0)))</f>
        <v/>
      </c>
      <c r="L105" s="60" t="str">
        <f>IF(F105="","",INDEX('All Data'!$Y:$Y,MATCH(F105,'All Data'!$O:$O,0)))</f>
        <v/>
      </c>
      <c r="M105" s="112" t="str">
        <f>IF(F105="","",INDEX('All Data'!$Z:$Z,MATCH(F105,'All Data'!$O:$O,0)))</f>
        <v/>
      </c>
      <c r="N105" s="111" t="str">
        <f>IF(F105="","",INDEX('All Data'!$AA:$AA,MATCH(F105,'All Data'!$O:$O,0)))</f>
        <v/>
      </c>
      <c r="O105" s="112" t="str">
        <f>IF(F105="","",INDEX('All Data'!$U:$U,MATCH(F105,'All Data'!$O:$O,0)))</f>
        <v/>
      </c>
      <c r="P105" s="150" t="str">
        <f>IF(F105="","",INDEX('All Data'!$V:$V,MATCH(F105,'All Data'!$O:$O,0)))</f>
        <v/>
      </c>
      <c r="Q105" s="228" t="str">
        <f>IF(F105="","",INDEX('All Data'!$AK:$AK,MATCH(F105,'All Data'!$O:$O,0)))</f>
        <v/>
      </c>
      <c r="R105" s="112" t="str">
        <f>IF(F105="","",INDEX('All Data'!$I:$I,MATCH(F105,'All Data'!$O:$O,0)))</f>
        <v/>
      </c>
      <c r="S105" s="150" t="str">
        <f>IF(F105="","",INDEX('All Data'!$K:$K,MATCH(F105,'All Data'!$O:$O,0)))</f>
        <v/>
      </c>
      <c r="T105" s="151" t="str">
        <f>IF(F105="","",INDEX('All Data'!$AS:$AS,MATCH(F105,'All Data'!$O:$O,0)))</f>
        <v/>
      </c>
      <c r="U105" s="573" t="str">
        <f t="shared" si="1"/>
        <v/>
      </c>
      <c r="V105" s="49"/>
    </row>
    <row r="106" spans="1:22" ht="18">
      <c r="A106" s="62"/>
      <c r="B106" s="63"/>
      <c r="C106" s="62"/>
      <c r="D106" s="60" t="str">
        <f>IF(F106="","",INDEX('All Data'!$F:$F,MATCH(F106,'All Data'!$O:$O,0)))</f>
        <v/>
      </c>
      <c r="E106" s="48" t="str">
        <f>IF(F106&lt;&gt;"",COUNTIF($F$7:F106,"*")&amp;".","")</f>
        <v/>
      </c>
      <c r="F106" s="116"/>
      <c r="G106" s="115" t="str">
        <f>IF(F106="","",INDEX('All Data'!$N:$N,MATCH(F106,'All Data'!$O:$O,0)))</f>
        <v/>
      </c>
      <c r="H106" s="114" t="str">
        <f>IF(F106="","",INDEX('All Data'!$Q:$Q,MATCH(F106,'All Data'!$O:$O,0)))</f>
        <v/>
      </c>
      <c r="I106" s="113" t="str">
        <f>IF(F106="","",INDEX('All Data'!$AF:$AF,MATCH(F106,'All Data'!$O:$O,0)))</f>
        <v/>
      </c>
      <c r="J106" s="60" t="str">
        <f>IF(F106="","",INDEX('All Data'!$AD:$AD,MATCH(F106,'All Data'!$O:$O,0)))</f>
        <v/>
      </c>
      <c r="K106" s="112" t="str">
        <f>IF(F106="","",INDEX('All Data'!$X:$X,MATCH(F106,'All Data'!$O:$O,0)))</f>
        <v/>
      </c>
      <c r="L106" s="60" t="str">
        <f>IF(F106="","",INDEX('All Data'!$Y:$Y,MATCH(F106,'All Data'!$O:$O,0)))</f>
        <v/>
      </c>
      <c r="M106" s="112" t="str">
        <f>IF(F106="","",INDEX('All Data'!$Z:$Z,MATCH(F106,'All Data'!$O:$O,0)))</f>
        <v/>
      </c>
      <c r="N106" s="111" t="str">
        <f>IF(F106="","",INDEX('All Data'!$AA:$AA,MATCH(F106,'All Data'!$O:$O,0)))</f>
        <v/>
      </c>
      <c r="O106" s="112" t="str">
        <f>IF(F106="","",INDEX('All Data'!$U:$U,MATCH(F106,'All Data'!$O:$O,0)))</f>
        <v/>
      </c>
      <c r="P106" s="150" t="str">
        <f>IF(F106="","",INDEX('All Data'!$V:$V,MATCH(F106,'All Data'!$O:$O,0)))</f>
        <v/>
      </c>
      <c r="Q106" s="228" t="str">
        <f>IF(F106="","",INDEX('All Data'!$AK:$AK,MATCH(F106,'All Data'!$O:$O,0)))</f>
        <v/>
      </c>
      <c r="R106" s="112" t="str">
        <f>IF(F106="","",INDEX('All Data'!$I:$I,MATCH(F106,'All Data'!$O:$O,0)))</f>
        <v/>
      </c>
      <c r="S106" s="150" t="str">
        <f>IF(F106="","",INDEX('All Data'!$K:$K,MATCH(F106,'All Data'!$O:$O,0)))</f>
        <v/>
      </c>
      <c r="T106" s="151" t="str">
        <f>IF(F106="","",INDEX('All Data'!$AS:$AS,MATCH(F106,'All Data'!$O:$O,0)))</f>
        <v/>
      </c>
      <c r="U106" s="573" t="str">
        <f t="shared" si="1"/>
        <v/>
      </c>
      <c r="V106" s="49"/>
    </row>
  </sheetData>
  <sheetProtection algorithmName="SHA-512" hashValue="EjUGx+7BT0O4AR8s6+mNioapzqhdiD2mi+O3bay1W6VkNLNG+AdSvSRhZOpeVqUFLA611yosgyvq7nM/KzxwVg==" saltValue="KNYN2k3rJPpSimNbO9DYeA==" spinCount="100000" sheet="1" scenarios="1" formatColumns="0"/>
  <autoFilter ref="A6:U6" xr:uid="{00000000-0001-0000-0300-000000000000}"/>
  <sortState xmlns:xlrd2="http://schemas.microsoft.com/office/spreadsheetml/2017/richdata2" ref="B7:Q106">
    <sortCondition ref="I7:I106"/>
  </sortState>
  <phoneticPr fontId="13"/>
  <conditionalFormatting sqref="B1:B2 D3:D1048576">
    <cfRule type="containsText" dxfId="159" priority="1" operator="containsText" text="NRND">
      <formula>NOT(ISERROR(SEARCH("NRND",B1)))</formula>
    </cfRule>
    <cfRule type="containsText" dxfId="158" priority="2" operator="containsText" text="EOL">
      <formula>NOT(ISERROR(SEARCH("EOL",B1)))</formula>
    </cfRule>
  </conditionalFormatting>
  <conditionalFormatting sqref="D7:E106 G7:U106">
    <cfRule type="expression" dxfId="157" priority="8">
      <formula>MOD(ROW(),2)=1</formula>
    </cfRule>
  </conditionalFormatting>
  <conditionalFormatting sqref="Q1:Q1048576">
    <cfRule type="containsText" dxfId="156" priority="4" operator="containsText" text="Hybrid">
      <formula>NOT(ISERROR(SEARCH("Hybrid",Q1)))</formula>
    </cfRule>
    <cfRule type="cellIs" dxfId="155" priority="5" operator="equal">
      <formula>"OS-CON"</formula>
    </cfRule>
    <cfRule type="cellIs" dxfId="154" priority="6" operator="equal">
      <formula>"POSCAP"</formula>
    </cfRule>
    <cfRule type="cellIs" dxfId="153" priority="7" operator="equal">
      <formula>"SP-Cap"</formula>
    </cfRule>
  </conditionalFormatting>
  <conditionalFormatting sqref="F1:F1048576">
    <cfRule type="duplicateValues" dxfId="152" priority="186"/>
  </conditionalFormatting>
  <pageMargins left="0.39370078740157483" right="0.39370078740157483" top="0.39370078740157483" bottom="0.39370078740157483" header="0.31496062992125984" footer="0.31496062992125984"/>
  <pageSetup paperSize="9" scale="60" fitToHeight="0" orientation="portrait" r:id="rId1"/>
  <ignoredErrors>
    <ignoredError sqref="U7:U106"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autoFill="0" autoPict="0" macro="[0]!PastePN_Export.PastePN_Export">
                <anchor moveWithCells="1" sizeWithCells="1">
                  <from>
                    <xdr:col>15</xdr:col>
                    <xdr:colOff>142875</xdr:colOff>
                    <xdr:row>0</xdr:row>
                    <xdr:rowOff>57150</xdr:rowOff>
                  </from>
                  <to>
                    <xdr:col>19</xdr:col>
                    <xdr:colOff>590550</xdr:colOff>
                    <xdr:row>1</xdr:row>
                    <xdr:rowOff>133350</xdr:rowOff>
                  </to>
                </anchor>
              </controlPr>
            </control>
          </mc:Choice>
        </mc:AlternateContent>
        <mc:AlternateContent xmlns:mc="http://schemas.openxmlformats.org/markup-compatibility/2006">
          <mc:Choice Requires="x14">
            <control shapeId="88066" r:id="rId5" name="Button 2">
              <controlPr defaultSize="0" print="0" autoFill="0" autoPict="0" macro="[0]!PastePN_Clear.PastePN_Clear">
                <anchor moveWithCells="1" sizeWithCells="1">
                  <from>
                    <xdr:col>5</xdr:col>
                    <xdr:colOff>104775</xdr:colOff>
                    <xdr:row>5</xdr:row>
                    <xdr:rowOff>200025</xdr:rowOff>
                  </from>
                  <to>
                    <xdr:col>5</xdr:col>
                    <xdr:colOff>952500</xdr:colOff>
                    <xdr:row>5</xdr:row>
                    <xdr:rowOff>333375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xr:uid="{D1F7E562-DB6A-4A46-BA07-164F1D771BAA}">
          <x14:formula1>
            <xm:f>'All Data'!$O$11:$O$145</xm:f>
          </x14:formula1>
          <xm:sqref>F7:F106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A008F-7890-44B4-B4EB-611A342FC6B8}">
  <sheetPr codeName="Sheet12">
    <tabColor rgb="FF0070C0"/>
    <pageSetUpPr fitToPage="1"/>
  </sheetPr>
  <dimension ref="A1:BX110"/>
  <sheetViews>
    <sheetView showGridLines="0" topLeftCell="D1" zoomScaleNormal="100" workbookViewId="0">
      <selection activeCell="O58" sqref="O58"/>
    </sheetView>
  </sheetViews>
  <sheetFormatPr defaultColWidth="10.85546875" defaultRowHeight="15" customHeight="1" outlineLevelCol="1"/>
  <cols>
    <col min="1" max="6" width="0.85546875" style="39" customWidth="1"/>
    <col min="7" max="7" width="2.42578125" style="39" customWidth="1"/>
    <col min="8" max="8" width="3.140625" style="39" customWidth="1"/>
    <col min="9" max="9" width="6.7109375" style="39" customWidth="1"/>
    <col min="10" max="10" width="6.85546875" style="39" customWidth="1"/>
    <col min="11" max="11" width="2.85546875" style="39" customWidth="1"/>
    <col min="12" max="12" width="3.42578125" style="39" customWidth="1"/>
    <col min="13" max="13" width="4.140625" style="39" customWidth="1"/>
    <col min="14" max="14" width="16" style="51" customWidth="1"/>
    <col min="15" max="15" width="9.7109375" style="51" customWidth="1"/>
    <col min="16" max="16" width="7.7109375" style="66" customWidth="1"/>
    <col min="17" max="17" width="10.140625" style="39" customWidth="1"/>
    <col min="18" max="18" width="6.85546875" style="39" customWidth="1"/>
    <col min="19" max="19" width="7.7109375" style="39" customWidth="1" outlineLevel="1"/>
    <col min="20" max="21" width="7.7109375" style="39" customWidth="1"/>
    <col min="22" max="22" width="7.7109375" style="39" customWidth="1" outlineLevel="1"/>
    <col min="23" max="23" width="7.7109375" style="39" customWidth="1"/>
    <col min="24" max="24" width="7.7109375" style="39" customWidth="1" outlineLevel="1"/>
    <col min="25" max="25" width="1.7109375" style="39" customWidth="1" outlineLevel="1"/>
    <col min="26" max="26" width="8.7109375" style="41" customWidth="1"/>
    <col min="27" max="27" width="10.85546875" style="58" customWidth="1"/>
    <col min="28" max="28" width="7.7109375" style="58" customWidth="1"/>
    <col min="29" max="29" width="1.7109375" style="58" customWidth="1"/>
    <col min="30" max="30" width="9.7109375" style="39" customWidth="1"/>
    <col min="31" max="33" width="6.7109375" style="39" customWidth="1"/>
    <col min="34" max="35" width="9.7109375" style="39" customWidth="1"/>
    <col min="36" max="37" width="10.85546875" style="39"/>
    <col min="38" max="38" width="10.85546875" style="39" bestFit="1" customWidth="1"/>
    <col min="39" max="40" width="0" style="39" hidden="1" customWidth="1"/>
    <col min="41" max="16384" width="10.85546875" style="39"/>
  </cols>
  <sheetData>
    <row r="1" spans="4:15" ht="15.75">
      <c r="D1" s="268" t="s">
        <v>228</v>
      </c>
      <c r="N1" s="40"/>
      <c r="O1" s="40"/>
    </row>
    <row r="2" spans="4:15" ht="15.75">
      <c r="H2" s="38"/>
      <c r="N2" s="40"/>
      <c r="O2" s="40"/>
    </row>
    <row r="3" spans="4:15" ht="15.75">
      <c r="J3" s="38"/>
      <c r="K3" s="38"/>
      <c r="N3" s="40"/>
      <c r="O3" s="40"/>
    </row>
    <row r="4" spans="4:15" ht="15.75">
      <c r="J4" s="38"/>
      <c r="K4" s="38"/>
      <c r="N4" s="40"/>
      <c r="O4" s="40"/>
    </row>
    <row r="5" spans="4:15" ht="15.75">
      <c r="J5" s="38"/>
      <c r="K5" s="38"/>
      <c r="N5" s="40"/>
      <c r="O5" s="40"/>
    </row>
    <row r="6" spans="4:15" ht="15.75">
      <c r="J6" s="38"/>
      <c r="K6" s="38"/>
      <c r="N6" s="40"/>
      <c r="O6" s="40"/>
    </row>
    <row r="7" spans="4:15" ht="15.75">
      <c r="J7" s="38"/>
      <c r="K7" s="38"/>
      <c r="N7" s="40"/>
      <c r="O7" s="40"/>
    </row>
    <row r="8" spans="4:15" ht="15.75">
      <c r="J8" s="38"/>
      <c r="K8" s="38"/>
      <c r="N8" s="40"/>
      <c r="O8" s="40"/>
    </row>
    <row r="9" spans="4:15" ht="15.75">
      <c r="J9" s="38"/>
      <c r="K9" s="38"/>
      <c r="N9" s="40"/>
      <c r="O9" s="40"/>
    </row>
    <row r="10" spans="4:15" ht="15.75">
      <c r="J10" s="38"/>
      <c r="K10" s="38"/>
      <c r="N10" s="40"/>
      <c r="O10" s="40"/>
    </row>
    <row r="11" spans="4:15" ht="15.75">
      <c r="J11" s="38"/>
      <c r="K11" s="38"/>
      <c r="N11" s="40"/>
      <c r="O11" s="40"/>
    </row>
    <row r="12" spans="4:15" ht="15.75">
      <c r="J12" s="38"/>
      <c r="K12" s="38"/>
      <c r="N12" s="40"/>
      <c r="O12" s="40"/>
    </row>
    <row r="13" spans="4:15" ht="15.75">
      <c r="J13" s="38"/>
      <c r="K13" s="38"/>
      <c r="N13" s="40"/>
      <c r="O13" s="40"/>
    </row>
    <row r="14" spans="4:15" ht="15.75">
      <c r="J14" s="38"/>
      <c r="K14" s="38"/>
      <c r="N14" s="40"/>
      <c r="O14" s="40"/>
    </row>
    <row r="15" spans="4:15" ht="15.75">
      <c r="J15" s="38"/>
      <c r="K15" s="38"/>
      <c r="N15" s="40"/>
      <c r="O15" s="40"/>
    </row>
    <row r="16" spans="4:15" ht="15.75">
      <c r="J16" s="38"/>
      <c r="K16" s="38"/>
      <c r="N16" s="40"/>
      <c r="O16" s="40"/>
    </row>
    <row r="17" spans="4:52" ht="15.75">
      <c r="J17" s="38"/>
      <c r="K17" s="38"/>
      <c r="N17" s="40"/>
      <c r="O17" s="40"/>
    </row>
    <row r="18" spans="4:52" ht="10.15" customHeight="1">
      <c r="R18" s="324"/>
      <c r="Z18" s="39"/>
      <c r="AA18" s="39"/>
      <c r="AB18" s="39"/>
      <c r="AC18" s="39"/>
    </row>
    <row r="19" spans="4:52" ht="18">
      <c r="D19" s="485" t="s">
        <v>138</v>
      </c>
      <c r="H19" s="379" t="s">
        <v>229</v>
      </c>
      <c r="I19" s="308"/>
      <c r="J19" s="309"/>
      <c r="K19" s="309"/>
      <c r="L19" s="310"/>
      <c r="N19" s="366" t="s">
        <v>230</v>
      </c>
      <c r="O19" s="367"/>
      <c r="P19" s="307"/>
      <c r="Q19" s="307"/>
      <c r="R19" s="307"/>
      <c r="S19" s="307"/>
      <c r="T19" s="307"/>
      <c r="U19" s="307"/>
      <c r="V19" s="307"/>
      <c r="W19" s="307"/>
      <c r="X19" s="307"/>
      <c r="Y19" s="50"/>
      <c r="Z19" s="39"/>
      <c r="AA19" s="39" t="s">
        <v>231</v>
      </c>
      <c r="AB19" s="39"/>
      <c r="AC19" s="39"/>
    </row>
    <row r="20" spans="4:52">
      <c r="H20" s="302"/>
      <c r="I20" s="323"/>
      <c r="J20" s="375" t="s">
        <v>232</v>
      </c>
      <c r="K20" s="302"/>
      <c r="L20" s="302"/>
      <c r="M20" s="302"/>
      <c r="N20" s="303"/>
      <c r="O20" s="303"/>
      <c r="P20" s="301"/>
      <c r="Q20" s="302"/>
      <c r="R20" s="302"/>
      <c r="S20" s="302"/>
      <c r="T20" s="484"/>
      <c r="U20" s="302"/>
      <c r="V20" s="302"/>
      <c r="W20" s="484"/>
      <c r="X20" s="375" t="s">
        <v>837</v>
      </c>
      <c r="Y20" s="50"/>
      <c r="Z20" s="39"/>
      <c r="AA20" s="39" t="s">
        <v>231</v>
      </c>
      <c r="AB20" s="39"/>
      <c r="AC20" s="39"/>
    </row>
    <row r="21" spans="4:52" ht="15.75">
      <c r="H21" s="302" t="s">
        <v>233</v>
      </c>
      <c r="I21" s="312"/>
      <c r="J21" s="383">
        <v>12</v>
      </c>
      <c r="K21" s="305"/>
      <c r="L21" s="363" t="s">
        <v>234</v>
      </c>
      <c r="M21" s="58"/>
      <c r="N21" s="303"/>
      <c r="O21" s="311" t="str">
        <f>IF(J25="","","Fsw = "&amp;J25&amp;"kHz")</f>
        <v>Fsw = 2000kHz</v>
      </c>
      <c r="P21" s="302"/>
      <c r="Q21" s="302"/>
      <c r="R21" s="302"/>
      <c r="S21" s="302"/>
      <c r="T21" s="552" t="s">
        <v>838</v>
      </c>
      <c r="U21" s="302"/>
      <c r="V21" s="302"/>
      <c r="W21" s="2" t="s">
        <v>302</v>
      </c>
      <c r="X21" s="2"/>
      <c r="Y21" s="463"/>
      <c r="Z21" s="39"/>
      <c r="AA21" s="39" t="s">
        <v>231</v>
      </c>
      <c r="AB21" s="39"/>
      <c r="AC21" s="39"/>
    </row>
    <row r="22" spans="4:52" ht="15.75">
      <c r="H22" s="302" t="s">
        <v>240</v>
      </c>
      <c r="I22" s="302"/>
      <c r="J22" s="383">
        <v>5</v>
      </c>
      <c r="K22" s="305"/>
      <c r="L22" s="363" t="s">
        <v>234</v>
      </c>
      <c r="M22" s="58"/>
      <c r="N22" s="364" t="str">
        <f>IF(J21="","","         "&amp;J21&amp;"V")</f>
        <v xml:space="preserve">         12V</v>
      </c>
      <c r="O22" s="311"/>
      <c r="P22" s="300" t="str">
        <f>IF(J22="","",J22&amp;"V ")</f>
        <v xml:space="preserve">5V </v>
      </c>
      <c r="Q22" s="302"/>
      <c r="R22" s="302"/>
      <c r="S22" s="302"/>
      <c r="T22" s="4" t="s">
        <v>841</v>
      </c>
      <c r="U22" s="1"/>
      <c r="V22" s="1"/>
      <c r="W22" s="1"/>
      <c r="X22" s="553" t="s">
        <v>834</v>
      </c>
      <c r="Y22" s="464"/>
      <c r="Z22" s="39"/>
      <c r="AA22" s="39" t="s">
        <v>231</v>
      </c>
      <c r="AB22" s="39"/>
      <c r="AC22" s="39"/>
      <c r="AL22" s="45"/>
      <c r="AM22" s="45"/>
      <c r="AN22" s="45"/>
      <c r="AW22" s="45"/>
      <c r="AX22" s="45"/>
      <c r="AY22" s="45"/>
      <c r="AZ22" s="45"/>
    </row>
    <row r="23" spans="4:52">
      <c r="H23" s="302" t="s">
        <v>241</v>
      </c>
      <c r="I23" s="302"/>
      <c r="J23" s="548" t="str">
        <f>IF(J21=J22,"",IF(J21&gt;J22,"Buck","Boost"))</f>
        <v>Buck</v>
      </c>
      <c r="K23" s="5" t="s">
        <v>124</v>
      </c>
      <c r="L23" s="5"/>
      <c r="M23" s="390">
        <f>(J22*(J21-J22))/(M26*M28*(J24/J26)*J21)*M30</f>
        <v>6.3194444444444444E-7</v>
      </c>
      <c r="N23" s="486" t="s">
        <v>819</v>
      </c>
      <c r="O23" s="301"/>
      <c r="P23" s="353" t="str">
        <f>IF(OR(J24="",J26=""),"",J24&amp;"A / "&amp;J26&amp;"ph")</f>
        <v>10A / 1ph</v>
      </c>
      <c r="Q23" s="302"/>
      <c r="R23" s="302"/>
      <c r="S23" s="302"/>
      <c r="T23" s="1"/>
      <c r="U23" s="1"/>
      <c r="V23" s="1"/>
      <c r="W23" s="1"/>
      <c r="X23" s="554">
        <f>INDEX(Utility!AD:AD,MATCH('DCDC Ref'!$W$21,Utility!O:O,0))</f>
        <v>12</v>
      </c>
      <c r="Y23" s="464"/>
      <c r="Z23" s="39"/>
      <c r="AA23" s="39"/>
      <c r="AB23" s="409"/>
      <c r="AC23" s="39"/>
      <c r="AJ23" s="409"/>
      <c r="AL23" s="441"/>
      <c r="AM23" s="441"/>
      <c r="AN23" s="441"/>
      <c r="AU23" s="409"/>
      <c r="AW23" s="441"/>
      <c r="AX23" s="441"/>
      <c r="AY23" s="441"/>
      <c r="AZ23" s="441"/>
    </row>
    <row r="24" spans="4:52">
      <c r="H24" s="302" t="s">
        <v>242</v>
      </c>
      <c r="I24" s="302"/>
      <c r="J24" s="383">
        <v>10</v>
      </c>
      <c r="K24" s="300"/>
      <c r="L24" s="363" t="s">
        <v>243</v>
      </c>
      <c r="M24" s="391">
        <f>(J21^2*(J22-J21))/(M26*M28*(J24/J26)*J22^2)*M30</f>
        <v>-8.7360000000000007E-6</v>
      </c>
      <c r="N24" s="365"/>
      <c r="O24" s="301"/>
      <c r="P24" s="332" t="str">
        <f>IF(OR(J21="",J22="",J24="",J25=""),"","(Ripple "&amp;J27&amp;"%)")</f>
        <v>(Ripple 30%)</v>
      </c>
      <c r="Q24" s="302"/>
      <c r="R24" s="302"/>
      <c r="S24" s="302"/>
      <c r="T24" s="1"/>
      <c r="U24" s="1"/>
      <c r="V24" s="1"/>
      <c r="W24" s="1"/>
      <c r="X24" s="555">
        <f>INDEX(Utility!AE:AE,MATCH('DCDC Ref'!$W$21,Utility!O:O,0))</f>
        <v>5</v>
      </c>
      <c r="Y24" s="464"/>
      <c r="Z24" s="39"/>
      <c r="AA24" s="39"/>
      <c r="AB24" s="39"/>
      <c r="AC24" s="39"/>
      <c r="AL24" s="441"/>
      <c r="AM24" s="441"/>
      <c r="AN24" s="441"/>
      <c r="AW24" s="441"/>
      <c r="AX24" s="441"/>
      <c r="AY24" s="441"/>
      <c r="AZ24" s="441"/>
    </row>
    <row r="25" spans="4:52" ht="15.75">
      <c r="H25" s="302" t="s">
        <v>246</v>
      </c>
      <c r="I25" s="302"/>
      <c r="J25" s="383">
        <v>2000</v>
      </c>
      <c r="K25" s="305"/>
      <c r="L25" s="363" t="s">
        <v>247</v>
      </c>
      <c r="M25" s="391" t="e">
        <f>(J22^2*(J23-J22))/(M27*M30*(J28/J27)*J23^2)*M31</f>
        <v>#VALUE!</v>
      </c>
      <c r="N25" s="365"/>
      <c r="O25" s="301"/>
      <c r="P25" s="333"/>
      <c r="Q25" s="302"/>
      <c r="R25" s="302"/>
      <c r="S25" s="302"/>
      <c r="T25" s="1"/>
      <c r="U25" s="1"/>
      <c r="V25" s="1"/>
      <c r="W25" s="1"/>
      <c r="X25" s="556">
        <f>INDEX(Utility!AF:AF,MATCH('DCDC Ref'!$W$21,Utility!O:O,0))</f>
        <v>5</v>
      </c>
      <c r="Y25" s="464"/>
      <c r="Z25" s="39"/>
      <c r="AA25" s="39"/>
      <c r="AB25" s="39"/>
      <c r="AC25" s="39"/>
      <c r="AL25" s="441"/>
      <c r="AM25" s="441"/>
      <c r="AN25" s="441"/>
      <c r="AW25" s="441"/>
      <c r="AX25" s="441"/>
      <c r="AY25" s="441"/>
      <c r="AZ25" s="441"/>
    </row>
    <row r="26" spans="4:52" ht="15.75">
      <c r="H26" s="302" t="s">
        <v>248</v>
      </c>
      <c r="I26" s="302"/>
      <c r="J26" s="383">
        <v>1</v>
      </c>
      <c r="K26" s="305"/>
      <c r="L26" s="363" t="s">
        <v>249</v>
      </c>
      <c r="M26" s="392">
        <f>J25*1000</f>
        <v>2000000</v>
      </c>
      <c r="N26" s="365"/>
      <c r="O26" s="303"/>
      <c r="P26" s="302"/>
      <c r="Q26" s="302"/>
      <c r="R26" s="302"/>
      <c r="S26" s="302"/>
      <c r="T26" s="1"/>
      <c r="U26" s="1"/>
      <c r="V26" s="1"/>
      <c r="W26" s="1"/>
      <c r="X26" s="557">
        <f>INDEX(Utility!AG:AG,MATCH('DCDC Ref'!$W$21,Utility!O:O,0))</f>
        <v>400</v>
      </c>
      <c r="Y26" s="464"/>
      <c r="Z26" s="39"/>
      <c r="AA26" s="39"/>
      <c r="AB26" s="39"/>
      <c r="AC26" s="39"/>
      <c r="AL26" s="441"/>
      <c r="AM26" s="441"/>
      <c r="AN26" s="441"/>
      <c r="AW26" s="441"/>
      <c r="AX26" s="441"/>
      <c r="AY26" s="441"/>
      <c r="AZ26" s="441"/>
    </row>
    <row r="27" spans="4:52" ht="18">
      <c r="H27" s="302" t="s">
        <v>250</v>
      </c>
      <c r="I27" s="302"/>
      <c r="J27" s="383">
        <v>30</v>
      </c>
      <c r="K27" s="305"/>
      <c r="L27" s="363" t="s">
        <v>245</v>
      </c>
      <c r="N27" s="365"/>
      <c r="O27" s="369" t="str">
        <f>IFERROR(""&amp;ROUND(J30*J31/100,2)&amp;" - "&amp;ROUND(J30*J32/100,2)&amp;"uH","")</f>
        <v>0.82 - 0.44uH</v>
      </c>
      <c r="P27" s="302"/>
      <c r="Q27" s="302"/>
      <c r="R27" s="302"/>
      <c r="S27" s="302"/>
      <c r="T27" s="1"/>
      <c r="U27" s="1"/>
      <c r="V27" s="1"/>
      <c r="W27" s="1"/>
      <c r="X27" s="558">
        <f>INDEX(Utility!AH:AH,MATCH('DCDC Ref'!$W$21,Utility!O:O,0))</f>
        <v>1</v>
      </c>
      <c r="Y27" s="464"/>
      <c r="Z27" s="39"/>
      <c r="AA27" s="39"/>
      <c r="AB27" s="39"/>
      <c r="AC27" s="39"/>
      <c r="AL27" s="441"/>
      <c r="AM27" s="441"/>
      <c r="AN27" s="441"/>
      <c r="AW27" s="441"/>
      <c r="AX27" s="441"/>
      <c r="AY27" s="441"/>
      <c r="AZ27" s="441"/>
    </row>
    <row r="28" spans="4:52">
      <c r="H28" s="302" t="s">
        <v>835</v>
      </c>
      <c r="I28" s="381"/>
      <c r="J28" s="547">
        <f>計算sheet!AA26</f>
        <v>11.153846153846155</v>
      </c>
      <c r="K28" s="362"/>
      <c r="L28" s="363" t="s">
        <v>243</v>
      </c>
      <c r="M28" s="390">
        <f>J27*0.01</f>
        <v>0.3</v>
      </c>
      <c r="N28" s="303"/>
      <c r="O28" s="385" t="str">
        <f>IF(OR(J21="",J22="",J28="",J25=""),"",IFERROR("Isat(-30%): ≥"&amp;ROUND(J28*($J$29/100),2)&amp;"A",""))</f>
        <v>Isat(-30%): ≥11.15A</v>
      </c>
      <c r="P28" s="302"/>
      <c r="Q28" s="302"/>
      <c r="R28" s="302"/>
      <c r="S28" s="302"/>
      <c r="T28" s="4" t="s">
        <v>840</v>
      </c>
      <c r="U28" s="1"/>
      <c r="V28" s="1"/>
      <c r="W28" s="1"/>
      <c r="X28" s="559"/>
      <c r="Y28" s="464"/>
      <c r="Z28" s="39"/>
      <c r="AA28" s="39"/>
      <c r="AB28" s="39"/>
      <c r="AC28" s="39"/>
      <c r="AL28" s="441"/>
      <c r="AM28" s="441"/>
      <c r="AN28" s="441"/>
      <c r="AW28" s="441"/>
      <c r="AX28" s="441"/>
      <c r="AY28" s="441"/>
      <c r="AZ28" s="441"/>
    </row>
    <row r="29" spans="4:52" ht="16.149999999999999" customHeight="1">
      <c r="H29" s="302"/>
      <c r="I29" s="381" t="s">
        <v>244</v>
      </c>
      <c r="J29" s="550">
        <v>100</v>
      </c>
      <c r="K29" s="302"/>
      <c r="L29" s="376" t="s">
        <v>245</v>
      </c>
      <c r="M29" s="302"/>
      <c r="N29" s="303"/>
      <c r="O29" s="370" t="str">
        <f>IF(OR(J21="",J22="",J24="",J25=""),"","x "&amp;J26)</f>
        <v>x 1</v>
      </c>
      <c r="P29" s="318"/>
      <c r="Q29" s="317"/>
      <c r="R29" s="317"/>
      <c r="S29" s="317"/>
      <c r="T29" s="1"/>
      <c r="U29" s="1"/>
      <c r="V29" s="1"/>
      <c r="W29" s="1"/>
      <c r="X29" s="559"/>
      <c r="Y29" s="464"/>
      <c r="Z29" s="39"/>
      <c r="AA29" s="39"/>
      <c r="AB29" s="409"/>
      <c r="AC29" s="39"/>
      <c r="AJ29" s="409"/>
      <c r="AU29" s="409"/>
    </row>
    <row r="30" spans="4:52" ht="16.149999999999999" customHeight="1">
      <c r="H30" s="302" t="s">
        <v>251</v>
      </c>
      <c r="I30" s="302"/>
      <c r="J30" s="549">
        <f>IFERROR(IF(J23="Buck",M23,M24)*10^6,"")</f>
        <v>0.63194444444444442</v>
      </c>
      <c r="K30" s="305"/>
      <c r="L30" s="363" t="s">
        <v>252</v>
      </c>
      <c r="M30" s="393">
        <f>IF(COUNTIF(N30,"*sat*"),1.3,1)</f>
        <v>1.3</v>
      </c>
      <c r="N30" s="389" t="s">
        <v>253</v>
      </c>
      <c r="O30" s="304"/>
      <c r="P30" s="318"/>
      <c r="Q30" s="317"/>
      <c r="R30" s="317"/>
      <c r="S30" s="317"/>
      <c r="T30" s="1"/>
      <c r="U30" s="1"/>
      <c r="V30" s="1"/>
      <c r="W30" s="1"/>
      <c r="X30" s="559"/>
      <c r="Y30" s="464"/>
      <c r="Z30" s="39"/>
      <c r="AA30" s="39"/>
      <c r="AB30" s="39"/>
      <c r="AC30" s="39"/>
    </row>
    <row r="31" spans="4:52" ht="16.149999999999999" customHeight="1">
      <c r="H31" s="302"/>
      <c r="I31" s="381" t="s">
        <v>244</v>
      </c>
      <c r="J31" s="387">
        <v>130</v>
      </c>
      <c r="K31" s="362"/>
      <c r="L31" s="376" t="s">
        <v>245</v>
      </c>
      <c r="M31" s="392"/>
      <c r="N31" s="377" t="s">
        <v>254</v>
      </c>
      <c r="O31" s="304"/>
      <c r="P31" s="318"/>
      <c r="Q31" s="317"/>
      <c r="R31" s="317"/>
      <c r="S31" s="317"/>
      <c r="T31" s="1"/>
      <c r="U31" s="1"/>
      <c r="V31" s="1"/>
      <c r="W31" s="1"/>
      <c r="X31" s="559"/>
      <c r="Y31" s="464"/>
      <c r="Z31" s="39"/>
      <c r="AA31" s="470"/>
      <c r="AB31" s="39"/>
      <c r="AC31" s="39"/>
    </row>
    <row r="32" spans="4:52" ht="16.149999999999999" customHeight="1">
      <c r="H32" s="302"/>
      <c r="I32" s="381" t="s">
        <v>244</v>
      </c>
      <c r="J32" s="387">
        <v>70</v>
      </c>
      <c r="K32" s="362"/>
      <c r="L32" s="376" t="s">
        <v>245</v>
      </c>
      <c r="M32" s="390"/>
      <c r="N32" s="377" t="s">
        <v>255</v>
      </c>
      <c r="O32" s="304"/>
      <c r="P32" s="318"/>
      <c r="Q32" s="317"/>
      <c r="R32" s="317"/>
      <c r="S32" s="317"/>
      <c r="T32" s="1"/>
      <c r="U32" s="1"/>
      <c r="V32" s="1"/>
      <c r="W32" s="1"/>
      <c r="X32" s="559"/>
      <c r="Y32" s="464"/>
      <c r="Z32" s="39"/>
      <c r="AA32" s="39"/>
      <c r="AB32" s="39"/>
      <c r="AC32" s="39"/>
    </row>
    <row r="33" spans="8:30" ht="16.149999999999999" customHeight="1">
      <c r="H33" s="551" t="s">
        <v>836</v>
      </c>
      <c r="I33" s="302"/>
      <c r="J33" s="50">
        <v>20</v>
      </c>
      <c r="K33" s="302"/>
      <c r="L33" s="363" t="s">
        <v>818</v>
      </c>
      <c r="M33" s="317"/>
      <c r="N33" s="304"/>
      <c r="O33" s="304"/>
      <c r="P33" s="318"/>
      <c r="Q33" s="317"/>
      <c r="R33" s="317"/>
      <c r="S33" s="317"/>
      <c r="T33" s="1"/>
      <c r="U33" s="1"/>
      <c r="V33" s="1"/>
      <c r="W33" s="1"/>
      <c r="X33" s="559"/>
      <c r="Y33" s="464"/>
      <c r="Z33" s="39"/>
      <c r="AA33" s="39"/>
      <c r="AB33" s="39"/>
      <c r="AC33" s="39"/>
    </row>
    <row r="34" spans="8:30" ht="16.149999999999999" customHeight="1">
      <c r="H34" s="302"/>
      <c r="I34" s="302"/>
      <c r="J34" s="302"/>
      <c r="K34" s="302"/>
      <c r="L34" s="302"/>
      <c r="M34" s="302"/>
      <c r="N34" s="303"/>
      <c r="O34" s="304"/>
      <c r="P34" s="318"/>
      <c r="Q34" s="317"/>
      <c r="R34" s="317"/>
      <c r="S34" s="317"/>
      <c r="T34" s="1"/>
      <c r="U34" s="1"/>
      <c r="V34" s="1"/>
      <c r="W34" s="1"/>
      <c r="X34" s="559"/>
      <c r="Y34" s="464"/>
      <c r="Z34" s="39"/>
      <c r="AA34" s="39"/>
      <c r="AB34" s="39"/>
      <c r="AC34" s="39"/>
    </row>
    <row r="35" spans="8:30" ht="16.149999999999999" customHeight="1">
      <c r="H35" s="302"/>
      <c r="I35" s="302"/>
      <c r="J35" s="302"/>
      <c r="K35" s="302"/>
      <c r="L35" s="317"/>
      <c r="M35" s="317"/>
      <c r="N35" s="304"/>
      <c r="O35" s="304"/>
      <c r="P35" s="318"/>
      <c r="Q35" s="317"/>
      <c r="R35" s="317"/>
      <c r="S35" s="317"/>
      <c r="T35" s="1"/>
      <c r="U35" s="1"/>
      <c r="V35" s="1"/>
      <c r="W35" s="1"/>
      <c r="X35" s="559"/>
      <c r="Y35" s="464"/>
      <c r="Z35" s="39"/>
      <c r="AA35" s="39"/>
      <c r="AB35" s="39"/>
      <c r="AC35" s="39"/>
    </row>
    <row r="36" spans="8:30" ht="16.149999999999999" customHeight="1">
      <c r="H36" s="302"/>
      <c r="I36" s="302"/>
      <c r="J36" s="302"/>
      <c r="K36" s="302"/>
      <c r="L36" s="302"/>
      <c r="M36" s="302"/>
      <c r="N36" s="303"/>
      <c r="O36" s="304"/>
      <c r="P36" s="318"/>
      <c r="Q36" s="317"/>
      <c r="R36" s="317"/>
      <c r="S36" s="317"/>
      <c r="T36" s="1"/>
      <c r="U36" s="1"/>
      <c r="V36" s="1"/>
      <c r="W36" s="1"/>
      <c r="X36" s="559"/>
      <c r="Y36" s="464"/>
      <c r="Z36" s="39"/>
      <c r="AA36" s="39"/>
      <c r="AB36" s="39"/>
      <c r="AC36" s="39"/>
    </row>
    <row r="37" spans="8:30" ht="16.149999999999999" customHeight="1">
      <c r="H37" s="302"/>
      <c r="I37" s="302"/>
      <c r="J37" s="302"/>
      <c r="K37" s="302"/>
      <c r="L37" s="377"/>
      <c r="M37" s="317"/>
      <c r="N37" s="304"/>
      <c r="O37" s="304"/>
      <c r="P37" s="318"/>
      <c r="Q37" s="317"/>
      <c r="R37" s="317"/>
      <c r="S37" s="317"/>
      <c r="T37" s="569" t="str">
        <f>"   "&amp;HYPERLINK(Utility!L5,"design example")</f>
        <v xml:space="preserve">   design example</v>
      </c>
      <c r="U37" s="372"/>
      <c r="V37" s="372"/>
      <c r="W37" s="372"/>
      <c r="X37" s="372"/>
      <c r="Y37" s="50"/>
      <c r="Z37" s="39"/>
      <c r="AA37" s="39"/>
      <c r="AB37" s="39"/>
      <c r="AC37" s="39"/>
    </row>
    <row r="38" spans="8:30" ht="10.15" customHeight="1">
      <c r="M38" s="42"/>
      <c r="N38" s="40"/>
      <c r="O38" s="40"/>
      <c r="P38" s="322"/>
      <c r="Q38" s="42"/>
      <c r="R38" s="42"/>
      <c r="S38" s="42"/>
      <c r="T38" s="42"/>
      <c r="U38" s="42"/>
      <c r="V38" s="42"/>
      <c r="W38" s="42"/>
      <c r="X38" s="42"/>
      <c r="Y38" s="42"/>
      <c r="AD38" s="58"/>
    </row>
    <row r="39" spans="8:30" ht="10.15" customHeight="1">
      <c r="L39" s="42"/>
      <c r="M39" s="42"/>
      <c r="N39" s="40"/>
      <c r="O39" s="40"/>
      <c r="P39" s="322"/>
      <c r="Q39" s="42"/>
      <c r="R39" s="42"/>
      <c r="S39" s="42"/>
      <c r="T39" s="42"/>
      <c r="U39" s="42"/>
      <c r="V39" s="42"/>
      <c r="W39" s="42"/>
      <c r="X39" s="42"/>
      <c r="Y39" s="42"/>
    </row>
    <row r="40" spans="8:30" ht="10.15" customHeight="1">
      <c r="L40" s="42"/>
      <c r="M40" s="42"/>
      <c r="N40" s="40"/>
      <c r="O40" s="40"/>
      <c r="P40" s="322"/>
      <c r="Q40" s="42"/>
      <c r="R40" s="42"/>
      <c r="S40" s="42"/>
      <c r="T40" s="42"/>
      <c r="U40" s="42"/>
      <c r="V40" s="42"/>
      <c r="W40" s="42"/>
      <c r="X40" s="42"/>
      <c r="Y40" s="42"/>
    </row>
    <row r="41" spans="8:30" ht="10.15" customHeight="1">
      <c r="L41" s="42"/>
      <c r="M41" s="42"/>
      <c r="N41" s="40"/>
      <c r="O41" s="40"/>
      <c r="P41" s="322"/>
      <c r="Q41" s="42"/>
      <c r="R41" s="42"/>
      <c r="S41" s="42"/>
      <c r="T41" s="42"/>
      <c r="U41" s="42"/>
      <c r="V41" s="42"/>
      <c r="W41" s="42"/>
      <c r="X41" s="42"/>
      <c r="Y41" s="42"/>
    </row>
    <row r="42" spans="8:30" ht="10.15" customHeight="1">
      <c r="L42" s="42"/>
      <c r="M42" s="42"/>
      <c r="N42" s="40"/>
      <c r="O42" s="40"/>
      <c r="P42" s="322"/>
      <c r="Q42" s="42"/>
      <c r="R42" s="42"/>
      <c r="S42" s="42"/>
      <c r="T42" s="42"/>
      <c r="U42" s="42"/>
      <c r="V42" s="42"/>
      <c r="W42" s="42"/>
      <c r="X42" s="42"/>
      <c r="Y42" s="42"/>
    </row>
    <row r="43" spans="8:30" ht="10.15" customHeight="1">
      <c r="L43" s="42"/>
      <c r="M43" s="42"/>
      <c r="N43" s="40"/>
      <c r="O43" s="40"/>
      <c r="P43" s="322"/>
      <c r="Q43" s="42"/>
      <c r="R43" s="42"/>
      <c r="S43" s="42"/>
      <c r="T43" s="42"/>
      <c r="U43" s="42"/>
      <c r="V43" s="42"/>
      <c r="W43" s="42"/>
      <c r="X43" s="42"/>
      <c r="Y43" s="42"/>
    </row>
    <row r="44" spans="8:30" ht="10.15" customHeight="1">
      <c r="L44" s="42"/>
      <c r="M44" s="42"/>
      <c r="N44" s="40"/>
      <c r="O44" s="40"/>
      <c r="P44" s="322"/>
      <c r="Q44" s="42"/>
      <c r="R44" s="42"/>
      <c r="S44" s="42"/>
      <c r="T44" s="42"/>
      <c r="U44" s="42"/>
      <c r="V44" s="42"/>
      <c r="W44" s="42"/>
      <c r="X44" s="42"/>
      <c r="Y44" s="42"/>
    </row>
    <row r="45" spans="8:30" ht="10.15" customHeight="1">
      <c r="L45" s="42"/>
      <c r="M45" s="42"/>
      <c r="N45" s="40"/>
      <c r="O45" s="40"/>
      <c r="P45" s="322"/>
      <c r="Q45" s="42"/>
      <c r="R45" s="42"/>
      <c r="S45" s="42"/>
      <c r="T45" s="42"/>
      <c r="U45" s="42"/>
      <c r="V45" s="42"/>
      <c r="W45" s="42"/>
      <c r="X45" s="42"/>
      <c r="Y45" s="42"/>
    </row>
    <row r="46" spans="8:30" ht="10.15" customHeight="1">
      <c r="L46" s="42"/>
      <c r="M46" s="42"/>
      <c r="N46" s="40"/>
      <c r="O46" s="40"/>
      <c r="P46" s="322"/>
      <c r="Q46" s="42"/>
      <c r="R46" s="42"/>
      <c r="S46" s="42"/>
      <c r="T46" s="42"/>
      <c r="U46" s="42"/>
      <c r="V46" s="42"/>
      <c r="W46" s="42"/>
      <c r="X46" s="42"/>
      <c r="Y46" s="42"/>
    </row>
    <row r="47" spans="8:30" ht="10.15" customHeight="1">
      <c r="L47" s="42"/>
      <c r="M47" s="42"/>
      <c r="N47" s="40"/>
      <c r="O47" s="40"/>
      <c r="P47" s="322"/>
      <c r="Q47" s="42"/>
      <c r="R47" s="42"/>
      <c r="S47" s="42"/>
      <c r="T47" s="42"/>
      <c r="U47" s="42"/>
      <c r="V47" s="42"/>
      <c r="W47" s="42"/>
      <c r="X47" s="42"/>
      <c r="Y47" s="42"/>
    </row>
    <row r="48" spans="8:30" ht="10.15" customHeight="1">
      <c r="L48" s="42"/>
      <c r="M48" s="42"/>
      <c r="N48" s="40"/>
      <c r="O48" s="40"/>
      <c r="P48" s="322" t="s">
        <v>258</v>
      </c>
      <c r="Q48" s="42"/>
      <c r="R48" s="42"/>
      <c r="S48" s="42"/>
      <c r="T48" s="42"/>
      <c r="U48" s="42"/>
      <c r="V48" s="42"/>
      <c r="W48" s="42"/>
      <c r="X48" s="42"/>
      <c r="Y48" s="42"/>
    </row>
    <row r="49" spans="1:53" ht="18">
      <c r="D49" s="485" t="s">
        <v>138</v>
      </c>
      <c r="H49" s="380" t="s">
        <v>259</v>
      </c>
      <c r="I49" s="337"/>
      <c r="J49" s="337"/>
      <c r="K49" s="337"/>
      <c r="L49" s="338"/>
      <c r="M49" s="338"/>
      <c r="N49" s="336"/>
      <c r="O49" s="335"/>
      <c r="P49" s="339"/>
      <c r="Q49" s="334"/>
      <c r="R49" s="334"/>
      <c r="S49" s="334"/>
      <c r="T49" s="334"/>
      <c r="U49" s="340"/>
      <c r="V49" s="340"/>
      <c r="W49" s="340"/>
      <c r="X49" s="340"/>
      <c r="Y49" s="340"/>
      <c r="Z49" s="341"/>
      <c r="AA49" s="342"/>
      <c r="AB49" s="342"/>
      <c r="AC49" s="466"/>
    </row>
    <row r="50" spans="1:53" s="45" customFormat="1" ht="34.9" customHeight="1">
      <c r="A50" s="61"/>
      <c r="B50" s="61"/>
      <c r="C50" s="61"/>
      <c r="D50" s="61"/>
      <c r="E50" s="61"/>
      <c r="F50" s="61"/>
      <c r="G50" s="398" t="s">
        <v>260</v>
      </c>
      <c r="H50" s="343" t="s">
        <v>261</v>
      </c>
      <c r="I50" s="344" t="s">
        <v>139</v>
      </c>
      <c r="J50" s="345" t="s">
        <v>15</v>
      </c>
      <c r="K50" s="373" t="s">
        <v>262</v>
      </c>
      <c r="L50" s="354" t="s">
        <v>263</v>
      </c>
      <c r="M50" s="346" t="s">
        <v>264</v>
      </c>
      <c r="N50" s="347" t="s">
        <v>216</v>
      </c>
      <c r="O50" s="348" t="s">
        <v>140</v>
      </c>
      <c r="P50" s="349" t="s">
        <v>265</v>
      </c>
      <c r="Q50" s="350" t="s">
        <v>266</v>
      </c>
      <c r="R50" s="350" t="s">
        <v>219</v>
      </c>
      <c r="S50" s="352" t="s">
        <v>267</v>
      </c>
      <c r="T50" s="352" t="s">
        <v>268</v>
      </c>
      <c r="U50" s="352" t="s">
        <v>269</v>
      </c>
      <c r="V50" s="352" t="s">
        <v>270</v>
      </c>
      <c r="W50" s="352" t="s">
        <v>271</v>
      </c>
      <c r="X50" s="352" t="s">
        <v>272</v>
      </c>
      <c r="Y50" s="352" t="s">
        <v>273</v>
      </c>
      <c r="Z50" s="350" t="s">
        <v>226</v>
      </c>
      <c r="AA50" s="351" t="s">
        <v>274</v>
      </c>
      <c r="AB50" s="351" t="s">
        <v>18</v>
      </c>
      <c r="AC50" s="465" t="s">
        <v>275</v>
      </c>
      <c r="AD50" s="39"/>
      <c r="AE50" s="39"/>
      <c r="AF50" s="39"/>
      <c r="AG50" s="39"/>
      <c r="AH50" s="39"/>
      <c r="AI50" s="39"/>
    </row>
    <row r="51" spans="1:53" ht="16.149999999999999" customHeight="1">
      <c r="A51" s="62"/>
      <c r="B51" s="62"/>
      <c r="C51" s="62"/>
      <c r="D51" s="62"/>
      <c r="E51" s="62"/>
      <c r="F51" s="62"/>
      <c r="G51" s="62" t="str">
        <f>IF(N51="","",INDEX('All Data'!$AG:$AG,MATCH(N51,'All Data'!$O:$O,0)))</f>
        <v>_5 x 5</v>
      </c>
      <c r="H51" s="314" t="str">
        <f>IF(N51&lt;&gt;"",COUNTIF($N$51:N51,"*")&amp;".","")</f>
        <v>1.</v>
      </c>
      <c r="I51" s="315" t="str">
        <f>IF(N51="","",INDEX('All Data'!$F:$F,MATCH(N51,'All Data'!$O:$O,0)))</f>
        <v>MP</v>
      </c>
      <c r="J51" s="316" t="str">
        <f>IF(N51="","",INDEX('All Data'!$N:$N,MATCH(N51,'All Data'!$O:$O,0)))</f>
        <v>Yes</v>
      </c>
      <c r="K51" s="313" t="e" vm="1">
        <f>_xlfn.IMAGE(IF(N51="","",INDEX('All Data'!AT:AT,MATCH(N51,'All Data'!$O:$O,0))),"--")</f>
        <v>#VALUE!</v>
      </c>
      <c r="L51" s="355" t="str">
        <f>IF(テーブル3[[#This Row],[Part Number]]="","","x "&amp;$J$26)</f>
        <v>x 1</v>
      </c>
      <c r="M51" s="48"/>
      <c r="N51" s="371" t="str">
        <f>'All Data'!BU11</f>
        <v>ETQP3MR68KVP</v>
      </c>
      <c r="O51" s="320">
        <f>IF(N51="","",INDEX('All Data'!$Q:$Q,MATCH(N51,'All Data'!$O:$O,0)))</f>
        <v>0.68</v>
      </c>
      <c r="P51" s="321">
        <f>IF(N51="","",INDEX('All Data'!AE:AE,MATCH(N51,'All Data'!$O:$O,0))*$J$26)</f>
        <v>27.5</v>
      </c>
      <c r="Q51" s="113" t="str">
        <f>IF(N51="","",INDEX('All Data'!AF:AF,MATCH(N51,'All Data'!$O:$O,0)))</f>
        <v>5.5  x  5</v>
      </c>
      <c r="R51" s="60">
        <f>IF(N51="","",INDEX('All Data'!AD:AD,MATCH(N51,'All Data'!$O:$O,0)))</f>
        <v>3</v>
      </c>
      <c r="S51" s="112">
        <f>IF(N51="","",INDEX('All Data'!X:X,MATCH(N51,'All Data'!$O:$O,0)))</f>
        <v>10.199999999999999</v>
      </c>
      <c r="T51" s="60">
        <f>IF(N51="","",INDEX('All Data'!Y:Y,MATCH(N51,'All Data'!$O:$O,0)))</f>
        <v>8.4</v>
      </c>
      <c r="U51" s="112">
        <f>IF(N51="","",INDEX('All Data'!Z:Z,MATCH(N51,'All Data'!$O:$O,0)))</f>
        <v>15.9</v>
      </c>
      <c r="V51" s="111">
        <f>IF(N51="","",INDEX('All Data'!AA:AA,MATCH(N51,'All Data'!$O:$O,0)))</f>
        <v>10.4</v>
      </c>
      <c r="W51" s="112">
        <f>IF(N51="","",INDEX('All Data'!U:U,MATCH(N51,'All Data'!$O:$O,0)))</f>
        <v>7.6</v>
      </c>
      <c r="X51" s="150">
        <f>IF(N51="","",INDEX('All Data'!V:V,MATCH(N51,'All Data'!$O:$O,0)))</f>
        <v>8.36</v>
      </c>
      <c r="Y51" s="60"/>
      <c r="Z51" s="228" t="str">
        <f>IF(N51="","",INDEX('All Data'!AK:AK,MATCH(N51,'All Data'!$O:$O,0)))</f>
        <v>-55 to +155</v>
      </c>
      <c r="AA51" s="468" t="str">
        <f>IF(N51="","",INDEX('All Data'!$K:$K,MATCH(N51,'All Data'!$O:$O,0)))</f>
        <v>LP (Low Profile)</v>
      </c>
      <c r="AB51" s="469" t="str">
        <f>IF(N51="","",HYPERLINK(INDEX('All Data'!$AS:$AS,MATCH(N51,'All Data'!$O:$O,0)),"More Info"))</f>
        <v>More Info</v>
      </c>
      <c r="AC51" s="467"/>
      <c r="AU51" s="441"/>
      <c r="AV51" s="441"/>
      <c r="AW51" s="441"/>
      <c r="AX51" s="441"/>
      <c r="AY51" s="441"/>
      <c r="AZ51" s="441"/>
      <c r="BA51" s="441"/>
    </row>
    <row r="52" spans="1:53" ht="16.149999999999999" customHeight="1">
      <c r="A52" s="62"/>
      <c r="B52" s="62"/>
      <c r="C52" s="62"/>
      <c r="D52" s="62"/>
      <c r="E52" s="62"/>
      <c r="F52" s="62"/>
      <c r="G52" s="62" t="str">
        <f>IF(N52="","",INDEX('All Data'!$AG:$AG,MATCH(N52,'All Data'!$O:$O,0)))</f>
        <v>_6 x 6</v>
      </c>
      <c r="H52" s="314" t="str">
        <f>IF(N52&lt;&gt;"",COUNTIF($N$51:N52,"*")&amp;".","")</f>
        <v>2.</v>
      </c>
      <c r="I52" s="315" t="str">
        <f>IF(N52="","",INDEX('All Data'!$F:$F,MATCH(N52,'All Data'!$O:$O,0)))</f>
        <v>MP</v>
      </c>
      <c r="J52" s="316" t="str">
        <f>IF(N52="","",INDEX('All Data'!$N:$N,MATCH(N52,'All Data'!$O:$O,0)))</f>
        <v>Yes</v>
      </c>
      <c r="K52" s="313" t="e" vm="1">
        <f>_xlfn.IMAGE(IF(N52="","",INDEX('All Data'!AT:AT,MATCH(N52,'All Data'!$O:$O,0))),"--")</f>
        <v>#VALUE!</v>
      </c>
      <c r="L52" s="355" t="str">
        <f>IF(テーブル3[[#This Row],[Part Number]]="","","x "&amp;$J$26)</f>
        <v>x 1</v>
      </c>
      <c r="M52" s="48"/>
      <c r="N52" s="371" t="str">
        <f>'All Data'!BU12</f>
        <v>ETQP3MR68KVN</v>
      </c>
      <c r="O52" s="320">
        <f>IF(N52="","",INDEX('All Data'!$Q:$Q,MATCH(N52,'All Data'!$O:$O,0)))</f>
        <v>0.68</v>
      </c>
      <c r="P52" s="321">
        <f>IF(N52="","",INDEX('All Data'!AE:AE,MATCH(N52,'All Data'!$O:$O,0))*$J$26)</f>
        <v>38.4</v>
      </c>
      <c r="Q52" s="113" t="str">
        <f>IF(N52="","",INDEX('All Data'!AF:AF,MATCH(N52,'All Data'!$O:$O,0)))</f>
        <v>6.4  x  6</v>
      </c>
      <c r="R52" s="60">
        <f>IF(N52="","",INDEX('All Data'!AD:AD,MATCH(N52,'All Data'!$O:$O,0)))</f>
        <v>3</v>
      </c>
      <c r="S52" s="112">
        <f>IF(N52="","",INDEX('All Data'!X:X,MATCH(N52,'All Data'!$O:$O,0)))</f>
        <v>13.2</v>
      </c>
      <c r="T52" s="60">
        <f>IF(N52="","",INDEX('All Data'!Y:Y,MATCH(N52,'All Data'!$O:$O,0)))</f>
        <v>10.8</v>
      </c>
      <c r="U52" s="112">
        <f>IF(N52="","",INDEX('All Data'!Z:Z,MATCH(N52,'All Data'!$O:$O,0)))</f>
        <v>20.2</v>
      </c>
      <c r="V52" s="111">
        <f>IF(N52="","",INDEX('All Data'!AA:AA,MATCH(N52,'All Data'!$O:$O,0)))</f>
        <v>14.25</v>
      </c>
      <c r="W52" s="112">
        <f>IF(N52="","",INDEX('All Data'!U:U,MATCH(N52,'All Data'!$O:$O,0)))</f>
        <v>5.2</v>
      </c>
      <c r="X52" s="150">
        <f>IF(N52="","",INDEX('All Data'!V:V,MATCH(N52,'All Data'!$O:$O,0)))</f>
        <v>5.7200000000000006</v>
      </c>
      <c r="Y52" s="60"/>
      <c r="Z52" s="228" t="str">
        <f>IF(N52="","",INDEX('All Data'!AK:AK,MATCH(N52,'All Data'!$O:$O,0)))</f>
        <v>-55 to +155</v>
      </c>
      <c r="AA52" s="468" t="str">
        <f>IF(N52="","",INDEX('All Data'!$K:$K,MATCH(N52,'All Data'!$O:$O,0)))</f>
        <v>LP (Low Profile)</v>
      </c>
      <c r="AB52" s="469" t="str">
        <f>IF(N52="","",HYPERLINK(INDEX('All Data'!$AS:$AS,MATCH(N52,'All Data'!$O:$O,0)),"More Info"))</f>
        <v>More Info</v>
      </c>
      <c r="AC52" s="467"/>
      <c r="AU52" s="441"/>
      <c r="AV52" s="441"/>
      <c r="AW52" s="441"/>
      <c r="AX52" s="441"/>
      <c r="AY52" s="441"/>
      <c r="AZ52" s="441"/>
      <c r="BA52" s="441"/>
    </row>
    <row r="53" spans="1:53" ht="16.149999999999999" customHeight="1">
      <c r="A53" s="62"/>
      <c r="B53" s="62"/>
      <c r="C53" s="62"/>
      <c r="D53" s="62"/>
      <c r="E53" s="62"/>
      <c r="F53" s="62"/>
      <c r="G53" s="62" t="str">
        <f>IF(N53="","",INDEX('All Data'!$AG:$AG,MATCH(N53,'All Data'!$O:$O,0)))</f>
        <v>_6 x 6</v>
      </c>
      <c r="H53" s="314" t="str">
        <f>IF(N53&lt;&gt;"",COUNTIF($N$51:N53,"*")&amp;".","")</f>
        <v>3.</v>
      </c>
      <c r="I53" s="315" t="str">
        <f>IF(N53="","",INDEX('All Data'!$F:$F,MATCH(N53,'All Data'!$O:$O,0)))</f>
        <v>MP</v>
      </c>
      <c r="J53" s="316" t="str">
        <f>IF(N53="","",INDEX('All Data'!$N:$N,MATCH(N53,'All Data'!$O:$O,0)))</f>
        <v>Yes</v>
      </c>
      <c r="K53" s="313" t="e" vm="3">
        <f>_xlfn.IMAGE(IF(N53="","",INDEX('All Data'!AT:AT,MATCH(N53,'All Data'!$O:$O,0))),"--")</f>
        <v>#VALUE!</v>
      </c>
      <c r="L53" s="355" t="str">
        <f>IF(テーブル3[[#This Row],[Part Number]]="","","x "&amp;$J$26)</f>
        <v>x 1</v>
      </c>
      <c r="M53" s="48"/>
      <c r="N53" s="371" t="str">
        <f>'All Data'!BU13</f>
        <v>ETQP3MR68YFN</v>
      </c>
      <c r="O53" s="320">
        <f>IF(N53="","",INDEX('All Data'!$Q:$Q,MATCH(N53,'All Data'!$O:$O,0)))</f>
        <v>0.68</v>
      </c>
      <c r="P53" s="321">
        <f>IF(N53="","",INDEX('All Data'!AE:AE,MATCH(N53,'All Data'!$O:$O,0))*$J$26)</f>
        <v>39</v>
      </c>
      <c r="Q53" s="113" t="str">
        <f>IF(N53="","",INDEX('All Data'!AF:AF,MATCH(N53,'All Data'!$O:$O,0)))</f>
        <v>6.5  x  6</v>
      </c>
      <c r="R53" s="60">
        <f>IF(N53="","",INDEX('All Data'!AD:AD,MATCH(N53,'All Data'!$O:$O,0)))</f>
        <v>3</v>
      </c>
      <c r="S53" s="112">
        <f>IF(N53="","",INDEX('All Data'!X:X,MATCH(N53,'All Data'!$O:$O,0)))</f>
        <v>12</v>
      </c>
      <c r="T53" s="60">
        <f>IF(N53="","",INDEX('All Data'!Y:Y,MATCH(N53,'All Data'!$O:$O,0)))</f>
        <v>9.8000000000000007</v>
      </c>
      <c r="U53" s="112">
        <f>IF(N53="","",INDEX('All Data'!Z:Z,MATCH(N53,'All Data'!$O:$O,0)))</f>
        <v>24</v>
      </c>
      <c r="V53" s="111">
        <f>IF(N53="","",INDEX('All Data'!AA:AA,MATCH(N53,'All Data'!$O:$O,0)))</f>
        <v>17.66</v>
      </c>
      <c r="W53" s="112">
        <f>IF(N53="","",INDEX('All Data'!U:U,MATCH(N53,'All Data'!$O:$O,0)))</f>
        <v>6.3</v>
      </c>
      <c r="X53" s="150">
        <f>IF(N53="","",INDEX('All Data'!V:V,MATCH(N53,'All Data'!$O:$O,0)))</f>
        <v>6.9300000000000006</v>
      </c>
      <c r="Y53" s="60"/>
      <c r="Z53" s="228" t="str">
        <f>IF(N53="","",INDEX('All Data'!AK:AK,MATCH(N53,'All Data'!$O:$O,0)))</f>
        <v>-40 to +150</v>
      </c>
      <c r="AA53" s="468" t="str">
        <f>IF(N53="","",INDEX('All Data'!$K:$K,MATCH(N53,'All Data'!$O:$O,0)))</f>
        <v>High Isat (Standard)</v>
      </c>
      <c r="AB53" s="469" t="str">
        <f>IF(N53="","",HYPERLINK(INDEX('All Data'!$AS:$AS,MATCH(N53,'All Data'!$O:$O,0)),"More Info"))</f>
        <v>More Info</v>
      </c>
      <c r="AC53" s="467"/>
      <c r="AU53" s="441"/>
      <c r="AV53" s="441"/>
      <c r="AW53" s="441"/>
      <c r="AX53" s="441"/>
      <c r="AY53" s="441"/>
      <c r="AZ53" s="441"/>
      <c r="BA53" s="441"/>
    </row>
    <row r="54" spans="1:53" ht="16.149999999999999" customHeight="1">
      <c r="A54" s="62"/>
      <c r="B54" s="62"/>
      <c r="C54" s="62"/>
      <c r="D54" s="62"/>
      <c r="E54" s="62"/>
      <c r="F54" s="62"/>
      <c r="G54" s="62" t="str">
        <f>IF(N54="","",INDEX('All Data'!$AG:$AG,MATCH(N54,'All Data'!$O:$O,0)))</f>
        <v>_8 x 8</v>
      </c>
      <c r="H54" s="314" t="str">
        <f>IF(N54&lt;&gt;"",COUNTIF($N$51:N54,"*")&amp;".","")</f>
        <v>4.</v>
      </c>
      <c r="I54" s="315" t="str">
        <f>IF(N54="","",INDEX('All Data'!$F:$F,MATCH(N54,'All Data'!$O:$O,0)))</f>
        <v>MP</v>
      </c>
      <c r="J54" s="316" t="str">
        <f>IF(N54="","",INDEX('All Data'!$N:$N,MATCH(N54,'All Data'!$O:$O,0)))</f>
        <v>Yes</v>
      </c>
      <c r="K54" s="313" t="e" vm="1">
        <f>_xlfn.IMAGE(IF(N54="","",INDEX('All Data'!AT:AT,MATCH(N54,'All Data'!$O:$O,0))),"--")</f>
        <v>#VALUE!</v>
      </c>
      <c r="L54" s="355" t="str">
        <f>IF(テーブル3[[#This Row],[Part Number]]="","","x "&amp;$J$26)</f>
        <v>x 1</v>
      </c>
      <c r="M54" s="48"/>
      <c r="N54" s="371" t="str">
        <f>'All Data'!BU14</f>
        <v>ETQP4MR68KVK</v>
      </c>
      <c r="O54" s="320">
        <f>IF(N54="","",INDEX('All Data'!$Q:$Q,MATCH(N54,'All Data'!$O:$O,0)))</f>
        <v>0.68</v>
      </c>
      <c r="P54" s="321">
        <f>IF(N54="","",INDEX('All Data'!AE:AE,MATCH(N54,'All Data'!$O:$O,0))*$J$26)</f>
        <v>67.2</v>
      </c>
      <c r="Q54" s="113" t="str">
        <f>IF(N54="","",INDEX('All Data'!AF:AF,MATCH(N54,'All Data'!$O:$O,0)))</f>
        <v>8.4  x  8</v>
      </c>
      <c r="R54" s="60">
        <f>IF(N54="","",INDEX('All Data'!AD:AD,MATCH(N54,'All Data'!$O:$O,0)))</f>
        <v>4</v>
      </c>
      <c r="S54" s="112">
        <f>IF(N54="","",INDEX('All Data'!X:X,MATCH(N54,'All Data'!$O:$O,0)))</f>
        <v>19.5</v>
      </c>
      <c r="T54" s="60">
        <f>IF(N54="","",INDEX('All Data'!Y:Y,MATCH(N54,'All Data'!$O:$O,0)))</f>
        <v>16.600000000000001</v>
      </c>
      <c r="U54" s="112">
        <f>IF(N54="","",INDEX('All Data'!Z:Z,MATCH(N54,'All Data'!$O:$O,0)))</f>
        <v>29</v>
      </c>
      <c r="V54" s="111">
        <f>IF(N54="","",INDEX('All Data'!AA:AA,MATCH(N54,'All Data'!$O:$O,0)))</f>
        <v>20.99</v>
      </c>
      <c r="W54" s="112">
        <f>IF(N54="","",INDEX('All Data'!U:U,MATCH(N54,'All Data'!$O:$O,0)))</f>
        <v>2.92</v>
      </c>
      <c r="X54" s="150">
        <f>IF(N54="","",INDEX('All Data'!V:V,MATCH(N54,'All Data'!$O:$O,0)))</f>
        <v>3.21</v>
      </c>
      <c r="Y54" s="60"/>
      <c r="Z54" s="228" t="str">
        <f>IF(N54="","",INDEX('All Data'!AK:AK,MATCH(N54,'All Data'!$O:$O,0)))</f>
        <v>-55 to +155</v>
      </c>
      <c r="AA54" s="468" t="str">
        <f>IF(N54="","",INDEX('All Data'!$K:$K,MATCH(N54,'All Data'!$O:$O,0)))</f>
        <v>LP (Low Profile)</v>
      </c>
      <c r="AB54" s="469" t="str">
        <f>IF(N54="","",HYPERLINK(INDEX('All Data'!$AS:$AS,MATCH(N54,'All Data'!$O:$O,0)),"More Info"))</f>
        <v>More Info</v>
      </c>
      <c r="AC54" s="467"/>
      <c r="AU54" s="441"/>
      <c r="AV54" s="441"/>
      <c r="AW54" s="441"/>
      <c r="AX54" s="441"/>
      <c r="AY54" s="441"/>
      <c r="AZ54" s="441"/>
      <c r="BA54" s="441"/>
    </row>
    <row r="55" spans="1:53" ht="16.149999999999999" customHeight="1">
      <c r="A55" s="62"/>
      <c r="B55" s="62"/>
      <c r="C55" s="62"/>
      <c r="D55" s="62"/>
      <c r="E55" s="62"/>
      <c r="F55" s="62"/>
      <c r="G55" s="62" t="str">
        <f>IF(N55="","",INDEX('All Data'!$AG:$AG,MATCH(N55,'All Data'!$O:$O,0)))</f>
        <v>10 x 10</v>
      </c>
      <c r="H55" s="314" t="str">
        <f>IF(N55&lt;&gt;"",COUNTIF($N$51:N55,"*")&amp;".","")</f>
        <v>5.</v>
      </c>
      <c r="I55" s="315" t="str">
        <f>IF(N55="","",INDEX('All Data'!$F:$F,MATCH(N55,'All Data'!$O:$O,0)))</f>
        <v>MP</v>
      </c>
      <c r="J55" s="316" t="str">
        <f>IF(N55="","",INDEX('All Data'!$N:$N,MATCH(N55,'All Data'!$O:$O,0)))</f>
        <v>Yes</v>
      </c>
      <c r="K55" s="313" t="e" vm="3">
        <f>_xlfn.IMAGE(IF(N55="","",INDEX('All Data'!AT:AT,MATCH(N55,'All Data'!$O:$O,0))),"--")</f>
        <v>#VALUE!</v>
      </c>
      <c r="L55" s="355" t="str">
        <f>IF(テーブル3[[#This Row],[Part Number]]="","","x "&amp;$J$26)</f>
        <v>x 1</v>
      </c>
      <c r="M55" s="48"/>
      <c r="N55" s="371" t="str">
        <f>'All Data'!BU15</f>
        <v>ETQP5MR68YLC</v>
      </c>
      <c r="O55" s="320">
        <f>IF(N55="","",INDEX('All Data'!$Q:$Q,MATCH(N55,'All Data'!$O:$O,0)))</f>
        <v>0.68</v>
      </c>
      <c r="P55" s="321">
        <f>IF(N55="","",INDEX('All Data'!AE:AE,MATCH(N55,'All Data'!$O:$O,0))*$J$26)</f>
        <v>109</v>
      </c>
      <c r="Q55" s="113" t="str">
        <f>IF(N55="","",INDEX('All Data'!AF:AF,MATCH(N55,'All Data'!$O:$O,0)))</f>
        <v>10.9  x  10</v>
      </c>
      <c r="R55" s="60">
        <f>IF(N55="","",INDEX('All Data'!AD:AD,MATCH(N55,'All Data'!$O:$O,0)))</f>
        <v>5</v>
      </c>
      <c r="S55" s="112">
        <f>IF(N55="","",INDEX('All Data'!X:X,MATCH(N55,'All Data'!$O:$O,0)))</f>
        <v>31.5</v>
      </c>
      <c r="T55" s="60">
        <f>IF(N55="","",INDEX('All Data'!Y:Y,MATCH(N55,'All Data'!$O:$O,0)))</f>
        <v>26.3</v>
      </c>
      <c r="U55" s="112">
        <f>IF(N55="","",INDEX('All Data'!Z:Z,MATCH(N55,'All Data'!$O:$O,0)))</f>
        <v>40</v>
      </c>
      <c r="V55" s="111">
        <f>IF(N55="","",INDEX('All Data'!AA:AA,MATCH(N55,'All Data'!$O:$O,0)))</f>
        <v>28.37</v>
      </c>
      <c r="W55" s="112">
        <f>IF(N55="","",INDEX('All Data'!U:U,MATCH(N55,'All Data'!$O:$O,0)))</f>
        <v>1.75</v>
      </c>
      <c r="X55" s="150">
        <f>IF(N55="","",INDEX('All Data'!V:V,MATCH(N55,'All Data'!$O:$O,0)))</f>
        <v>1.93</v>
      </c>
      <c r="Y55" s="60"/>
      <c r="Z55" s="228" t="str">
        <f>IF(N55="","",INDEX('All Data'!AK:AK,MATCH(N55,'All Data'!$O:$O,0)))</f>
        <v>-40 to +150</v>
      </c>
      <c r="AA55" s="468" t="str">
        <f>IF(N55="","",INDEX('All Data'!$K:$K,MATCH(N55,'All Data'!$O:$O,0)))</f>
        <v>High Isat (Standard)</v>
      </c>
      <c r="AB55" s="469" t="str">
        <f>IF(N55="","",HYPERLINK(INDEX('All Data'!$AS:$AS,MATCH(N55,'All Data'!$O:$O,0)),"More Info"))</f>
        <v>More Info</v>
      </c>
      <c r="AC55" s="467"/>
      <c r="AU55" s="441"/>
      <c r="AV55" s="441"/>
      <c r="AW55" s="441"/>
      <c r="AX55" s="441"/>
      <c r="AY55" s="441"/>
      <c r="AZ55" s="441"/>
      <c r="BA55" s="441"/>
    </row>
    <row r="56" spans="1:53" ht="16.149999999999999" customHeight="1">
      <c r="A56" s="62"/>
      <c r="B56" s="62"/>
      <c r="C56" s="62"/>
      <c r="D56" s="62"/>
      <c r="E56" s="62"/>
      <c r="F56" s="62"/>
      <c r="G56" s="62" t="str">
        <f>IF(N56="","",INDEX('All Data'!$AG:$AG,MATCH(N56,'All Data'!$O:$O,0)))</f>
        <v>10 x 10</v>
      </c>
      <c r="H56" s="314" t="str">
        <f>IF(N56&lt;&gt;"",COUNTIF($N$51:N56,"*")&amp;".","")</f>
        <v>6.</v>
      </c>
      <c r="I56" s="315" t="str">
        <f>IF(N56="","",INDEX('All Data'!$F:$F,MATCH(N56,'All Data'!$O:$O,0)))</f>
        <v>MP</v>
      </c>
      <c r="J56" s="316" t="str">
        <f>IF(N56="","",INDEX('All Data'!$N:$N,MATCH(N56,'All Data'!$O:$O,0)))</f>
        <v>Yes</v>
      </c>
      <c r="K56" s="313" t="e" vm="6">
        <f>_xlfn.IMAGE(IF(N56="","",INDEX('All Data'!AT:AT,MATCH(N56,'All Data'!$O:$O,0))),"--")</f>
        <v>#VALUE!</v>
      </c>
      <c r="L56" s="355" t="str">
        <f>IF(テーブル3[[#This Row],[Part Number]]="","","x "&amp;$J$26)</f>
        <v>x 1</v>
      </c>
      <c r="M56" s="48"/>
      <c r="N56" s="371" t="str">
        <f>'All Data'!BU16</f>
        <v>ETQP5MR68YSC</v>
      </c>
      <c r="O56" s="320">
        <f>IF(N56="","",INDEX('All Data'!$Q:$Q,MATCH(N56,'All Data'!$O:$O,0)))</f>
        <v>0.68</v>
      </c>
      <c r="P56" s="321">
        <f>IF(N56="","",INDEX('All Data'!AE:AE,MATCH(N56,'All Data'!$O:$O,0))*$J$26)</f>
        <v>109</v>
      </c>
      <c r="Q56" s="113" t="str">
        <f>IF(N56="","",INDEX('All Data'!AF:AF,MATCH(N56,'All Data'!$O:$O,0)))</f>
        <v>10.9  x  10</v>
      </c>
      <c r="R56" s="60">
        <f>IF(N56="","",INDEX('All Data'!AD:AD,MATCH(N56,'All Data'!$O:$O,0)))</f>
        <v>5</v>
      </c>
      <c r="S56" s="112">
        <f>IF(N56="","",INDEX('All Data'!X:X,MATCH(N56,'All Data'!$O:$O,0)))</f>
        <v>32.299999999999997</v>
      </c>
      <c r="T56" s="60">
        <f>IF(N56="","",INDEX('All Data'!Y:Y,MATCH(N56,'All Data'!$O:$O,0)))</f>
        <v>27</v>
      </c>
      <c r="U56" s="112">
        <f>IF(N56="","",INDEX('All Data'!Z:Z,MATCH(N56,'All Data'!$O:$O,0)))</f>
        <v>40</v>
      </c>
      <c r="V56" s="111">
        <f>IF(N56="","",INDEX('All Data'!AA:AA,MATCH(N56,'All Data'!$O:$O,0)))</f>
        <v>28.1</v>
      </c>
      <c r="W56" s="112">
        <f>IF(N56="","",INDEX('All Data'!U:U,MATCH(N56,'All Data'!$O:$O,0)))</f>
        <v>1.66</v>
      </c>
      <c r="X56" s="150">
        <f>IF(N56="","",INDEX('All Data'!V:V,MATCH(N56,'All Data'!$O:$O,0)))</f>
        <v>1.83</v>
      </c>
      <c r="Y56" s="60"/>
      <c r="Z56" s="228" t="str">
        <f>IF(N56="","",INDEX('All Data'!AK:AK,MATCH(N56,'All Data'!$O:$O,0)))</f>
        <v>-40 to +150</v>
      </c>
      <c r="AA56" s="468" t="str">
        <f>IF(N56="","",INDEX('All Data'!$K:$K,MATCH(N56,'All Data'!$O:$O,0)))</f>
        <v>High Anti-vibration</v>
      </c>
      <c r="AB56" s="469" t="str">
        <f>IF(N56="","",HYPERLINK(INDEX('All Data'!$AS:$AS,MATCH(N56,'All Data'!$O:$O,0)),"More Info"))</f>
        <v>More Info</v>
      </c>
      <c r="AC56" s="467"/>
      <c r="AU56" s="441"/>
      <c r="AV56" s="441"/>
      <c r="AW56" s="441"/>
      <c r="AX56" s="441"/>
      <c r="AY56" s="441"/>
      <c r="AZ56" s="441"/>
      <c r="BA56" s="441"/>
    </row>
    <row r="57" spans="1:53" ht="16.149999999999999" customHeight="1">
      <c r="A57" s="62"/>
      <c r="B57" s="62"/>
      <c r="C57" s="62"/>
      <c r="D57" s="62"/>
      <c r="E57" s="62"/>
      <c r="F57" s="62"/>
      <c r="G57" s="62" t="str">
        <f>IF(N57="","",INDEX('All Data'!$AG:$AG,MATCH(N57,'All Data'!$O:$O,0)))</f>
        <v>12 x 12</v>
      </c>
      <c r="H57" s="314" t="str">
        <f>IF(N57&lt;&gt;"",COUNTIF($N$51:N57,"*")&amp;".","")</f>
        <v>7.</v>
      </c>
      <c r="I57" s="315" t="str">
        <f>IF(N57="","",INDEX('All Data'!$F:$F,MATCH(N57,'All Data'!$O:$O,0)))</f>
        <v>MP</v>
      </c>
      <c r="J57" s="316" t="str">
        <f>IF(N57="","",INDEX('All Data'!$N:$N,MATCH(N57,'All Data'!$O:$O,0)))</f>
        <v>Yes</v>
      </c>
      <c r="K57" s="313" t="e" vm="4">
        <f>_xlfn.IMAGE(IF(N57="","",INDEX('All Data'!AT:AT,MATCH(N57,'All Data'!$O:$O,0))),"--")</f>
        <v>#VALUE!</v>
      </c>
      <c r="L57" s="355" t="str">
        <f>IF(テーブル3[[#This Row],[Part Number]]="","","x "&amp;$J$26)</f>
        <v>x 1</v>
      </c>
      <c r="M57" s="48"/>
      <c r="N57" s="371" t="str">
        <f>'All Data'!BU17</f>
        <v>ETQP8MR68JFA</v>
      </c>
      <c r="O57" s="320">
        <f>IF(N57="","",INDEX('All Data'!$Q:$Q,MATCH(N57,'All Data'!$O:$O,0)))</f>
        <v>0.68</v>
      </c>
      <c r="P57" s="321">
        <f>IF(N57="","",INDEX('All Data'!AE:AE,MATCH(N57,'All Data'!$O:$O,0))*$J$26)</f>
        <v>166.3</v>
      </c>
      <c r="Q57" s="113" t="str">
        <f>IF(N57="","",INDEX('All Data'!AF:AF,MATCH(N57,'All Data'!$O:$O,0)))</f>
        <v>12.6  x  13.2</v>
      </c>
      <c r="R57" s="60">
        <f>IF(N57="","",INDEX('All Data'!AD:AD,MATCH(N57,'All Data'!$O:$O,0)))</f>
        <v>8</v>
      </c>
      <c r="S57" s="112">
        <f>IF(N57="","",INDEX('All Data'!X:X,MATCH(N57,'All Data'!$O:$O,0)))</f>
        <v>42.6</v>
      </c>
      <c r="T57" s="60">
        <f>IF(N57="","",INDEX('All Data'!Y:Y,MATCH(N57,'All Data'!$O:$O,0)))</f>
        <v>35.4</v>
      </c>
      <c r="U57" s="112">
        <f>IF(N57="","",INDEX('All Data'!Z:Z,MATCH(N57,'All Data'!$O:$O,0)))</f>
        <v>56.9</v>
      </c>
      <c r="V57" s="111">
        <f>IF(N57="","",INDEX('All Data'!AA:AA,MATCH(N57,'All Data'!$O:$O,0)))</f>
        <v>40.33</v>
      </c>
      <c r="W57" s="112">
        <f>IF(N57="","",INDEX('All Data'!U:U,MATCH(N57,'All Data'!$O:$O,0)))</f>
        <v>1.1000000000000001</v>
      </c>
      <c r="X57" s="150">
        <f>IF(N57="","",INDEX('All Data'!V:V,MATCH(N57,'All Data'!$O:$O,0)))</f>
        <v>1.21</v>
      </c>
      <c r="Y57" s="60"/>
      <c r="Z57" s="228" t="str">
        <f>IF(N57="","",INDEX('All Data'!AK:AK,MATCH(N57,'All Data'!$O:$O,0)))</f>
        <v>-40 to +160</v>
      </c>
      <c r="AA57" s="468" t="str">
        <f>IF(N57="","",INDEX('All Data'!$K:$K,MATCH(N57,'All Data'!$O:$O,0)))</f>
        <v>High Current (≥□12)</v>
      </c>
      <c r="AB57" s="469" t="str">
        <f>IF(N57="","",HYPERLINK(INDEX('All Data'!$AS:$AS,MATCH(N57,'All Data'!$O:$O,0)),"More Info"))</f>
        <v>More Info</v>
      </c>
      <c r="AC57" s="467"/>
      <c r="AU57" s="441"/>
      <c r="AV57" s="441"/>
      <c r="AW57" s="441"/>
      <c r="AX57" s="441"/>
      <c r="AY57" s="441"/>
      <c r="AZ57" s="441"/>
      <c r="BA57" s="441"/>
    </row>
    <row r="58" spans="1:53" ht="16.149999999999999" customHeight="1">
      <c r="A58" s="62"/>
      <c r="B58" s="62"/>
      <c r="C58" s="62"/>
      <c r="D58" s="62"/>
      <c r="E58" s="62"/>
      <c r="F58" s="62"/>
      <c r="G58" s="62" t="str">
        <f>IF(N58="","",INDEX('All Data'!$AG:$AG,MATCH(N58,'All Data'!$O:$O,0)))</f>
        <v>15 x 15</v>
      </c>
      <c r="H58" s="314" t="str">
        <f>IF(N58&lt;&gt;"",COUNTIF($N$51:N58,"*")&amp;".","")</f>
        <v>8.</v>
      </c>
      <c r="I58" s="315" t="str">
        <f>IF(N58="","",INDEX('All Data'!$F:$F,MATCH(N58,'All Data'!$O:$O,0)))</f>
        <v>MP</v>
      </c>
      <c r="J58" s="316" t="str">
        <f>IF(N58="","",INDEX('All Data'!$N:$N,MATCH(N58,'All Data'!$O:$O,0)))</f>
        <v>Yes</v>
      </c>
      <c r="K58" s="313" t="e" vm="4">
        <f>_xlfn.IMAGE(IF(N58="","",INDEX('All Data'!AT:AT,MATCH(N58,'All Data'!$O:$O,0))),"--")</f>
        <v>#VALUE!</v>
      </c>
      <c r="L58" s="355" t="str">
        <f>IF(テーブル3[[#This Row],[Part Number]]="","","x "&amp;$J$26)</f>
        <v>x 1</v>
      </c>
      <c r="M58" s="48"/>
      <c r="N58" s="371" t="str">
        <f>'All Data'!BU18</f>
        <v>ETQPAMR68JFW</v>
      </c>
      <c r="O58" s="320">
        <f>IF(N58="","",INDEX('All Data'!$Q:$Q,MATCH(N58,'All Data'!$O:$O,0)))</f>
        <v>0.68</v>
      </c>
      <c r="P58" s="321">
        <f>IF(N58="","",INDEX('All Data'!AE:AE,MATCH(N58,'All Data'!$O:$O,0))*$J$26)</f>
        <v>268.3</v>
      </c>
      <c r="Q58" s="113" t="str">
        <f>IF(N58="","",INDEX('All Data'!AF:AF,MATCH(N58,'All Data'!$O:$O,0)))</f>
        <v>15.6  x  17.2</v>
      </c>
      <c r="R58" s="60">
        <f>IF(N58="","",INDEX('All Data'!AD:AD,MATCH(N58,'All Data'!$O:$O,0)))</f>
        <v>10.5</v>
      </c>
      <c r="S58" s="112">
        <f>IF(N58="","",INDEX('All Data'!X:X,MATCH(N58,'All Data'!$O:$O,0)))</f>
        <v>65</v>
      </c>
      <c r="T58" s="60">
        <f>IF(N58="","",INDEX('All Data'!Y:Y,MATCH(N58,'All Data'!$O:$O,0)))</f>
        <v>53</v>
      </c>
      <c r="U58" s="112">
        <f>IF(N58="","",INDEX('All Data'!Z:Z,MATCH(N58,'All Data'!$O:$O,0)))</f>
        <v>71</v>
      </c>
      <c r="V58" s="111">
        <f>IF(N58="","",INDEX('All Data'!AA:AA,MATCH(N58,'All Data'!$O:$O,0)))</f>
        <v>51</v>
      </c>
      <c r="W58" s="112">
        <f>IF(N58="","",INDEX('All Data'!U:U,MATCH(N58,'All Data'!$O:$O,0)))</f>
        <v>0.7</v>
      </c>
      <c r="X58" s="150">
        <f>IF(N58="","",INDEX('All Data'!V:V,MATCH(N58,'All Data'!$O:$O,0)))</f>
        <v>0.77</v>
      </c>
      <c r="Y58" s="60"/>
      <c r="Z58" s="228" t="str">
        <f>IF(N58="","",INDEX('All Data'!AK:AK,MATCH(N58,'All Data'!$O:$O,0)))</f>
        <v>-40 to +160</v>
      </c>
      <c r="AA58" s="468" t="str">
        <f>IF(N58="","",INDEX('All Data'!$K:$K,MATCH(N58,'All Data'!$O:$O,0)))</f>
        <v>High Current (≥□12)</v>
      </c>
      <c r="AB58" s="469" t="str">
        <f>IF(N58="","",HYPERLINK(INDEX('All Data'!$AS:$AS,MATCH(N58,'All Data'!$O:$O,0)),"More Info"))</f>
        <v>More Info</v>
      </c>
      <c r="AC58" s="467"/>
      <c r="AU58" s="441"/>
      <c r="AV58" s="441"/>
      <c r="AW58" s="441"/>
      <c r="AX58" s="441"/>
      <c r="AY58" s="441"/>
      <c r="AZ58" s="441"/>
      <c r="BA58" s="441"/>
    </row>
    <row r="59" spans="1:53" ht="16.149999999999999" customHeight="1">
      <c r="A59" s="62"/>
      <c r="B59" s="62"/>
      <c r="C59" s="62"/>
      <c r="D59" s="62"/>
      <c r="E59" s="62"/>
      <c r="F59" s="62"/>
      <c r="G59" s="62" t="str">
        <f>IF(N59="","",INDEX('All Data'!$AG:$AG,MATCH(N59,'All Data'!$O:$O,0)))</f>
        <v>_5 x 5</v>
      </c>
      <c r="H59" s="314" t="str">
        <f>IF(N59&lt;&gt;"",COUNTIF($N$51:N59,"*")&amp;".","")</f>
        <v>9.</v>
      </c>
      <c r="I59" s="315" t="str">
        <f>IF(N59="","",INDEX('All Data'!$F:$F,MATCH(N59,'All Data'!$O:$O,0)))</f>
        <v>MP</v>
      </c>
      <c r="J59" s="316" t="str">
        <f>IF(N59="","",INDEX('All Data'!$N:$N,MATCH(N59,'All Data'!$O:$O,0)))</f>
        <v>Yes</v>
      </c>
      <c r="K59" s="313" t="e" vm="1">
        <f>_xlfn.IMAGE(IF(N59="","",INDEX('All Data'!AT:AT,MATCH(N59,'All Data'!$O:$O,0))),"--")</f>
        <v>#VALUE!</v>
      </c>
      <c r="L59" s="355" t="str">
        <f>IF(テーブル3[[#This Row],[Part Number]]="","","x "&amp;$J$26)</f>
        <v>x 1</v>
      </c>
      <c r="M59" s="48"/>
      <c r="N59" s="371" t="str">
        <f>'All Data'!BU19</f>
        <v>ETQP3MR47KVP</v>
      </c>
      <c r="O59" s="320">
        <f>IF(N59="","",INDEX('All Data'!$Q:$Q,MATCH(N59,'All Data'!$O:$O,0)))</f>
        <v>0.47</v>
      </c>
      <c r="P59" s="321">
        <f>IF(N59="","",INDEX('All Data'!AE:AE,MATCH(N59,'All Data'!$O:$O,0))*$J$26)</f>
        <v>27.5</v>
      </c>
      <c r="Q59" s="113" t="str">
        <f>IF(N59="","",INDEX('All Data'!AF:AF,MATCH(N59,'All Data'!$O:$O,0)))</f>
        <v>5.5  x  5</v>
      </c>
      <c r="R59" s="60">
        <f>IF(N59="","",INDEX('All Data'!AD:AD,MATCH(N59,'All Data'!$O:$O,0)))</f>
        <v>3</v>
      </c>
      <c r="S59" s="112">
        <f>IF(N59="","",INDEX('All Data'!X:X,MATCH(N59,'All Data'!$O:$O,0)))</f>
        <v>11.6</v>
      </c>
      <c r="T59" s="60">
        <f>IF(N59="","",INDEX('All Data'!Y:Y,MATCH(N59,'All Data'!$O:$O,0)))</f>
        <v>9.6</v>
      </c>
      <c r="U59" s="112">
        <f>IF(N59="","",INDEX('All Data'!Z:Z,MATCH(N59,'All Data'!$O:$O,0)))</f>
        <v>17.899999999999999</v>
      </c>
      <c r="V59" s="111">
        <f>IF(N59="","",INDEX('All Data'!AA:AA,MATCH(N59,'All Data'!$O:$O,0)))</f>
        <v>12.9</v>
      </c>
      <c r="W59" s="112">
        <f>IF(N59="","",INDEX('All Data'!U:U,MATCH(N59,'All Data'!$O:$O,0)))</f>
        <v>5.8</v>
      </c>
      <c r="X59" s="150">
        <f>IF(N59="","",INDEX('All Data'!V:V,MATCH(N59,'All Data'!$O:$O,0)))</f>
        <v>6.38</v>
      </c>
      <c r="Y59" s="60"/>
      <c r="Z59" s="228" t="str">
        <f>IF(N59="","",INDEX('All Data'!AK:AK,MATCH(N59,'All Data'!$O:$O,0)))</f>
        <v>-55 to +155</v>
      </c>
      <c r="AA59" s="468" t="str">
        <f>IF(N59="","",INDEX('All Data'!$K:$K,MATCH(N59,'All Data'!$O:$O,0)))</f>
        <v>LP (Low Profile)</v>
      </c>
      <c r="AB59" s="469" t="str">
        <f>IF(N59="","",HYPERLINK(INDEX('All Data'!$AS:$AS,MATCH(N59,'All Data'!$O:$O,0)),"More Info"))</f>
        <v>More Info</v>
      </c>
      <c r="AC59" s="467"/>
      <c r="AU59" s="441"/>
      <c r="AV59" s="441"/>
      <c r="AW59" s="441"/>
      <c r="AX59" s="441"/>
      <c r="AY59" s="441"/>
      <c r="AZ59" s="441"/>
      <c r="BA59" s="441"/>
    </row>
    <row r="60" spans="1:53" ht="16.149999999999999" customHeight="1">
      <c r="A60" s="62"/>
      <c r="B60" s="62"/>
      <c r="C60" s="62"/>
      <c r="D60" s="62"/>
      <c r="E60" s="62"/>
      <c r="F60" s="62"/>
      <c r="G60" s="62" t="str">
        <f>IF(N60="","",INDEX('All Data'!$AG:$AG,MATCH(N60,'All Data'!$O:$O,0)))</f>
        <v>_6 x 6</v>
      </c>
      <c r="H60" s="314" t="str">
        <f>IF(N60&lt;&gt;"",COUNTIF($N$51:N60,"*")&amp;".","")</f>
        <v>10.</v>
      </c>
      <c r="I60" s="315" t="str">
        <f>IF(N60="","",INDEX('All Data'!$F:$F,MATCH(N60,'All Data'!$O:$O,0)))</f>
        <v>MP</v>
      </c>
      <c r="J60" s="316" t="str">
        <f>IF(N60="","",INDEX('All Data'!$N:$N,MATCH(N60,'All Data'!$O:$O,0)))</f>
        <v>Yes</v>
      </c>
      <c r="K60" s="313" t="e" vm="1">
        <f>_xlfn.IMAGE(IF(N60="","",INDEX('All Data'!AT:AT,MATCH(N60,'All Data'!$O:$O,0))),"--")</f>
        <v>#VALUE!</v>
      </c>
      <c r="L60" s="355" t="str">
        <f>IF(テーブル3[[#This Row],[Part Number]]="","","x "&amp;$J$26)</f>
        <v>x 1</v>
      </c>
      <c r="M60" s="48"/>
      <c r="N60" s="371" t="str">
        <f>'All Data'!BU20</f>
        <v>ETQP3MR47KVN</v>
      </c>
      <c r="O60" s="320">
        <f>IF(N60="","",INDEX('All Data'!$Q:$Q,MATCH(N60,'All Data'!$O:$O,0)))</f>
        <v>0.47</v>
      </c>
      <c r="P60" s="321">
        <f>IF(N60="","",INDEX('All Data'!AE:AE,MATCH(N60,'All Data'!$O:$O,0))*$J$26)</f>
        <v>38.4</v>
      </c>
      <c r="Q60" s="113" t="str">
        <f>IF(N60="","",INDEX('All Data'!AF:AF,MATCH(N60,'All Data'!$O:$O,0)))</f>
        <v>6  x  6.4</v>
      </c>
      <c r="R60" s="60">
        <f>IF(N60="","",INDEX('All Data'!AD:AD,MATCH(N60,'All Data'!$O:$O,0)))</f>
        <v>3</v>
      </c>
      <c r="S60" s="112">
        <f>IF(N60="","",INDEX('All Data'!X:X,MATCH(N60,'All Data'!$O:$O,0)))</f>
        <v>15.7</v>
      </c>
      <c r="T60" s="60">
        <f>IF(N60="","",INDEX('All Data'!Y:Y,MATCH(N60,'All Data'!$O:$O,0)))</f>
        <v>12.8</v>
      </c>
      <c r="U60" s="112">
        <f>IF(N60="","",INDEX('All Data'!Z:Z,MATCH(N60,'All Data'!$O:$O,0)))</f>
        <v>20</v>
      </c>
      <c r="V60" s="111">
        <f>IF(N60="","",INDEX('All Data'!AA:AA,MATCH(N60,'All Data'!$O:$O,0)))</f>
        <v>15.5</v>
      </c>
      <c r="W60" s="112">
        <f>IF(N60="","",INDEX('All Data'!U:U,MATCH(N60,'All Data'!$O:$O,0)))</f>
        <v>3.7</v>
      </c>
      <c r="X60" s="150">
        <f>IF(N60="","",INDEX('All Data'!V:V,MATCH(N60,'All Data'!$O:$O,0)))</f>
        <v>4.07</v>
      </c>
      <c r="Y60" s="60"/>
      <c r="Z60" s="228" t="str">
        <f>IF(N60="","",INDEX('All Data'!AK:AK,MATCH(N60,'All Data'!$O:$O,0)))</f>
        <v>-55 to +155</v>
      </c>
      <c r="AA60" s="468" t="str">
        <f>IF(N60="","",INDEX('All Data'!$K:$K,MATCH(N60,'All Data'!$O:$O,0)))</f>
        <v>LP (Low Profile)</v>
      </c>
      <c r="AB60" s="469" t="str">
        <f>IF(N60="","",HYPERLINK(INDEX('All Data'!$AS:$AS,MATCH(N60,'All Data'!$O:$O,0)),"More Info"))</f>
        <v>More Info</v>
      </c>
      <c r="AC60" s="467"/>
      <c r="AU60" s="441"/>
      <c r="AV60" s="441"/>
      <c r="AW60" s="441"/>
      <c r="AX60" s="441"/>
      <c r="AY60" s="441"/>
      <c r="AZ60" s="441"/>
      <c r="BA60" s="441"/>
    </row>
    <row r="61" spans="1:53" ht="15" customHeight="1">
      <c r="D61" s="485" t="s">
        <v>138</v>
      </c>
    </row>
    <row r="63" spans="1:53">
      <c r="S63" s="374"/>
    </row>
    <row r="65" spans="4:21" ht="15" customHeight="1">
      <c r="U65" s="478"/>
    </row>
    <row r="70" spans="4:21" ht="15" customHeight="1">
      <c r="D70" s="485" t="s">
        <v>138</v>
      </c>
      <c r="I70" s="485" t="s">
        <v>276</v>
      </c>
    </row>
    <row r="73" spans="4:21" ht="15" customHeight="1">
      <c r="N73" s="481"/>
      <c r="O73" s="481"/>
      <c r="P73" s="482"/>
    </row>
    <row r="74" spans="4:21" ht="15" customHeight="1">
      <c r="N74" s="481"/>
      <c r="O74" s="481"/>
      <c r="P74" s="482"/>
    </row>
    <row r="75" spans="4:21" ht="15" customHeight="1">
      <c r="H75" s="483"/>
      <c r="N75" s="481"/>
      <c r="O75" s="481"/>
      <c r="P75" s="482"/>
    </row>
    <row r="76" spans="4:21" ht="15" customHeight="1">
      <c r="I76" s="409"/>
      <c r="N76" s="481"/>
      <c r="O76" s="481"/>
      <c r="P76" s="482"/>
    </row>
    <row r="77" spans="4:21" ht="15" customHeight="1">
      <c r="N77" s="481"/>
      <c r="O77" s="481"/>
      <c r="P77" s="482"/>
    </row>
    <row r="78" spans="4:21" ht="15" customHeight="1">
      <c r="N78" s="481"/>
      <c r="O78" s="481"/>
      <c r="P78" s="482"/>
    </row>
    <row r="79" spans="4:21" ht="15" customHeight="1">
      <c r="N79" s="481"/>
      <c r="O79" s="481"/>
      <c r="P79" s="482"/>
    </row>
    <row r="80" spans="4:21" ht="15" customHeight="1">
      <c r="N80" s="481"/>
      <c r="O80" s="481"/>
      <c r="P80" s="482"/>
    </row>
    <row r="81" spans="8:16" ht="15" customHeight="1">
      <c r="N81" s="481"/>
      <c r="O81" s="481"/>
      <c r="P81" s="482"/>
    </row>
    <row r="82" spans="8:16" ht="15" customHeight="1">
      <c r="I82" s="409"/>
      <c r="N82" s="481"/>
      <c r="O82" s="481"/>
      <c r="P82" s="482"/>
    </row>
    <row r="83" spans="8:16" ht="15" customHeight="1">
      <c r="N83" s="481"/>
      <c r="O83" s="481"/>
      <c r="P83" s="482"/>
    </row>
    <row r="84" spans="8:16" ht="15" customHeight="1">
      <c r="N84" s="481"/>
      <c r="O84" s="481"/>
      <c r="P84" s="482"/>
    </row>
    <row r="85" spans="8:16" ht="15" customHeight="1">
      <c r="N85" s="481"/>
      <c r="O85" s="481"/>
      <c r="P85" s="482"/>
    </row>
    <row r="86" spans="8:16" ht="15" customHeight="1">
      <c r="N86" s="481"/>
      <c r="O86" s="481"/>
      <c r="P86" s="482"/>
    </row>
    <row r="87" spans="8:16" ht="15" customHeight="1">
      <c r="N87" s="481"/>
      <c r="O87" s="481"/>
      <c r="P87" s="482"/>
    </row>
    <row r="88" spans="8:16" ht="15" customHeight="1">
      <c r="N88" s="481"/>
      <c r="O88" s="481"/>
      <c r="P88" s="482"/>
    </row>
    <row r="89" spans="8:16" ht="15" customHeight="1">
      <c r="H89" s="480"/>
      <c r="N89" s="481"/>
      <c r="O89" s="481"/>
      <c r="P89" s="482"/>
    </row>
    <row r="90" spans="8:16" ht="15" customHeight="1">
      <c r="H90" s="409"/>
      <c r="N90" s="481"/>
      <c r="O90" s="481"/>
      <c r="P90" s="482"/>
    </row>
    <row r="91" spans="8:16" ht="15" customHeight="1">
      <c r="N91" s="481"/>
      <c r="O91" s="481"/>
      <c r="P91" s="482"/>
    </row>
    <row r="92" spans="8:16" ht="15" customHeight="1">
      <c r="N92" s="481"/>
      <c r="O92" s="481"/>
      <c r="P92" s="482"/>
    </row>
    <row r="93" spans="8:16" ht="15" customHeight="1">
      <c r="N93" s="481"/>
      <c r="O93" s="481"/>
      <c r="P93" s="482"/>
    </row>
    <row r="94" spans="8:16" ht="15" customHeight="1">
      <c r="N94" s="481"/>
      <c r="O94" s="481"/>
      <c r="P94" s="482"/>
    </row>
    <row r="95" spans="8:16" ht="15" customHeight="1">
      <c r="N95" s="481"/>
      <c r="O95" s="481"/>
      <c r="P95" s="482"/>
    </row>
    <row r="96" spans="8:16" ht="15" customHeight="1">
      <c r="N96" s="481"/>
      <c r="O96" s="481"/>
      <c r="P96" s="482"/>
    </row>
    <row r="97" spans="14:76" ht="15" customHeight="1">
      <c r="N97" s="481"/>
      <c r="O97" s="481"/>
      <c r="P97" s="482"/>
    </row>
    <row r="98" spans="14:76" ht="15" customHeight="1">
      <c r="N98" s="481"/>
      <c r="O98" s="481"/>
      <c r="P98" s="482"/>
    </row>
    <row r="110" spans="14:76" ht="15" customHeight="1">
      <c r="BX110" s="39" t="e" cm="1">
        <f t="array" ref="BX110">'DCDC Ref'!AF41AM98+BS110+BU110</f>
        <v>#NAME?</v>
      </c>
    </row>
  </sheetData>
  <sheetProtection algorithmName="SHA-512" hashValue="Or4KVgVPsJ3D4QlMbV/POQJrDskKYL2xhUmuAu0LiEcqLTcdMLkPA9RbMTwIytkOt8nH9jF/Tyf29pA0FeKu+Q==" saltValue="IAR+VrN8sDKlKx3mfTvzvQ==" spinCount="100000" sheet="1" scenarios="1" formatColumns="0" autoFilter="0"/>
  <mergeCells count="4">
    <mergeCell ref="W21:X21"/>
    <mergeCell ref="T22:W27"/>
    <mergeCell ref="T28:W36"/>
    <mergeCell ref="K23:L23"/>
  </mergeCells>
  <phoneticPr fontId="13"/>
  <conditionalFormatting sqref="I75:I80 I82:I1048576 I39:I70 I37 I35 I1:I33">
    <cfRule type="containsText" dxfId="151" priority="38" operator="containsText" text="NRND">
      <formula>NOT(ISERROR(SEARCH("NRND",I1)))</formula>
    </cfRule>
    <cfRule type="containsText" dxfId="150" priority="39" operator="containsText" text="EOL">
      <formula>NOT(ISERROR(SEARCH("EOL",I1)))</formula>
    </cfRule>
  </conditionalFormatting>
  <conditionalFormatting sqref="J20">
    <cfRule type="containsText" dxfId="149" priority="17" operator="containsText" text="NRND">
      <formula>NOT(ISERROR(SEARCH("NRND",J20)))</formula>
    </cfRule>
    <cfRule type="containsText" dxfId="148" priority="18" operator="containsText" text="EOL">
      <formula>NOT(ISERROR(SEARCH("EOL",J20)))</formula>
    </cfRule>
  </conditionalFormatting>
  <conditionalFormatting sqref="P51:P60">
    <cfRule type="dataBar" priority="21">
      <dataBar>
        <cfvo type="min"/>
        <cfvo type="max"/>
        <color theme="0" tint="-0.34998626667073579"/>
      </dataBar>
      <extLst>
        <ext xmlns:x14="http://schemas.microsoft.com/office/spreadsheetml/2009/9/main" uri="{B025F937-C7B1-47D3-B67F-A62EFF666E3E}">
          <x14:id>{FF7C0E4A-D2FC-49A9-A4E1-747F59102E2D}</x14:id>
        </ext>
      </extLst>
    </cfRule>
  </conditionalFormatting>
  <conditionalFormatting sqref="G50 AE68:AF1048576">
    <cfRule type="containsText" dxfId="147" priority="10" operator="containsText" text="no data">
      <formula>NOT(ISERROR(SEARCH("no data",G50)))</formula>
    </cfRule>
  </conditionalFormatting>
  <conditionalFormatting sqref="AE1:AF19 AF20:AG20 AF34:AG38 AG21:AG33 AE39:AF49 AF50:AG50 AF64:AG67 AG51:AG63">
    <cfRule type="containsText" dxfId="146" priority="14" operator="containsText" text="no data">
      <formula>NOT(ISERROR(SEARCH("no data",AE1)))</formula>
    </cfRule>
  </conditionalFormatting>
  <conditionalFormatting sqref="AH20:AH37">
    <cfRule type="containsText" dxfId="145" priority="6" operator="containsText" text="no data">
      <formula>NOT(ISERROR(SEARCH("no data",AH20)))</formula>
    </cfRule>
  </conditionalFormatting>
  <conditionalFormatting sqref="T20">
    <cfRule type="containsText" dxfId="144" priority="4" operator="containsText" text="NRND">
      <formula>NOT(ISERROR(SEARCH("NRND",T20)))</formula>
    </cfRule>
    <cfRule type="containsText" dxfId="143" priority="5" operator="containsText" text="EOL">
      <formula>NOT(ISERROR(SEARCH("EOL",T20)))</formula>
    </cfRule>
  </conditionalFormatting>
  <conditionalFormatting sqref="W20:X20">
    <cfRule type="containsText" dxfId="142" priority="2" operator="containsText" text="NRND">
      <formula>NOT(ISERROR(SEARCH("NRND",W20)))</formula>
    </cfRule>
    <cfRule type="containsText" dxfId="141" priority="3" operator="containsText" text="EOL">
      <formula>NOT(ISERROR(SEARCH("EOL",W20)))</formula>
    </cfRule>
  </conditionalFormatting>
  <conditionalFormatting sqref="S51:V60">
    <cfRule type="cellIs" dxfId="140" priority="170" operator="lessThan">
      <formula>$J$28/$J$26*($J$29/100)</formula>
    </cfRule>
    <cfRule type="cellIs" dxfId="139" priority="171" operator="greaterThanOrEqual">
      <formula>$J$28/$J$26*($J$29/100)</formula>
    </cfRule>
  </conditionalFormatting>
  <conditionalFormatting sqref="O51:O60">
    <cfRule type="cellIs" dxfId="138" priority="184" operator="notBetween">
      <formula>$J$30*$J$32/100</formula>
      <formula>$J$30*$J$31/100</formula>
    </cfRule>
    <cfRule type="cellIs" dxfId="137" priority="185" operator="between">
      <formula>$J$30*$J$32/100</formula>
      <formula>$J$30*$J$31/100</formula>
    </cfRule>
  </conditionalFormatting>
  <conditionalFormatting sqref="AH50:AH67">
    <cfRule type="containsText" dxfId="136" priority="1" operator="containsText" text="no data">
      <formula>NOT(ISERROR(SEARCH("no data",AH50)))</formula>
    </cfRule>
  </conditionalFormatting>
  <dataValidations count="12">
    <dataValidation type="list" allowBlank="1" showInputMessage="1" promptTitle="Typically 30%" sqref="J27" xr:uid="{54DC055A-0674-45E7-9067-271211FB531D}">
      <formula1>"10,20,30,40"</formula1>
    </dataValidation>
    <dataValidation type="list" allowBlank="1" showInputMessage="1" sqref="J21" xr:uid="{89593337-4B5A-438D-AE68-D0548573BB00}">
      <formula1>"1,2,3,4,5,6,7,8,9,10,12,24,48,60"</formula1>
    </dataValidation>
    <dataValidation type="list" allowBlank="1" sqref="J22" xr:uid="{078F39D3-E3B1-47B3-9635-6A4B37DFA99E}">
      <formula1>"0.7,1,2.5,3.3,5,12,24,48,60"</formula1>
    </dataValidation>
    <dataValidation type="list" allowBlank="1" showInputMessage="1" sqref="J25" xr:uid="{BC16FF33-6C16-4249-B0F1-B585BC3ECA96}">
      <formula1>"100,200,300,400,500,600,700,800,1000,2000,3000,4000"</formula1>
    </dataValidation>
    <dataValidation type="list" allowBlank="1" showInputMessage="1" sqref="J26" xr:uid="{2A091F05-AE38-4804-B8C4-33D6CD6FBE27}">
      <formula1>"1,2,3,4"</formula1>
    </dataValidation>
    <dataValidation type="list" allowBlank="1" showInputMessage="1" sqref="J24" xr:uid="{AE868DE9-291B-469B-AE3A-2A90F9DF98EE}">
      <formula1>"1,2,3,4,5,6,7,8,9,10,20,30,40,50,60,70,80,90,100"</formula1>
    </dataValidation>
    <dataValidation type="list" allowBlank="1" showInputMessage="1" sqref="J31" xr:uid="{0A54534D-6A8D-4AA3-9695-FBACB74660B5}">
      <formula1>"110,120,130,140,150,200"</formula1>
    </dataValidation>
    <dataValidation type="list" allowBlank="1" showInputMessage="1" sqref="J32" xr:uid="{4FF2B554-B2B7-4785-A1A7-FC0A68DCF0F9}">
      <formula1>"90,80,70,60,50"</formula1>
    </dataValidation>
    <dataValidation type="list" allowBlank="1" showInputMessage="1" showErrorMessage="1" sqref="N30" xr:uid="{31D22204-1B47-49CF-8C94-EA351BE95725}">
      <formula1>"Consider sat.(x1.3),Normal calc.(x1.0)"</formula1>
    </dataValidation>
    <dataValidation type="list" allowBlank="1" showInputMessage="1" showErrorMessage="1" sqref="W21:X21" xr:uid="{3FE63C9E-07FE-4390-8940-5D81B421C00E}">
      <formula1>"(Select here),ADAS(High power),Infotainment,Primary DCDC,USB PD,LED"</formula1>
    </dataValidation>
    <dataValidation type="list" allowBlank="1" showInputMessage="1" showErrorMessage="1" sqref="K23:L23" xr:uid="{9694B03C-9A49-460D-9C7F-531C11F5D5DE}">
      <formula1>"-,(Buck-boost)"</formula1>
    </dataValidation>
    <dataValidation type="list" allowBlank="1" showInputMessage="1" showErrorMessage="1" sqref="J29" xr:uid="{628C4BA1-E6CD-4DF5-ACC4-86AD9CDE1279}">
      <formula1>"100,110,120,130,140,150"</formula1>
    </dataValidation>
  </dataValidations>
  <pageMargins left="0.39370078740157483" right="0.39370078740157483" top="0.39370078740157483" bottom="0.39370078740157483" header="0.31496062992125984" footer="0.31496062992125984"/>
  <pageSetup paperSize="9" scale="60" fitToHeight="0" orientation="portrait" r:id="rId1"/>
  <ignoredErrors>
    <ignoredError sqref="H51:I60 N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9330" r:id="rId4" name="Button 2">
              <controlPr defaultSize="0" print="0" autoFill="0" autoPict="0" macro="[0]!DCDC_Clear.DCDC_Clear">
                <anchor moveWithCells="1" sizeWithCells="1">
                  <from>
                    <xdr:col>7</xdr:col>
                    <xdr:colOff>85725</xdr:colOff>
                    <xdr:row>36</xdr:row>
                    <xdr:rowOff>38100</xdr:rowOff>
                  </from>
                  <to>
                    <xdr:col>9</xdr:col>
                    <xdr:colOff>419100</xdr:colOff>
                    <xdr:row>36</xdr:row>
                    <xdr:rowOff>180975</xdr:rowOff>
                  </to>
                </anchor>
              </controlPr>
            </control>
          </mc:Choice>
        </mc:AlternateContent>
        <mc:AlternateContent xmlns:mc="http://schemas.openxmlformats.org/markup-compatibility/2006">
          <mc:Choice Requires="x14">
            <control shapeId="99335" r:id="rId5" name="Button 7">
              <controlPr defaultSize="0" print="0" autoFill="0" autoPict="0" macro="[0]!DCDC_TypApp.DCDC_TypApp">
                <anchor moveWithCells="1" sizeWithCells="1">
                  <from>
                    <xdr:col>19</xdr:col>
                    <xdr:colOff>19050</xdr:colOff>
                    <xdr:row>19</xdr:row>
                    <xdr:rowOff>28575</xdr:rowOff>
                  </from>
                  <to>
                    <xdr:col>21</xdr:col>
                    <xdr:colOff>76200</xdr:colOff>
                    <xdr:row>19</xdr:row>
                    <xdr:rowOff>171450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dataBar" id="{FF7C0E4A-D2FC-49A9-A4E1-747F59102E2D}">
            <x14:dataBar minLength="0" maxLength="100" gradient="0">
              <x14:cfvo type="autoMin"/>
              <x14:cfvo type="autoMax"/>
              <x14:negativeFillColor rgb="FFFF0000"/>
              <x14:axisColor rgb="FF000000"/>
            </x14:dataBar>
          </x14:cfRule>
          <xm:sqref>P51:P60</xm:sqref>
        </x14:conditionalFormatting>
      </x14:conditionalFormattings>
    </ext>
    <ext xmlns:x15="http://schemas.microsoft.com/office/spreadsheetml/2010/11/main" uri="{3A4CF648-6AED-40f4-86FF-DC5316D8AED3}">
      <x14:slicerList xmlns:x14="http://schemas.microsoft.com/office/spreadsheetml/2009/9/main">
        <x14:slicer r:id="rId7"/>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70C0"/>
  </sheetPr>
  <dimension ref="D1:BE21"/>
  <sheetViews>
    <sheetView showGridLines="0" topLeftCell="AK1" workbookViewId="0">
      <selection activeCell="AK6" sqref="AK6"/>
    </sheetView>
  </sheetViews>
  <sheetFormatPr defaultRowHeight="12"/>
  <cols>
    <col min="1" max="17" width="8.85546875" customWidth="1"/>
    <col min="18" max="18" width="17.85546875" customWidth="1"/>
    <col min="19" max="36" width="8.85546875" customWidth="1"/>
    <col min="37" max="37" width="0.85546875" customWidth="1"/>
    <col min="38" max="38" width="3.42578125" customWidth="1"/>
    <col min="46" max="46" width="14.5703125" customWidth="1"/>
    <col min="48" max="48" width="12.7109375" customWidth="1"/>
    <col min="49" max="49" width="6.7109375" customWidth="1"/>
    <col min="50" max="50" width="12.28515625" customWidth="1"/>
    <col min="51" max="51" width="6.28515625" customWidth="1"/>
    <col min="52" max="52" width="6.85546875" customWidth="1"/>
    <col min="53" max="53" width="14.28515625" customWidth="1"/>
    <col min="54" max="54" width="8.85546875" customWidth="1"/>
    <col min="55" max="55" width="9.85546875" customWidth="1"/>
    <col min="56" max="56" width="1.7109375" customWidth="1"/>
  </cols>
  <sheetData>
    <row r="1" spans="4:57" ht="15.75">
      <c r="AK1" s="261" t="s">
        <v>137</v>
      </c>
      <c r="AL1" s="15"/>
    </row>
    <row r="2" spans="4:57" ht="15.75">
      <c r="AK2" s="12"/>
      <c r="AL2" s="15"/>
    </row>
    <row r="6" spans="4:57" s="164" customFormat="1" ht="36">
      <c r="D6" s="165"/>
      <c r="E6" s="166"/>
      <c r="F6" s="166"/>
      <c r="N6" s="166"/>
      <c r="Q6" s="166"/>
      <c r="S6" s="166"/>
      <c r="T6" s="166"/>
      <c r="AG6"/>
      <c r="AH6"/>
      <c r="AI6"/>
      <c r="AJ6"/>
      <c r="AK6"/>
      <c r="AL6" t="s">
        <v>138</v>
      </c>
      <c r="AM6" s="173" t="s">
        <v>139</v>
      </c>
      <c r="AN6" s="174" t="s">
        <v>140</v>
      </c>
      <c r="AO6" s="173" t="s">
        <v>141</v>
      </c>
      <c r="AP6" s="92" t="s">
        <v>142</v>
      </c>
      <c r="AQ6" s="92" t="s">
        <v>143</v>
      </c>
      <c r="AR6" s="93" t="s">
        <v>144</v>
      </c>
      <c r="AS6" s="93" t="s">
        <v>145</v>
      </c>
      <c r="AT6" s="92" t="s">
        <v>146</v>
      </c>
      <c r="AU6" s="92" t="s">
        <v>147</v>
      </c>
      <c r="AV6" s="174" t="s">
        <v>148</v>
      </c>
      <c r="AW6" s="217" t="s">
        <v>149</v>
      </c>
      <c r="AX6" s="92" t="s">
        <v>150</v>
      </c>
      <c r="AY6" s="93" t="s">
        <v>151</v>
      </c>
      <c r="AZ6" s="92" t="s">
        <v>16</v>
      </c>
      <c r="BA6" s="92" t="s">
        <v>17</v>
      </c>
      <c r="BB6" s="92" t="s">
        <v>152</v>
      </c>
      <c r="BE6" s="229" t="s">
        <v>20</v>
      </c>
    </row>
    <row r="7" spans="4:57" ht="19.5">
      <c r="D7" s="167"/>
      <c r="E7" s="167"/>
      <c r="F7" s="167"/>
      <c r="N7" s="168"/>
      <c r="Q7" s="167"/>
      <c r="S7" s="169"/>
      <c r="T7" s="169"/>
      <c r="AM7" s="394" t="s">
        <v>195</v>
      </c>
      <c r="AN7" s="191">
        <v>0.15</v>
      </c>
      <c r="AO7" s="179">
        <v>0.2</v>
      </c>
      <c r="AP7" s="195" t="s">
        <v>124</v>
      </c>
      <c r="AQ7" s="198">
        <v>29</v>
      </c>
      <c r="AR7" s="205">
        <v>40</v>
      </c>
      <c r="AS7" s="202">
        <v>30</v>
      </c>
      <c r="AT7" s="213" t="s">
        <v>154</v>
      </c>
      <c r="AU7" s="209">
        <v>0.66</v>
      </c>
      <c r="AV7" s="219" t="s">
        <v>155</v>
      </c>
      <c r="AW7" s="220">
        <v>3</v>
      </c>
      <c r="AX7" s="176" t="s">
        <v>156</v>
      </c>
      <c r="AY7" s="175" t="s">
        <v>157</v>
      </c>
      <c r="AZ7" s="175" t="s">
        <v>153</v>
      </c>
      <c r="BA7" s="177" t="s">
        <v>158</v>
      </c>
      <c r="BB7" s="135" t="s">
        <v>124</v>
      </c>
      <c r="BE7" s="218" t="s">
        <v>159</v>
      </c>
    </row>
    <row r="8" spans="4:57" ht="19.5">
      <c r="D8" s="167"/>
      <c r="E8" s="167"/>
      <c r="F8" s="167"/>
      <c r="N8" s="168"/>
      <c r="Q8" s="167"/>
      <c r="S8" s="169"/>
      <c r="T8" s="169"/>
      <c r="AM8" s="395" t="s">
        <v>195</v>
      </c>
      <c r="AN8" s="192">
        <v>0.15</v>
      </c>
      <c r="AO8" s="180">
        <v>0.2</v>
      </c>
      <c r="AP8" s="195" t="s">
        <v>124</v>
      </c>
      <c r="AQ8" s="199">
        <v>29</v>
      </c>
      <c r="AR8" s="206">
        <v>45</v>
      </c>
      <c r="AS8" s="203">
        <v>34</v>
      </c>
      <c r="AT8" s="214" t="s">
        <v>160</v>
      </c>
      <c r="AU8" s="210">
        <v>0.70620000000000005</v>
      </c>
      <c r="AV8" s="221" t="s">
        <v>155</v>
      </c>
      <c r="AW8" s="222">
        <v>4</v>
      </c>
      <c r="AX8" s="176" t="s">
        <v>156</v>
      </c>
      <c r="AY8" s="178" t="s">
        <v>157</v>
      </c>
      <c r="AZ8" s="175" t="s">
        <v>153</v>
      </c>
      <c r="BA8" s="177" t="s">
        <v>161</v>
      </c>
      <c r="BB8" s="137" t="s">
        <v>124</v>
      </c>
      <c r="BE8" s="218" t="s">
        <v>162</v>
      </c>
    </row>
    <row r="9" spans="4:57" ht="19.5">
      <c r="D9" s="167"/>
      <c r="E9" s="167"/>
      <c r="F9" s="167"/>
      <c r="N9" s="170"/>
      <c r="Q9" s="171"/>
      <c r="S9" s="172"/>
      <c r="T9" s="172"/>
      <c r="AM9" s="396" t="s">
        <v>195</v>
      </c>
      <c r="AN9" s="193">
        <v>0.15</v>
      </c>
      <c r="AO9" s="186">
        <v>0.2</v>
      </c>
      <c r="AP9" s="196" t="s">
        <v>124</v>
      </c>
      <c r="AQ9" s="200">
        <v>42</v>
      </c>
      <c r="AR9" s="207">
        <v>70</v>
      </c>
      <c r="AS9" s="204">
        <v>50</v>
      </c>
      <c r="AT9" s="215" t="s">
        <v>163</v>
      </c>
      <c r="AU9" s="211">
        <v>0.45</v>
      </c>
      <c r="AV9" s="223" t="s">
        <v>164</v>
      </c>
      <c r="AW9" s="224">
        <v>4</v>
      </c>
      <c r="AX9" s="188" t="s">
        <v>156</v>
      </c>
      <c r="AY9" s="187" t="s">
        <v>157</v>
      </c>
      <c r="AZ9" s="189" t="s">
        <v>153</v>
      </c>
      <c r="BA9" s="190" t="s">
        <v>165</v>
      </c>
      <c r="BB9" s="137">
        <v>0.13</v>
      </c>
      <c r="BE9" s="218" t="s">
        <v>166</v>
      </c>
    </row>
    <row r="10" spans="4:57" ht="19.5">
      <c r="D10" s="167"/>
      <c r="E10" s="167"/>
      <c r="F10" s="167"/>
      <c r="N10" s="170"/>
      <c r="Q10" s="171"/>
      <c r="S10" s="172"/>
      <c r="T10" s="172"/>
      <c r="AM10" s="395" t="s">
        <v>195</v>
      </c>
      <c r="AN10" s="192">
        <v>0.2</v>
      </c>
      <c r="AO10" s="180">
        <v>0.2</v>
      </c>
      <c r="AP10" s="195">
        <v>38</v>
      </c>
      <c r="AQ10" s="199">
        <v>28</v>
      </c>
      <c r="AR10" s="206">
        <v>68</v>
      </c>
      <c r="AS10" s="203">
        <v>50</v>
      </c>
      <c r="AT10" s="214" t="s">
        <v>167</v>
      </c>
      <c r="AU10" s="210">
        <v>0.77</v>
      </c>
      <c r="AV10" s="221" t="s">
        <v>168</v>
      </c>
      <c r="AW10" s="222">
        <v>4</v>
      </c>
      <c r="AX10" s="176" t="s">
        <v>156</v>
      </c>
      <c r="AY10" s="178" t="s">
        <v>157</v>
      </c>
      <c r="AZ10" s="175" t="s">
        <v>153</v>
      </c>
      <c r="BA10" s="177" t="s">
        <v>169</v>
      </c>
      <c r="BB10" s="137">
        <v>0.19</v>
      </c>
      <c r="BE10" s="218" t="s">
        <v>170</v>
      </c>
    </row>
    <row r="11" spans="4:57" ht="19.5">
      <c r="D11" s="167"/>
      <c r="E11" s="167"/>
      <c r="F11" s="167"/>
      <c r="N11" s="170"/>
      <c r="Q11" s="171"/>
      <c r="S11" s="172"/>
      <c r="T11" s="172"/>
      <c r="AM11" s="394" t="s">
        <v>195</v>
      </c>
      <c r="AN11" s="191">
        <v>0.24</v>
      </c>
      <c r="AO11" s="179">
        <v>0.2</v>
      </c>
      <c r="AP11" s="195">
        <v>35</v>
      </c>
      <c r="AQ11" s="198">
        <v>22</v>
      </c>
      <c r="AR11" s="205">
        <v>30</v>
      </c>
      <c r="AS11" s="202">
        <v>22</v>
      </c>
      <c r="AT11" s="213" t="s">
        <v>171</v>
      </c>
      <c r="AU11" s="209">
        <v>1.1984000000000001</v>
      </c>
      <c r="AV11" s="219" t="s">
        <v>155</v>
      </c>
      <c r="AW11" s="220">
        <v>3</v>
      </c>
      <c r="AX11" s="176" t="s">
        <v>156</v>
      </c>
      <c r="AY11" s="175" t="s">
        <v>157</v>
      </c>
      <c r="AZ11" s="175" t="s">
        <v>153</v>
      </c>
      <c r="BA11" s="177" t="s">
        <v>172</v>
      </c>
      <c r="BB11" s="135">
        <v>0.19</v>
      </c>
      <c r="BE11" s="218" t="s">
        <v>173</v>
      </c>
    </row>
    <row r="12" spans="4:57" ht="19.5">
      <c r="D12" s="167"/>
      <c r="E12" s="167"/>
      <c r="F12" s="167"/>
      <c r="N12" s="170"/>
      <c r="Q12" s="171"/>
      <c r="S12" s="172"/>
      <c r="T12" s="172"/>
      <c r="AM12" s="396" t="s">
        <v>195</v>
      </c>
      <c r="AN12" s="193">
        <v>0.24</v>
      </c>
      <c r="AO12" s="186">
        <v>0.2</v>
      </c>
      <c r="AP12" s="196">
        <v>35.5</v>
      </c>
      <c r="AQ12" s="200">
        <v>24</v>
      </c>
      <c r="AR12" s="207">
        <v>35</v>
      </c>
      <c r="AS12" s="204">
        <v>27</v>
      </c>
      <c r="AT12" s="215" t="s">
        <v>174</v>
      </c>
      <c r="AU12" s="211">
        <v>1.07</v>
      </c>
      <c r="AV12" s="223" t="s">
        <v>155</v>
      </c>
      <c r="AW12" s="224">
        <v>4</v>
      </c>
      <c r="AX12" s="188" t="s">
        <v>156</v>
      </c>
      <c r="AY12" s="187" t="s">
        <v>157</v>
      </c>
      <c r="AZ12" s="189" t="s">
        <v>153</v>
      </c>
      <c r="BA12" s="190" t="s">
        <v>175</v>
      </c>
      <c r="BB12" s="137">
        <v>0.2</v>
      </c>
      <c r="BE12" s="218" t="s">
        <v>176</v>
      </c>
    </row>
    <row r="13" spans="4:57" ht="19.5">
      <c r="D13" s="167"/>
      <c r="E13" s="167"/>
      <c r="F13" s="167"/>
      <c r="N13" s="170"/>
      <c r="Q13" s="171"/>
      <c r="S13" s="172"/>
      <c r="T13" s="172"/>
      <c r="AM13" s="395" t="s">
        <v>195</v>
      </c>
      <c r="AN13" s="192">
        <v>0.36</v>
      </c>
      <c r="AO13" s="180">
        <v>0.2</v>
      </c>
      <c r="AP13" s="195">
        <v>31</v>
      </c>
      <c r="AQ13" s="199">
        <v>20</v>
      </c>
      <c r="AR13" s="206">
        <v>35</v>
      </c>
      <c r="AS13" s="203">
        <v>25</v>
      </c>
      <c r="AT13" s="214" t="s">
        <v>177</v>
      </c>
      <c r="AU13" s="210">
        <v>1.4445000000000001</v>
      </c>
      <c r="AV13" s="221" t="s">
        <v>155</v>
      </c>
      <c r="AW13" s="222">
        <v>4</v>
      </c>
      <c r="AX13" s="176" t="s">
        <v>156</v>
      </c>
      <c r="AY13" s="178" t="s">
        <v>157</v>
      </c>
      <c r="AZ13" s="175" t="s">
        <v>153</v>
      </c>
      <c r="BA13" s="177" t="s">
        <v>178</v>
      </c>
      <c r="BB13" s="137">
        <v>0.3</v>
      </c>
      <c r="BE13" s="218" t="s">
        <v>179</v>
      </c>
    </row>
    <row r="14" spans="4:57" ht="19.5">
      <c r="D14" s="167"/>
      <c r="E14" s="167"/>
      <c r="F14" s="167"/>
      <c r="N14" s="170"/>
      <c r="Q14" s="171"/>
      <c r="S14" s="172"/>
      <c r="T14" s="172"/>
      <c r="AM14" s="395" t="s">
        <v>195</v>
      </c>
      <c r="AN14" s="192">
        <v>0.36</v>
      </c>
      <c r="AO14" s="180">
        <v>0.2</v>
      </c>
      <c r="AP14" s="195">
        <v>40</v>
      </c>
      <c r="AQ14" s="199">
        <v>30</v>
      </c>
      <c r="AR14" s="206">
        <v>46</v>
      </c>
      <c r="AS14" s="203">
        <v>35</v>
      </c>
      <c r="AT14" s="214" t="s">
        <v>180</v>
      </c>
      <c r="AU14" s="210">
        <v>0.79800000000000004</v>
      </c>
      <c r="AV14" s="221" t="s">
        <v>164</v>
      </c>
      <c r="AW14" s="222">
        <v>4</v>
      </c>
      <c r="AX14" s="176" t="s">
        <v>156</v>
      </c>
      <c r="AY14" s="178" t="s">
        <v>157</v>
      </c>
      <c r="AZ14" s="175" t="s">
        <v>153</v>
      </c>
      <c r="BA14" s="177" t="s">
        <v>181</v>
      </c>
      <c r="BB14" s="137">
        <v>0.28999999999999998</v>
      </c>
      <c r="BE14" s="218" t="s">
        <v>182</v>
      </c>
    </row>
    <row r="15" spans="4:57" ht="19.5">
      <c r="D15" s="167"/>
      <c r="E15" s="167"/>
      <c r="F15" s="167"/>
      <c r="N15" s="168"/>
      <c r="Q15" s="171"/>
      <c r="S15" s="172"/>
      <c r="T15" s="172"/>
      <c r="AM15" s="396" t="s">
        <v>195</v>
      </c>
      <c r="AN15" s="193">
        <v>0.37</v>
      </c>
      <c r="AO15" s="186">
        <v>0.2</v>
      </c>
      <c r="AP15" s="196">
        <v>33</v>
      </c>
      <c r="AQ15" s="200">
        <v>24</v>
      </c>
      <c r="AR15" s="207">
        <v>50</v>
      </c>
      <c r="AS15" s="204">
        <v>34</v>
      </c>
      <c r="AT15" s="215" t="s">
        <v>183</v>
      </c>
      <c r="AU15" s="211">
        <v>1.1550000000000002</v>
      </c>
      <c r="AV15" s="223" t="s">
        <v>168</v>
      </c>
      <c r="AW15" s="224">
        <v>4</v>
      </c>
      <c r="AX15" s="188" t="s">
        <v>156</v>
      </c>
      <c r="AY15" s="187" t="s">
        <v>157</v>
      </c>
      <c r="AZ15" s="189" t="s">
        <v>153</v>
      </c>
      <c r="BA15" s="190" t="s">
        <v>184</v>
      </c>
      <c r="BB15" s="137">
        <v>0.36</v>
      </c>
      <c r="BE15" s="218" t="s">
        <v>185</v>
      </c>
    </row>
    <row r="16" spans="4:57" ht="19.5">
      <c r="D16" s="167"/>
      <c r="E16" s="167"/>
      <c r="F16" s="167"/>
      <c r="N16" s="168"/>
      <c r="Q16" s="171"/>
      <c r="S16" s="172"/>
      <c r="T16" s="172"/>
      <c r="AM16" s="395" t="s">
        <v>195</v>
      </c>
      <c r="AN16" s="192">
        <v>0.42</v>
      </c>
      <c r="AO16" s="180">
        <v>0.2</v>
      </c>
      <c r="AP16" s="195">
        <v>28.5</v>
      </c>
      <c r="AQ16" s="199">
        <v>17</v>
      </c>
      <c r="AR16" s="206">
        <v>26</v>
      </c>
      <c r="AS16" s="203">
        <v>20</v>
      </c>
      <c r="AT16" s="214" t="s">
        <v>186</v>
      </c>
      <c r="AU16" s="210">
        <v>1.605</v>
      </c>
      <c r="AV16" s="221" t="s">
        <v>155</v>
      </c>
      <c r="AW16" s="222">
        <v>4</v>
      </c>
      <c r="AX16" s="176" t="s">
        <v>156</v>
      </c>
      <c r="AY16" s="178" t="s">
        <v>157</v>
      </c>
      <c r="AZ16" s="175" t="s">
        <v>153</v>
      </c>
      <c r="BA16" s="177" t="s">
        <v>187</v>
      </c>
      <c r="BB16" s="137">
        <v>0.35</v>
      </c>
      <c r="BE16" s="218" t="s">
        <v>188</v>
      </c>
    </row>
    <row r="17" spans="4:57" ht="19.5">
      <c r="D17" s="167"/>
      <c r="E17" s="167"/>
      <c r="F17" s="167"/>
      <c r="N17" s="168"/>
      <c r="Q17" s="171"/>
      <c r="S17" s="172"/>
      <c r="T17" s="172"/>
      <c r="AM17" s="395" t="s">
        <v>195</v>
      </c>
      <c r="AN17" s="192">
        <v>0.45</v>
      </c>
      <c r="AO17" s="180" t="s">
        <v>189</v>
      </c>
      <c r="AP17" s="195">
        <v>33</v>
      </c>
      <c r="AQ17" s="199">
        <v>25</v>
      </c>
      <c r="AR17" s="206">
        <v>40</v>
      </c>
      <c r="AS17" s="203">
        <v>28</v>
      </c>
      <c r="AT17" s="214" t="s">
        <v>190</v>
      </c>
      <c r="AU17" s="210">
        <v>1.1550000000000002</v>
      </c>
      <c r="AV17" s="221" t="s">
        <v>191</v>
      </c>
      <c r="AW17" s="222">
        <v>4</v>
      </c>
      <c r="AX17" s="176" t="s">
        <v>192</v>
      </c>
      <c r="AY17" s="178" t="s">
        <v>157</v>
      </c>
      <c r="AZ17" s="175" t="s">
        <v>23</v>
      </c>
      <c r="BA17" s="177" t="s">
        <v>193</v>
      </c>
      <c r="BB17" s="137">
        <v>0.34</v>
      </c>
      <c r="BE17" s="218" t="s">
        <v>194</v>
      </c>
    </row>
    <row r="18" spans="4:57" ht="19.5">
      <c r="D18" s="167"/>
      <c r="E18" s="167"/>
      <c r="F18" s="167"/>
      <c r="N18" s="168"/>
      <c r="Q18" s="171"/>
      <c r="S18" s="172"/>
      <c r="T18" s="172"/>
      <c r="AM18" s="396" t="s">
        <v>195</v>
      </c>
      <c r="AN18" s="193">
        <v>0.5</v>
      </c>
      <c r="AO18" s="265">
        <v>0.2</v>
      </c>
      <c r="AP18" s="196" t="s">
        <v>138</v>
      </c>
      <c r="AQ18" s="200">
        <v>30</v>
      </c>
      <c r="AR18" s="207" t="s">
        <v>138</v>
      </c>
      <c r="AS18" s="204" t="s">
        <v>196</v>
      </c>
      <c r="AT18" s="215" t="s">
        <v>197</v>
      </c>
      <c r="AU18" s="211">
        <v>0.85599999999999998</v>
      </c>
      <c r="AV18" s="223" t="s">
        <v>198</v>
      </c>
      <c r="AW18" s="224">
        <v>4</v>
      </c>
      <c r="AX18" s="188" t="s">
        <v>156</v>
      </c>
      <c r="AY18" s="187" t="s">
        <v>157</v>
      </c>
      <c r="AZ18" s="189" t="s">
        <v>153</v>
      </c>
      <c r="BA18" s="190" t="s">
        <v>199</v>
      </c>
      <c r="BB18" s="137">
        <v>0.34</v>
      </c>
      <c r="BE18" s="218" t="s">
        <v>200</v>
      </c>
    </row>
    <row r="19" spans="4:57" ht="19.5">
      <c r="D19" s="167"/>
      <c r="E19" s="167"/>
      <c r="F19" s="167"/>
      <c r="N19" s="168"/>
      <c r="Q19" s="171"/>
      <c r="S19" s="172"/>
      <c r="T19" s="172"/>
      <c r="AM19" s="395" t="s">
        <v>195</v>
      </c>
      <c r="AN19" s="192">
        <v>0.6</v>
      </c>
      <c r="AO19" s="180">
        <v>0.2</v>
      </c>
      <c r="AP19" s="195">
        <v>28</v>
      </c>
      <c r="AQ19" s="199">
        <v>21</v>
      </c>
      <c r="AR19" s="206">
        <v>42</v>
      </c>
      <c r="AS19" s="203">
        <v>28</v>
      </c>
      <c r="AT19" s="214" t="s">
        <v>201</v>
      </c>
      <c r="AU19" s="210">
        <v>1.6380000000000001</v>
      </c>
      <c r="AV19" s="221" t="s">
        <v>168</v>
      </c>
      <c r="AW19" s="222">
        <v>4</v>
      </c>
      <c r="AX19" s="176" t="s">
        <v>156</v>
      </c>
      <c r="AY19" s="178" t="s">
        <v>157</v>
      </c>
      <c r="AZ19" s="175" t="s">
        <v>153</v>
      </c>
      <c r="BA19" s="177" t="s">
        <v>202</v>
      </c>
      <c r="BB19" s="137">
        <v>0.56000000000000005</v>
      </c>
      <c r="BE19" s="218" t="s">
        <v>203</v>
      </c>
    </row>
    <row r="20" spans="4:57" ht="19.5">
      <c r="D20" s="167"/>
      <c r="E20" s="167"/>
      <c r="F20" s="167"/>
      <c r="N20" s="168"/>
      <c r="Q20" s="171"/>
      <c r="S20" s="172"/>
      <c r="T20" s="172"/>
      <c r="AM20" s="395" t="s">
        <v>195</v>
      </c>
      <c r="AN20" s="192">
        <v>0.6</v>
      </c>
      <c r="AO20" s="180">
        <v>0.2</v>
      </c>
      <c r="AP20" s="195" t="s">
        <v>138</v>
      </c>
      <c r="AQ20" s="199">
        <v>30</v>
      </c>
      <c r="AR20" s="206" t="s">
        <v>138</v>
      </c>
      <c r="AS20" s="203" t="s">
        <v>204</v>
      </c>
      <c r="AT20" s="214" t="s">
        <v>205</v>
      </c>
      <c r="AU20" s="210">
        <v>1.155</v>
      </c>
      <c r="AV20" s="221" t="s">
        <v>198</v>
      </c>
      <c r="AW20" s="222">
        <v>5</v>
      </c>
      <c r="AX20" s="176" t="s">
        <v>156</v>
      </c>
      <c r="AY20" s="178" t="s">
        <v>157</v>
      </c>
      <c r="AZ20" s="175" t="s">
        <v>153</v>
      </c>
      <c r="BA20" s="177" t="s">
        <v>206</v>
      </c>
      <c r="BB20" s="137"/>
      <c r="BE20" s="218" t="s">
        <v>207</v>
      </c>
    </row>
    <row r="21" spans="4:57" ht="19.5">
      <c r="D21" s="167"/>
      <c r="E21" s="167"/>
      <c r="F21" s="167"/>
      <c r="N21" s="168"/>
      <c r="Q21" s="171"/>
      <c r="S21" s="172"/>
      <c r="T21" s="172"/>
      <c r="AM21" s="397" t="s">
        <v>195</v>
      </c>
      <c r="AN21" s="194">
        <v>0.68</v>
      </c>
      <c r="AO21" s="181">
        <v>0.2</v>
      </c>
      <c r="AP21" s="197">
        <v>28</v>
      </c>
      <c r="AQ21" s="201">
        <v>21</v>
      </c>
      <c r="AR21" s="208" t="s">
        <v>138</v>
      </c>
      <c r="AS21" s="266">
        <v>26</v>
      </c>
      <c r="AT21" s="216" t="s">
        <v>208</v>
      </c>
      <c r="AU21" s="212">
        <v>1.6590000000000003</v>
      </c>
      <c r="AV21" s="225" t="s">
        <v>164</v>
      </c>
      <c r="AW21" s="226">
        <v>4</v>
      </c>
      <c r="AX21" s="183" t="s">
        <v>156</v>
      </c>
      <c r="AY21" s="182" t="s">
        <v>157</v>
      </c>
      <c r="AZ21" s="184" t="s">
        <v>153</v>
      </c>
      <c r="BA21" s="185" t="s">
        <v>209</v>
      </c>
      <c r="BB21" s="137">
        <v>0.59</v>
      </c>
      <c r="BE21" s="218" t="s">
        <v>210</v>
      </c>
    </row>
  </sheetData>
  <autoFilter ref="AL6:BA21" xr:uid="{00000000-0001-0000-0400-000000000000}"/>
  <sortState xmlns:xlrd2="http://schemas.microsoft.com/office/spreadsheetml/2017/richdata2" ref="AM7:BB21">
    <sortCondition ref="AN7:AN21"/>
  </sortState>
  <phoneticPr fontId="13"/>
  <conditionalFormatting sqref="AP7:AP21 AR7:AR21">
    <cfRule type="dataBar" priority="121">
      <dataBar>
        <cfvo type="min"/>
        <cfvo type="max"/>
        <color rgb="FFFFB628"/>
      </dataBar>
      <extLst>
        <ext xmlns:x14="http://schemas.microsoft.com/office/spreadsheetml/2009/9/main" uri="{B025F937-C7B1-47D3-B67F-A62EFF666E3E}">
          <x14:id>{076026A9-E1FE-4F3C-9F82-5D3FF1A8D371}</x14:id>
        </ext>
      </extLst>
    </cfRule>
  </conditionalFormatting>
  <conditionalFormatting sqref="AW7:AW21">
    <cfRule type="dataBar" priority="81">
      <dataBar>
        <cfvo type="min"/>
        <cfvo type="max"/>
        <color rgb="FF63C384"/>
      </dataBar>
      <extLst>
        <ext xmlns:x14="http://schemas.microsoft.com/office/spreadsheetml/2009/9/main" uri="{B025F937-C7B1-47D3-B67F-A62EFF666E3E}">
          <x14:id>{68A2A59C-B5A8-4086-9CAF-133C34FAC863}</x14:id>
        </ext>
      </extLst>
    </cfRule>
  </conditionalFormatting>
  <conditionalFormatting sqref="BA1:BA3">
    <cfRule type="duplicateValues" dxfId="112" priority="1"/>
  </conditionalFormatting>
  <conditionalFormatting sqref="BA4:BA1048576">
    <cfRule type="duplicateValues" dxfId="111" priority="2"/>
  </conditionalFormatting>
  <conditionalFormatting sqref="BA7:BA21">
    <cfRule type="duplicateValues" dxfId="110" priority="75"/>
  </conditionalFormatting>
  <hyperlinks>
    <hyperlink ref="BE10" r:id="rId1" display="https://industrial.panasonic.com/ww/products/inductors/inductors-for-consumer/inductors-for-consumer/metal-core-type-m1040lmc/ETQP4LR19WFC" xr:uid="{00000000-0004-0000-0400-000000000000}"/>
    <hyperlink ref="BE11" r:id="rId2" display="https://industrial.panasonic.com/ww/products/inductors/inductors-for-consumer/inductors-for-consumer/metal-core-type-m0730lmc/ETQP3LR24CFM" xr:uid="{00000000-0004-0000-0400-000001000000}"/>
    <hyperlink ref="BE12" r:id="rId3" display="https://industrial.panasonic.com/ww/products/inductors/inductors-for-consumer/inductors-for-consumer/metal-core-type-m0740llmc/ETQP4LR24AFM" xr:uid="{00000000-0004-0000-0400-000002000000}"/>
    <hyperlink ref="BE13" r:id="rId4" display="https://industrial.panasonic.com/ww/products/inductors/inductors-for-consumer/inductors-for-consumer/metal-core-type-m0740llmc/ETQP4LR36AFM" xr:uid="{00000000-0004-0000-0400-000003000000}"/>
    <hyperlink ref="BE14" r:id="rId5" display="https://industrial.panasonic.com/ww/products/inductors/inductors-for-consumer/inductors-for-consumer/metal-core-type-m1040llmc/ETQP4LR36AFC" xr:uid="{00000000-0004-0000-0400-000004000000}"/>
    <hyperlink ref="BE15" r:id="rId6" display="https://industrial.panasonic.com/ww/products/inductors/inductors-for-consumer/inductors-for-consumer/metal-core-type-m1040lmc/ETQP4LR36WFC" xr:uid="{00000000-0004-0000-0400-000005000000}"/>
    <hyperlink ref="BE16" r:id="rId7" display="https://industrial.panasonic.com/ww/products/inductors/inductors-for-consumer/inductors-for-consumer/metal-core-type-m0740llmc/ETQP4LR42AFM" xr:uid="{00000000-0004-0000-0400-000006000000}"/>
    <hyperlink ref="BE18" r:id="rId8" display="https://industrial.panasonic.com/ww/products/inductors/inductors-for-consumer/inductors-for-consumer/metal-core-type-m1040lmc/ETQP4LR45XFC" xr:uid="{00000000-0004-0000-0400-000007000000}"/>
    <hyperlink ref="BE20" r:id="rId9" xr:uid="{F8320FD7-F4F4-4DDC-B6F9-CEC473A2848E}"/>
  </hyperlinks>
  <pageMargins left="0.7" right="0.7" top="0.75" bottom="0.75" header="0.3" footer="0.3"/>
  <pageSetup paperSize="9" orientation="portrait" r:id="rId10"/>
  <drawing r:id="rId11"/>
  <extLst>
    <ext xmlns:x14="http://schemas.microsoft.com/office/spreadsheetml/2009/9/main" uri="{78C0D931-6437-407d-A8EE-F0AAD7539E65}">
      <x14:conditionalFormattings>
        <x14:conditionalFormatting xmlns:xm="http://schemas.microsoft.com/office/excel/2006/main">
          <x14:cfRule type="dataBar" id="{076026A9-E1FE-4F3C-9F82-5D3FF1A8D371}">
            <x14:dataBar minLength="0" maxLength="100" border="1" negativeBarBorderColorSameAsPositive="0">
              <x14:cfvo type="autoMin"/>
              <x14:cfvo type="autoMax"/>
              <x14:borderColor rgb="FFFFB628"/>
              <x14:negativeFillColor rgb="FFFF0000"/>
              <x14:negativeBorderColor rgb="FFFF0000"/>
              <x14:axisColor rgb="FF000000"/>
            </x14:dataBar>
          </x14:cfRule>
          <xm:sqref>AP7:AP21 AR7:AR21</xm:sqref>
        </x14:conditionalFormatting>
        <x14:conditionalFormatting xmlns:xm="http://schemas.microsoft.com/office/excel/2006/main">
          <x14:cfRule type="dataBar" id="{68A2A59C-B5A8-4086-9CAF-133C34FAC863}">
            <x14:dataBar minLength="0" maxLength="100" border="1" negativeBarBorderColorSameAsPositive="0">
              <x14:cfvo type="autoMin"/>
              <x14:cfvo type="autoMax"/>
              <x14:borderColor rgb="FF63C384"/>
              <x14:negativeFillColor rgb="FFFF0000"/>
              <x14:negativeBorderColor rgb="FFFF0000"/>
              <x14:axisColor rgb="FF000000"/>
            </x14:dataBar>
          </x14:cfRule>
          <xm:sqref>AW7:AW21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DA769A-B3EA-46C2-AD4B-3066AA38B2F6}">
  <sheetPr codeName="Sheet3">
    <tabColor rgb="FFFFFF00"/>
  </sheetPr>
  <dimension ref="C5:X51"/>
  <sheetViews>
    <sheetView showGridLines="0" topLeftCell="C18" workbookViewId="0">
      <selection activeCell="K60" sqref="K60"/>
    </sheetView>
  </sheetViews>
  <sheetFormatPr defaultRowHeight="12"/>
  <sheetData>
    <row r="5" spans="3:24">
      <c r="C5" s="264"/>
      <c r="D5" s="264"/>
      <c r="E5" s="264"/>
      <c r="F5" s="264"/>
      <c r="G5" s="264"/>
      <c r="H5" s="264"/>
      <c r="I5" s="264"/>
      <c r="J5" s="264"/>
      <c r="K5" s="264"/>
      <c r="L5" s="264"/>
      <c r="M5" s="264"/>
      <c r="N5" s="264"/>
      <c r="O5" s="264"/>
      <c r="P5" s="264"/>
      <c r="Q5" s="264"/>
      <c r="R5" s="264"/>
      <c r="S5" s="264"/>
      <c r="T5" s="264"/>
      <c r="U5" s="264"/>
      <c r="V5" s="264"/>
      <c r="W5" s="264"/>
      <c r="X5" s="264"/>
    </row>
    <row r="6" spans="3:24">
      <c r="C6" s="264"/>
      <c r="D6" s="264"/>
      <c r="E6" s="264"/>
      <c r="F6" s="264"/>
      <c r="G6" s="264"/>
      <c r="H6" s="264"/>
      <c r="I6" s="264"/>
      <c r="J6" s="264"/>
      <c r="K6" s="264"/>
      <c r="L6" s="264"/>
      <c r="M6" s="264"/>
      <c r="N6" s="264"/>
      <c r="O6" s="264"/>
      <c r="P6" s="264"/>
      <c r="Q6" s="264"/>
      <c r="R6" s="264"/>
      <c r="S6" s="264"/>
      <c r="T6" s="264"/>
      <c r="U6" s="264"/>
      <c r="V6" s="264"/>
      <c r="W6" s="264"/>
      <c r="X6" s="264"/>
    </row>
    <row r="7" spans="3:24">
      <c r="C7" s="264"/>
      <c r="D7" s="264"/>
      <c r="E7" s="264"/>
      <c r="F7" s="264"/>
      <c r="G7" s="264"/>
      <c r="H7" s="264"/>
      <c r="I7" s="264"/>
      <c r="J7" s="264"/>
      <c r="K7" s="264"/>
      <c r="L7" s="264"/>
      <c r="M7" s="264"/>
      <c r="N7" s="264"/>
      <c r="O7" s="264"/>
      <c r="P7" s="264"/>
      <c r="Q7" s="264"/>
      <c r="R7" s="264"/>
      <c r="S7" s="264"/>
      <c r="T7" s="264"/>
      <c r="U7" s="264"/>
      <c r="V7" s="264"/>
      <c r="W7" s="264"/>
      <c r="X7" s="264"/>
    </row>
    <row r="8" spans="3:24">
      <c r="C8" s="264"/>
      <c r="D8" s="264"/>
      <c r="E8" s="264"/>
      <c r="F8" s="264"/>
      <c r="G8" s="264"/>
      <c r="H8" s="264"/>
      <c r="I8" s="264"/>
      <c r="J8" s="264"/>
      <c r="K8" s="264"/>
      <c r="L8" s="264"/>
      <c r="M8" s="264"/>
      <c r="N8" s="264"/>
      <c r="O8" s="264"/>
      <c r="P8" s="264"/>
      <c r="Q8" s="264"/>
      <c r="R8" s="264"/>
      <c r="S8" s="264"/>
      <c r="T8" s="264"/>
      <c r="U8" s="264"/>
      <c r="V8" s="264"/>
      <c r="W8" s="264"/>
      <c r="X8" s="264"/>
    </row>
    <row r="9" spans="3:24">
      <c r="C9" s="264"/>
      <c r="D9" s="264"/>
      <c r="E9" s="264"/>
      <c r="F9" s="264"/>
      <c r="G9" s="264"/>
      <c r="H9" s="264"/>
      <c r="I9" s="264"/>
      <c r="J9" s="264"/>
      <c r="K9" s="264"/>
      <c r="L9" s="264"/>
      <c r="M9" s="264"/>
      <c r="N9" s="264"/>
      <c r="O9" s="264"/>
      <c r="P9" s="264"/>
      <c r="Q9" s="264"/>
      <c r="R9" s="264"/>
      <c r="S9" s="264"/>
      <c r="T9" s="264"/>
      <c r="U9" s="264"/>
      <c r="V9" s="264"/>
      <c r="W9" s="264"/>
      <c r="X9" s="264"/>
    </row>
    <row r="10" spans="3:24">
      <c r="C10" s="264"/>
      <c r="D10" s="264"/>
      <c r="E10" s="264"/>
      <c r="F10" s="264"/>
      <c r="G10" s="264"/>
      <c r="H10" s="264"/>
      <c r="I10" s="264"/>
      <c r="J10" s="264"/>
      <c r="K10" s="264"/>
      <c r="L10" s="264"/>
      <c r="M10" s="264"/>
      <c r="N10" s="264"/>
      <c r="O10" s="264"/>
      <c r="P10" s="264"/>
      <c r="Q10" s="264"/>
      <c r="R10" s="264"/>
      <c r="S10" s="264"/>
      <c r="T10" s="264"/>
      <c r="U10" s="264"/>
      <c r="V10" s="264"/>
      <c r="W10" s="264"/>
      <c r="X10" s="264"/>
    </row>
    <row r="11" spans="3:24">
      <c r="C11" s="264"/>
      <c r="D11" s="264"/>
      <c r="E11" s="264"/>
      <c r="F11" s="264"/>
      <c r="G11" s="264"/>
      <c r="H11" s="264"/>
      <c r="I11" s="264"/>
      <c r="J11" s="264"/>
      <c r="K11" s="264"/>
      <c r="L11" s="264"/>
      <c r="M11" s="264"/>
      <c r="N11" s="264"/>
      <c r="O11" s="264"/>
      <c r="P11" s="264"/>
      <c r="Q11" s="264"/>
      <c r="R11" s="264"/>
      <c r="S11" s="264"/>
      <c r="T11" s="264"/>
      <c r="U11" s="264"/>
      <c r="V11" s="264"/>
      <c r="W11" s="264"/>
      <c r="X11" s="264"/>
    </row>
    <row r="12" spans="3:24">
      <c r="C12" s="264"/>
      <c r="D12" s="264"/>
      <c r="E12" s="264"/>
      <c r="F12" s="264"/>
      <c r="G12" s="264"/>
      <c r="H12" s="264"/>
      <c r="I12" s="264"/>
      <c r="J12" s="264"/>
      <c r="K12" s="264"/>
      <c r="L12" s="264"/>
      <c r="M12" s="264"/>
      <c r="N12" s="264"/>
      <c r="O12" s="264"/>
      <c r="P12" s="264"/>
      <c r="Q12" s="264"/>
      <c r="R12" s="264"/>
      <c r="S12" s="264"/>
      <c r="T12" s="264"/>
      <c r="U12" s="264"/>
      <c r="V12" s="264"/>
      <c r="W12" s="264"/>
      <c r="X12" s="264"/>
    </row>
    <row r="13" spans="3:24">
      <c r="C13" s="264"/>
      <c r="D13" s="264"/>
      <c r="E13" s="264"/>
      <c r="F13" s="264"/>
      <c r="G13" s="264"/>
      <c r="H13" s="264"/>
      <c r="I13" s="264"/>
      <c r="J13" s="264"/>
      <c r="K13" s="264"/>
      <c r="L13" s="264"/>
      <c r="M13" s="264"/>
      <c r="N13" s="264"/>
      <c r="O13" s="264"/>
      <c r="P13" s="264"/>
      <c r="Q13" s="264"/>
      <c r="R13" s="264"/>
      <c r="S13" s="264"/>
      <c r="T13" s="264"/>
      <c r="U13" s="264"/>
      <c r="V13" s="264"/>
      <c r="W13" s="264"/>
      <c r="X13" s="264"/>
    </row>
    <row r="14" spans="3:24">
      <c r="C14" s="264"/>
      <c r="D14" s="264"/>
      <c r="E14" s="264"/>
      <c r="F14" s="264"/>
      <c r="G14" s="264"/>
      <c r="H14" s="264"/>
      <c r="I14" s="264"/>
      <c r="J14" s="264"/>
      <c r="K14" s="264"/>
      <c r="L14" s="264"/>
      <c r="M14" s="264"/>
      <c r="N14" s="264"/>
      <c r="O14" s="264"/>
      <c r="P14" s="264"/>
      <c r="Q14" s="264"/>
      <c r="R14" s="264"/>
      <c r="S14" s="264"/>
      <c r="T14" s="264"/>
      <c r="U14" s="264"/>
      <c r="V14" s="264"/>
      <c r="W14" s="264"/>
      <c r="X14" s="264"/>
    </row>
    <row r="15" spans="3:24">
      <c r="C15" s="264"/>
      <c r="D15" s="264"/>
      <c r="E15" s="264"/>
      <c r="F15" s="264"/>
      <c r="G15" s="264"/>
      <c r="H15" s="264"/>
      <c r="I15" s="264"/>
      <c r="J15" s="264"/>
      <c r="K15" s="264"/>
      <c r="L15" s="264"/>
      <c r="M15" s="264"/>
      <c r="N15" s="264"/>
      <c r="O15" s="264"/>
      <c r="P15" s="264"/>
      <c r="Q15" s="264"/>
      <c r="R15" s="264"/>
      <c r="S15" s="264"/>
      <c r="T15" s="264"/>
      <c r="U15" s="264"/>
      <c r="V15" s="264"/>
      <c r="W15" s="264"/>
      <c r="X15" s="264"/>
    </row>
    <row r="16" spans="3:24">
      <c r="C16" s="264"/>
      <c r="D16" s="264"/>
      <c r="E16" s="264"/>
      <c r="F16" s="264"/>
      <c r="G16" s="264"/>
      <c r="H16" s="264"/>
      <c r="I16" s="264"/>
      <c r="J16" s="264"/>
      <c r="K16" s="264"/>
      <c r="L16" s="264"/>
      <c r="M16" s="264"/>
      <c r="N16" s="264"/>
      <c r="O16" s="264"/>
      <c r="P16" s="264"/>
      <c r="Q16" s="264"/>
      <c r="R16" s="264"/>
      <c r="S16" s="264"/>
      <c r="T16" s="264"/>
      <c r="U16" s="264"/>
      <c r="V16" s="264"/>
      <c r="W16" s="264"/>
      <c r="X16" s="264"/>
    </row>
    <row r="17" spans="3:24">
      <c r="C17" s="264"/>
      <c r="D17" s="264"/>
      <c r="E17" s="264"/>
      <c r="F17" s="264"/>
      <c r="G17" s="264"/>
      <c r="H17" s="264"/>
      <c r="I17" s="264"/>
      <c r="J17" s="264"/>
      <c r="K17" s="264"/>
      <c r="L17" s="264"/>
      <c r="M17" s="264"/>
      <c r="N17" s="264"/>
      <c r="O17" s="264"/>
      <c r="P17" s="264"/>
      <c r="Q17" s="264"/>
      <c r="R17" s="264"/>
      <c r="S17" s="264"/>
      <c r="T17" s="264"/>
      <c r="U17" s="264"/>
      <c r="V17" s="264"/>
      <c r="W17" s="264"/>
      <c r="X17" s="264"/>
    </row>
    <row r="18" spans="3:24">
      <c r="C18" s="264"/>
      <c r="D18" s="264"/>
      <c r="E18" s="264"/>
      <c r="F18" s="264"/>
      <c r="G18" s="264"/>
      <c r="H18" s="264"/>
      <c r="I18" s="264"/>
      <c r="J18" s="264"/>
      <c r="K18" s="264"/>
      <c r="L18" s="264"/>
      <c r="M18" s="264"/>
      <c r="N18" s="264"/>
      <c r="O18" s="264"/>
      <c r="P18" s="264"/>
      <c r="Q18" s="264"/>
      <c r="R18" s="264"/>
      <c r="S18" s="264"/>
      <c r="T18" s="264"/>
      <c r="U18" s="264"/>
      <c r="V18" s="264"/>
      <c r="W18" s="264"/>
      <c r="X18" s="264"/>
    </row>
    <row r="19" spans="3:24">
      <c r="C19" s="264"/>
      <c r="D19" s="264"/>
      <c r="E19" s="264"/>
      <c r="F19" s="264"/>
      <c r="G19" s="264"/>
      <c r="H19" s="264"/>
      <c r="I19" s="264"/>
      <c r="J19" s="264"/>
      <c r="K19" s="264"/>
      <c r="L19" s="264"/>
      <c r="M19" s="264"/>
      <c r="N19" s="264"/>
      <c r="O19" s="264"/>
      <c r="P19" s="264"/>
      <c r="Q19" s="264"/>
      <c r="R19" s="264"/>
      <c r="S19" s="264"/>
      <c r="T19" s="264"/>
      <c r="U19" s="264"/>
      <c r="V19" s="264"/>
      <c r="W19" s="264"/>
      <c r="X19" s="264"/>
    </row>
    <row r="20" spans="3:24">
      <c r="C20" s="264"/>
      <c r="D20" s="264"/>
      <c r="E20" s="264"/>
      <c r="F20" s="264"/>
      <c r="G20" s="264"/>
      <c r="H20" s="264"/>
      <c r="I20" s="264"/>
      <c r="J20" s="264"/>
      <c r="K20" s="264"/>
      <c r="L20" s="264"/>
      <c r="M20" s="264"/>
      <c r="N20" s="264"/>
      <c r="O20" s="264"/>
      <c r="P20" s="264"/>
      <c r="Q20" s="264"/>
      <c r="R20" s="264"/>
      <c r="S20" s="264"/>
      <c r="T20" s="264"/>
      <c r="U20" s="264"/>
      <c r="V20" s="264"/>
      <c r="W20" s="264"/>
      <c r="X20" s="264"/>
    </row>
    <row r="21" spans="3:24">
      <c r="C21" s="264"/>
      <c r="D21" s="264"/>
      <c r="E21" s="264"/>
      <c r="F21" s="264"/>
      <c r="G21" s="264"/>
      <c r="H21" s="264"/>
      <c r="I21" s="264"/>
      <c r="J21" s="264"/>
      <c r="K21" s="264"/>
      <c r="L21" s="264"/>
      <c r="M21" s="264"/>
      <c r="N21" s="264"/>
      <c r="O21" s="264"/>
      <c r="P21" s="264"/>
      <c r="Q21" s="264"/>
      <c r="R21" s="264"/>
      <c r="S21" s="264"/>
      <c r="T21" s="264"/>
      <c r="U21" s="264"/>
      <c r="V21" s="264"/>
      <c r="W21" s="264"/>
      <c r="X21" s="264"/>
    </row>
    <row r="22" spans="3:24">
      <c r="C22" s="264"/>
      <c r="D22" s="264"/>
      <c r="E22" s="264"/>
      <c r="F22" s="264"/>
      <c r="G22" s="264"/>
      <c r="H22" s="264"/>
      <c r="I22" s="264"/>
      <c r="J22" s="264"/>
      <c r="K22" s="264"/>
      <c r="L22" s="264"/>
      <c r="M22" s="264"/>
      <c r="N22" s="264"/>
      <c r="O22" s="264"/>
      <c r="P22" s="264"/>
      <c r="Q22" s="264"/>
      <c r="R22" s="264"/>
      <c r="S22" s="264"/>
      <c r="T22" s="264"/>
      <c r="U22" s="264"/>
      <c r="V22" s="264"/>
      <c r="W22" s="264"/>
      <c r="X22" s="264"/>
    </row>
    <row r="23" spans="3:24">
      <c r="C23" s="264"/>
      <c r="D23" s="264"/>
      <c r="E23" s="264"/>
      <c r="F23" s="264"/>
      <c r="G23" s="264"/>
      <c r="H23" s="264"/>
      <c r="I23" s="264"/>
      <c r="J23" s="264"/>
      <c r="K23" s="264"/>
      <c r="L23" s="264"/>
      <c r="M23" s="264"/>
      <c r="N23" s="264"/>
      <c r="O23" s="264"/>
      <c r="P23" s="264"/>
      <c r="Q23" s="264"/>
      <c r="R23" s="264"/>
      <c r="S23" s="264"/>
      <c r="T23" s="264"/>
      <c r="U23" s="264"/>
      <c r="V23" s="264"/>
      <c r="W23" s="264"/>
      <c r="X23" s="264"/>
    </row>
    <row r="24" spans="3:24">
      <c r="C24" s="264"/>
      <c r="D24" s="264"/>
      <c r="E24" s="264"/>
      <c r="F24" s="264"/>
      <c r="G24" s="264"/>
      <c r="H24" s="264"/>
      <c r="I24" s="264"/>
      <c r="J24" s="264"/>
      <c r="K24" s="264"/>
      <c r="L24" s="264"/>
      <c r="M24" s="264"/>
      <c r="N24" s="264"/>
      <c r="O24" s="264"/>
      <c r="P24" s="264"/>
      <c r="Q24" s="264"/>
      <c r="R24" s="264"/>
      <c r="S24" s="264"/>
      <c r="T24" s="264"/>
      <c r="U24" s="264"/>
      <c r="V24" s="264"/>
      <c r="W24" s="264"/>
      <c r="X24" s="264"/>
    </row>
    <row r="25" spans="3:24">
      <c r="C25" s="264"/>
      <c r="D25" s="264"/>
      <c r="E25" s="264"/>
      <c r="F25" s="264"/>
      <c r="G25" s="264"/>
      <c r="H25" s="264"/>
      <c r="I25" s="264"/>
      <c r="J25" s="264"/>
      <c r="K25" s="264"/>
      <c r="L25" s="264"/>
      <c r="M25" s="264"/>
      <c r="N25" s="264"/>
      <c r="O25" s="264"/>
      <c r="P25" s="264"/>
      <c r="Q25" s="264"/>
      <c r="R25" s="264"/>
      <c r="S25" s="264"/>
      <c r="T25" s="264"/>
      <c r="U25" s="264"/>
      <c r="V25" s="264"/>
      <c r="W25" s="264"/>
      <c r="X25" s="264"/>
    </row>
    <row r="26" spans="3:24">
      <c r="C26" s="264"/>
      <c r="D26" s="264"/>
      <c r="E26" s="264"/>
      <c r="F26" s="264"/>
      <c r="G26" s="264"/>
      <c r="H26" s="264"/>
      <c r="I26" s="264"/>
      <c r="J26" s="264"/>
      <c r="K26" s="264"/>
      <c r="L26" s="264"/>
      <c r="M26" s="264"/>
      <c r="N26" s="264"/>
      <c r="O26" s="264"/>
      <c r="P26" s="264"/>
      <c r="Q26" s="264"/>
      <c r="R26" s="264"/>
      <c r="S26" s="264"/>
      <c r="T26" s="264"/>
      <c r="U26" s="264"/>
      <c r="V26" s="264"/>
      <c r="W26" s="264"/>
      <c r="X26" s="264"/>
    </row>
    <row r="27" spans="3:24">
      <c r="C27" s="264"/>
      <c r="D27" s="264"/>
      <c r="E27" s="264"/>
      <c r="F27" s="264"/>
      <c r="G27" s="264"/>
      <c r="H27" s="264"/>
      <c r="I27" s="264"/>
      <c r="J27" s="264"/>
      <c r="K27" s="264"/>
      <c r="L27" s="264"/>
      <c r="M27" s="264"/>
      <c r="N27" s="264"/>
      <c r="O27" s="264"/>
      <c r="P27" s="264"/>
      <c r="Q27" s="264"/>
      <c r="R27" s="264"/>
      <c r="S27" s="264"/>
      <c r="T27" s="264"/>
      <c r="U27" s="264"/>
      <c r="V27" s="264"/>
      <c r="W27" s="264"/>
      <c r="X27" s="264"/>
    </row>
    <row r="28" spans="3:24">
      <c r="C28" s="264"/>
      <c r="D28" s="264"/>
      <c r="E28" s="264"/>
      <c r="F28" s="264"/>
      <c r="G28" s="264"/>
      <c r="H28" s="264"/>
      <c r="I28" s="264"/>
      <c r="J28" s="264"/>
      <c r="K28" s="264"/>
      <c r="L28" s="264"/>
      <c r="M28" s="264"/>
      <c r="N28" s="264"/>
      <c r="O28" s="264"/>
      <c r="P28" s="264"/>
      <c r="Q28" s="264"/>
      <c r="R28" s="264"/>
      <c r="S28" s="264"/>
      <c r="T28" s="264"/>
      <c r="U28" s="264"/>
      <c r="V28" s="264"/>
      <c r="W28" s="264"/>
      <c r="X28" s="264"/>
    </row>
    <row r="29" spans="3:24">
      <c r="C29" s="264"/>
      <c r="D29" s="264"/>
      <c r="E29" s="264"/>
      <c r="F29" s="264"/>
      <c r="G29" s="264"/>
      <c r="H29" s="264"/>
      <c r="I29" s="264"/>
      <c r="J29" s="264"/>
      <c r="K29" s="264"/>
      <c r="L29" s="264"/>
      <c r="M29" s="264"/>
      <c r="N29" s="264"/>
      <c r="O29" s="264"/>
      <c r="P29" s="264"/>
      <c r="Q29" s="264"/>
      <c r="R29" s="264"/>
      <c r="S29" s="264"/>
      <c r="T29" s="264"/>
      <c r="U29" s="264"/>
      <c r="V29" s="264"/>
      <c r="W29" s="264"/>
      <c r="X29" s="264"/>
    </row>
    <row r="30" spans="3:24">
      <c r="C30" s="264"/>
      <c r="D30" s="264"/>
      <c r="E30" s="264"/>
      <c r="F30" s="264"/>
      <c r="G30" s="264"/>
      <c r="H30" s="264"/>
      <c r="I30" s="264"/>
      <c r="J30" s="264"/>
      <c r="K30" s="264"/>
      <c r="L30" s="264"/>
      <c r="M30" s="264"/>
      <c r="N30" s="264"/>
      <c r="O30" s="264"/>
      <c r="P30" s="264"/>
      <c r="Q30" s="264"/>
      <c r="R30" s="264"/>
      <c r="S30" s="264"/>
      <c r="T30" s="264"/>
      <c r="U30" s="264"/>
      <c r="V30" s="264"/>
      <c r="W30" s="264"/>
      <c r="X30" s="264"/>
    </row>
    <row r="31" spans="3:24">
      <c r="C31" s="264"/>
      <c r="D31" s="264"/>
      <c r="E31" s="264"/>
      <c r="F31" s="264"/>
      <c r="G31" s="264"/>
      <c r="H31" s="264"/>
      <c r="I31" s="264"/>
      <c r="J31" s="264"/>
      <c r="K31" s="264"/>
      <c r="L31" s="264"/>
      <c r="M31" s="264"/>
      <c r="N31" s="264"/>
      <c r="O31" s="264"/>
      <c r="P31" s="264"/>
      <c r="Q31" s="264"/>
      <c r="R31" s="264"/>
      <c r="S31" s="264"/>
      <c r="T31" s="264"/>
      <c r="U31" s="264"/>
      <c r="V31" s="264"/>
      <c r="W31" s="264"/>
      <c r="X31" s="264"/>
    </row>
    <row r="32" spans="3:24">
      <c r="C32" s="264"/>
      <c r="D32" s="264"/>
      <c r="E32" s="264"/>
      <c r="F32" s="264"/>
      <c r="G32" s="264"/>
      <c r="H32" s="264"/>
      <c r="I32" s="264"/>
      <c r="J32" s="264"/>
      <c r="K32" s="264"/>
      <c r="L32" s="264"/>
      <c r="M32" s="264"/>
      <c r="N32" s="264"/>
      <c r="O32" s="264"/>
      <c r="P32" s="264"/>
      <c r="Q32" s="264"/>
      <c r="R32" s="264"/>
      <c r="S32" s="264"/>
      <c r="T32" s="264"/>
      <c r="U32" s="264"/>
      <c r="V32" s="264"/>
      <c r="W32" s="264"/>
      <c r="X32" s="264"/>
    </row>
    <row r="33" spans="3:24">
      <c r="C33" s="264"/>
      <c r="D33" s="264"/>
      <c r="E33" s="264"/>
      <c r="F33" s="264"/>
      <c r="G33" s="264"/>
      <c r="H33" s="264"/>
      <c r="I33" s="264"/>
      <c r="J33" s="264"/>
      <c r="K33" s="264"/>
      <c r="L33" s="264"/>
      <c r="M33" s="264"/>
      <c r="N33" s="264"/>
      <c r="O33" s="264"/>
      <c r="P33" s="264"/>
      <c r="Q33" s="264"/>
      <c r="R33" s="264"/>
      <c r="S33" s="264"/>
      <c r="T33" s="264"/>
      <c r="U33" s="264"/>
      <c r="V33" s="264"/>
      <c r="W33" s="264"/>
      <c r="X33" s="264"/>
    </row>
    <row r="34" spans="3:24">
      <c r="C34" s="264"/>
      <c r="D34" s="264"/>
      <c r="E34" s="264"/>
      <c r="F34" s="264"/>
      <c r="G34" s="264"/>
      <c r="H34" s="264"/>
      <c r="I34" s="264"/>
      <c r="J34" s="264"/>
      <c r="K34" s="264"/>
      <c r="L34" s="264"/>
      <c r="M34" s="264"/>
      <c r="N34" s="264"/>
      <c r="O34" s="264"/>
      <c r="P34" s="264"/>
      <c r="Q34" s="264"/>
      <c r="R34" s="264"/>
      <c r="S34" s="264"/>
      <c r="T34" s="264"/>
      <c r="U34" s="264"/>
      <c r="V34" s="264"/>
      <c r="W34" s="264"/>
      <c r="X34" s="264"/>
    </row>
    <row r="35" spans="3:24">
      <c r="C35" s="264"/>
      <c r="D35" s="264"/>
      <c r="E35" s="264"/>
      <c r="F35" s="264"/>
      <c r="G35" s="264"/>
      <c r="H35" s="264"/>
      <c r="I35" s="264"/>
      <c r="J35" s="264"/>
      <c r="K35" s="264"/>
      <c r="L35" s="264"/>
      <c r="M35" s="264"/>
      <c r="N35" s="264"/>
      <c r="O35" s="264"/>
      <c r="P35" s="264"/>
      <c r="Q35" s="264"/>
      <c r="R35" s="264"/>
      <c r="S35" s="264"/>
      <c r="T35" s="264"/>
      <c r="U35" s="264"/>
      <c r="V35" s="264"/>
      <c r="W35" s="264"/>
      <c r="X35" s="264"/>
    </row>
    <row r="36" spans="3:24">
      <c r="C36" s="264"/>
      <c r="D36" s="264"/>
      <c r="E36" s="264"/>
      <c r="F36" s="264"/>
      <c r="G36" s="264"/>
      <c r="H36" s="264"/>
      <c r="I36" s="264"/>
      <c r="J36" s="264"/>
      <c r="K36" s="264"/>
      <c r="L36" s="264"/>
      <c r="M36" s="264"/>
      <c r="N36" s="264"/>
      <c r="O36" s="264"/>
      <c r="P36" s="264"/>
      <c r="Q36" s="264"/>
      <c r="R36" s="264"/>
      <c r="S36" s="264"/>
      <c r="T36" s="264"/>
      <c r="U36" s="264"/>
      <c r="V36" s="264"/>
      <c r="W36" s="264"/>
      <c r="X36" s="264"/>
    </row>
    <row r="37" spans="3:24">
      <c r="C37" s="264"/>
      <c r="D37" s="264"/>
      <c r="E37" s="264"/>
      <c r="F37" s="264"/>
      <c r="G37" s="264"/>
      <c r="H37" s="264"/>
      <c r="I37" s="264"/>
      <c r="J37" s="264"/>
      <c r="K37" s="264"/>
      <c r="L37" s="264"/>
      <c r="M37" s="264"/>
      <c r="N37" s="264"/>
      <c r="O37" s="264"/>
      <c r="P37" s="264"/>
      <c r="Q37" s="264"/>
      <c r="R37" s="264"/>
      <c r="S37" s="264"/>
      <c r="T37" s="264"/>
      <c r="U37" s="264"/>
      <c r="V37" s="264"/>
      <c r="W37" s="264"/>
      <c r="X37" s="264"/>
    </row>
    <row r="38" spans="3:24">
      <c r="C38" s="264"/>
      <c r="D38" s="264"/>
      <c r="E38" s="264"/>
      <c r="F38" s="264"/>
      <c r="G38" s="264"/>
      <c r="H38" s="264"/>
      <c r="I38" s="264"/>
      <c r="J38" s="264"/>
      <c r="K38" s="264"/>
      <c r="L38" s="264"/>
      <c r="M38" s="264"/>
      <c r="N38" s="264"/>
      <c r="O38" s="264"/>
      <c r="P38" s="264"/>
      <c r="Q38" s="264"/>
      <c r="R38" s="264"/>
      <c r="S38" s="264"/>
      <c r="T38" s="264"/>
      <c r="U38" s="264"/>
      <c r="V38" s="264"/>
      <c r="W38" s="264"/>
      <c r="X38" s="264"/>
    </row>
    <row r="39" spans="3:24">
      <c r="C39" s="264"/>
      <c r="D39" s="264"/>
      <c r="E39" s="264"/>
      <c r="F39" s="264"/>
      <c r="G39" s="264"/>
      <c r="H39" s="264"/>
      <c r="I39" s="264"/>
      <c r="J39" s="264"/>
      <c r="K39" s="264"/>
      <c r="L39" s="264"/>
      <c r="M39" s="264"/>
      <c r="N39" s="264"/>
      <c r="O39" s="264"/>
      <c r="P39" s="264"/>
      <c r="Q39" s="264"/>
      <c r="R39" s="264"/>
      <c r="S39" s="264"/>
      <c r="T39" s="264"/>
      <c r="U39" s="264"/>
      <c r="V39" s="264"/>
      <c r="W39" s="264"/>
      <c r="X39" s="264"/>
    </row>
    <row r="40" spans="3:24">
      <c r="C40" s="264"/>
      <c r="D40" s="264"/>
      <c r="E40" s="264"/>
      <c r="F40" s="264"/>
      <c r="G40" s="264"/>
      <c r="H40" s="264"/>
      <c r="I40" s="264"/>
      <c r="J40" s="264"/>
      <c r="K40" s="264"/>
      <c r="L40" s="264"/>
      <c r="M40" s="264"/>
      <c r="N40" s="264"/>
      <c r="O40" s="264"/>
      <c r="P40" s="264"/>
      <c r="Q40" s="264"/>
      <c r="R40" s="264"/>
      <c r="S40" s="264"/>
      <c r="T40" s="264"/>
      <c r="U40" s="264"/>
      <c r="V40" s="264"/>
      <c r="W40" s="264"/>
      <c r="X40" s="264"/>
    </row>
    <row r="41" spans="3:24">
      <c r="C41" s="264"/>
      <c r="D41" s="264"/>
      <c r="E41" s="264"/>
      <c r="F41" s="264"/>
      <c r="G41" s="264"/>
      <c r="H41" s="264"/>
      <c r="I41" s="264"/>
      <c r="J41" s="264"/>
      <c r="K41" s="264"/>
      <c r="L41" s="264"/>
      <c r="M41" s="264"/>
      <c r="N41" s="264"/>
      <c r="O41" s="264"/>
      <c r="P41" s="264"/>
      <c r="Q41" s="264"/>
      <c r="R41" s="264"/>
      <c r="S41" s="264"/>
      <c r="T41" s="264"/>
      <c r="U41" s="264"/>
      <c r="V41" s="264"/>
      <c r="W41" s="264"/>
      <c r="X41" s="264"/>
    </row>
    <row r="42" spans="3:24">
      <c r="C42" s="264"/>
      <c r="D42" s="264"/>
      <c r="E42" s="264"/>
      <c r="F42" s="264"/>
      <c r="G42" s="264"/>
      <c r="H42" s="264"/>
      <c r="I42" s="264"/>
      <c r="J42" s="264"/>
      <c r="K42" s="264"/>
      <c r="L42" s="264"/>
      <c r="M42" s="264"/>
      <c r="N42" s="264"/>
      <c r="O42" s="264"/>
      <c r="P42" s="264"/>
      <c r="Q42" s="264"/>
      <c r="R42" s="264"/>
      <c r="S42" s="264"/>
      <c r="T42" s="264"/>
      <c r="U42" s="264"/>
      <c r="V42" s="264"/>
      <c r="W42" s="264"/>
      <c r="X42" s="264"/>
    </row>
    <row r="43" spans="3:24">
      <c r="C43" s="264"/>
      <c r="D43" s="264"/>
      <c r="E43" s="264"/>
      <c r="F43" s="264"/>
      <c r="G43" s="264"/>
      <c r="H43" s="264"/>
      <c r="I43" s="264"/>
      <c r="J43" s="264"/>
      <c r="K43" s="264"/>
      <c r="L43" s="264"/>
      <c r="M43" s="264"/>
      <c r="N43" s="264"/>
      <c r="O43" s="264"/>
      <c r="P43" s="264"/>
      <c r="Q43" s="264"/>
      <c r="R43" s="264"/>
      <c r="S43" s="264"/>
      <c r="T43" s="264"/>
      <c r="U43" s="264"/>
      <c r="V43" s="264"/>
      <c r="W43" s="264"/>
      <c r="X43" s="264"/>
    </row>
    <row r="44" spans="3:24">
      <c r="C44" s="264"/>
      <c r="D44" s="264"/>
      <c r="E44" s="264"/>
      <c r="F44" s="264"/>
      <c r="G44" s="264"/>
      <c r="H44" s="264"/>
      <c r="I44" s="264"/>
      <c r="J44" s="264"/>
      <c r="K44" s="264"/>
      <c r="L44" s="264"/>
      <c r="M44" s="264"/>
      <c r="N44" s="264"/>
      <c r="O44" s="264"/>
      <c r="P44" s="264"/>
      <c r="Q44" s="264"/>
      <c r="R44" s="264"/>
      <c r="S44" s="264"/>
      <c r="T44" s="264"/>
      <c r="U44" s="264"/>
      <c r="V44" s="264"/>
      <c r="W44" s="264"/>
      <c r="X44" s="264"/>
    </row>
    <row r="45" spans="3:24">
      <c r="C45" s="264"/>
      <c r="D45" s="264"/>
      <c r="E45" s="264"/>
      <c r="F45" s="264"/>
      <c r="G45" s="264"/>
      <c r="H45" s="264"/>
      <c r="I45" s="264"/>
      <c r="J45" s="264"/>
      <c r="K45" s="264"/>
      <c r="L45" s="264"/>
      <c r="M45" s="264"/>
      <c r="N45" s="264"/>
      <c r="O45" s="264"/>
      <c r="P45" s="264"/>
      <c r="Q45" s="264"/>
      <c r="R45" s="264"/>
      <c r="S45" s="264"/>
      <c r="T45" s="264"/>
      <c r="U45" s="264"/>
      <c r="V45" s="264"/>
      <c r="W45" s="264"/>
      <c r="X45" s="264"/>
    </row>
    <row r="46" spans="3:24">
      <c r="C46" s="264"/>
      <c r="D46" s="264"/>
      <c r="E46" s="264"/>
      <c r="F46" s="264"/>
      <c r="G46" s="264"/>
      <c r="H46" s="264"/>
      <c r="I46" s="264"/>
      <c r="J46" s="264"/>
      <c r="K46" s="264"/>
      <c r="L46" s="264"/>
      <c r="M46" s="264"/>
      <c r="N46" s="264"/>
      <c r="O46" s="264"/>
      <c r="P46" s="264"/>
      <c r="Q46" s="264"/>
      <c r="R46" s="264"/>
      <c r="S46" s="264"/>
      <c r="T46" s="264"/>
      <c r="U46" s="264"/>
      <c r="V46" s="264"/>
      <c r="W46" s="264"/>
      <c r="X46" s="264"/>
    </row>
    <row r="47" spans="3:24">
      <c r="C47" s="264"/>
      <c r="D47" s="264"/>
      <c r="E47" s="264"/>
      <c r="F47" s="264"/>
      <c r="G47" s="264"/>
      <c r="H47" s="264"/>
      <c r="I47" s="264"/>
      <c r="J47" s="264"/>
      <c r="K47" s="264"/>
      <c r="L47" s="264"/>
      <c r="M47" s="264"/>
      <c r="N47" s="264"/>
      <c r="O47" s="264"/>
      <c r="P47" s="264"/>
      <c r="Q47" s="264"/>
      <c r="R47" s="264"/>
      <c r="S47" s="264"/>
      <c r="T47" s="264"/>
      <c r="U47" s="264"/>
      <c r="V47" s="264"/>
      <c r="W47" s="264"/>
      <c r="X47" s="264"/>
    </row>
    <row r="48" spans="3:24">
      <c r="C48" s="264"/>
      <c r="D48" s="264"/>
      <c r="E48" s="264"/>
      <c r="F48" s="264"/>
      <c r="G48" s="264"/>
      <c r="H48" s="264"/>
      <c r="I48" s="264"/>
      <c r="J48" s="264"/>
      <c r="K48" s="264"/>
      <c r="L48" s="264"/>
      <c r="M48" s="264"/>
      <c r="N48" s="264"/>
      <c r="O48" s="264"/>
      <c r="P48" s="264"/>
      <c r="Q48" s="264"/>
      <c r="R48" s="264"/>
      <c r="S48" s="264"/>
      <c r="T48" s="264"/>
      <c r="U48" s="264"/>
      <c r="V48" s="264"/>
      <c r="W48" s="264"/>
      <c r="X48" s="264"/>
    </row>
    <row r="49" spans="3:24">
      <c r="C49" s="264"/>
      <c r="D49" s="264"/>
      <c r="E49" s="264"/>
      <c r="F49" s="264"/>
      <c r="G49" s="264"/>
      <c r="H49" s="264"/>
      <c r="I49" s="264"/>
      <c r="J49" s="264"/>
      <c r="K49" s="264"/>
      <c r="L49" s="264"/>
      <c r="M49" s="264"/>
      <c r="N49" s="264"/>
      <c r="O49" s="264"/>
      <c r="P49" s="264"/>
      <c r="Q49" s="264"/>
      <c r="R49" s="264"/>
      <c r="S49" s="264"/>
      <c r="T49" s="264"/>
      <c r="U49" s="264"/>
      <c r="V49" s="264"/>
      <c r="W49" s="264"/>
      <c r="X49" s="264"/>
    </row>
    <row r="50" spans="3:24">
      <c r="C50" s="264"/>
      <c r="D50" s="264"/>
      <c r="E50" s="264"/>
      <c r="F50" s="264"/>
      <c r="G50" s="264"/>
      <c r="H50" s="264"/>
      <c r="I50" s="264"/>
      <c r="J50" s="264"/>
      <c r="K50" s="264"/>
      <c r="L50" s="264"/>
      <c r="M50" s="264"/>
      <c r="N50" s="264"/>
      <c r="O50" s="264"/>
      <c r="P50" s="264"/>
      <c r="Q50" s="264"/>
      <c r="R50" s="264"/>
      <c r="S50" s="264"/>
      <c r="T50" s="264"/>
      <c r="U50" s="264"/>
      <c r="V50" s="264"/>
      <c r="W50" s="264"/>
      <c r="X50" s="264"/>
    </row>
    <row r="51" spans="3:24">
      <c r="C51" s="264"/>
      <c r="D51" s="264"/>
      <c r="E51" s="264"/>
      <c r="F51" s="264"/>
      <c r="G51" s="264"/>
      <c r="H51" s="264"/>
      <c r="I51" s="264"/>
      <c r="J51" s="264"/>
      <c r="K51" s="264"/>
      <c r="L51" s="264"/>
      <c r="M51" s="264"/>
      <c r="N51" s="264"/>
      <c r="O51" s="264"/>
      <c r="P51" s="264"/>
      <c r="Q51" s="264"/>
      <c r="R51" s="264"/>
      <c r="S51" s="264"/>
      <c r="T51" s="264"/>
      <c r="U51" s="264"/>
      <c r="V51" s="264"/>
      <c r="W51" s="264"/>
      <c r="X51" s="264"/>
    </row>
  </sheetData>
  <phoneticPr fontId="13"/>
  <pageMargins left="0.7" right="0.7" top="0.75" bottom="0.75" header="0.3" footer="0.3"/>
  <pageSetup scale="50" orientation="portrait" horizont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CC187"/>
  <sheetViews>
    <sheetView tabSelected="1" topLeftCell="A175" zoomScale="76" zoomScaleNormal="52" workbookViewId="0">
      <selection activeCell="A161" sqref="A161"/>
    </sheetView>
  </sheetViews>
  <sheetFormatPr defaultColWidth="9" defaultRowHeight="14.25" outlineLevelCol="1"/>
  <cols>
    <col min="1" max="2" width="9" style="68" outlineLevel="1"/>
    <col min="3" max="3" width="12.7109375" style="68" bestFit="1" customWidth="1" outlineLevel="1"/>
    <col min="4" max="4" width="9" style="68"/>
    <col min="5" max="5" width="9.28515625" style="68" customWidth="1"/>
    <col min="6" max="6" width="7.7109375" style="68" customWidth="1"/>
    <col min="7" max="7" width="5.7109375" style="68" customWidth="1" outlineLevel="1"/>
    <col min="8" max="8" width="6.5703125" style="68" customWidth="1" outlineLevel="1"/>
    <col min="9" max="9" width="8.85546875" style="69" customWidth="1" outlineLevel="1"/>
    <col min="10" max="10" width="6.28515625" style="68" customWidth="1" outlineLevel="1"/>
    <col min="11" max="11" width="16.85546875" customWidth="1" outlineLevel="1"/>
    <col min="12" max="12" width="12.140625" customWidth="1" outlineLevel="1"/>
    <col min="13" max="13" width="18.140625" style="68" customWidth="1" outlineLevel="1"/>
    <col min="14" max="14" width="8.7109375" style="68" customWidth="1"/>
    <col min="15" max="15" width="19.42578125" style="68" customWidth="1"/>
    <col min="16" max="16" width="11" style="69" customWidth="1"/>
    <col min="17" max="17" width="9" style="69" customWidth="1"/>
    <col min="18" max="18" width="12.85546875" style="68" customWidth="1"/>
    <col min="19" max="19" width="14.7109375" style="68" customWidth="1"/>
    <col min="20" max="20" width="11.7109375" style="68" customWidth="1"/>
    <col min="21" max="21" width="13.5703125" customWidth="1"/>
    <col min="22" max="22" width="15.7109375" customWidth="1"/>
    <col min="23" max="23" width="17.28515625" style="68" customWidth="1"/>
    <col min="24" max="24" width="14.7109375" customWidth="1"/>
    <col min="25" max="25" width="14.140625" customWidth="1"/>
    <col min="27" max="27" width="13.5703125" customWidth="1"/>
    <col min="29" max="29" width="8.28515625" style="68" customWidth="1"/>
    <col min="30" max="30" width="11.7109375" customWidth="1"/>
    <col min="31" max="31" width="7.42578125" style="68" customWidth="1"/>
    <col min="32" max="32" width="11.28515625" customWidth="1"/>
    <col min="33" max="33" width="11" customWidth="1"/>
    <col min="34" max="34" width="10.28515625" customWidth="1"/>
    <col min="37" max="37" width="17.5703125" style="35" customWidth="1"/>
    <col min="39" max="39" width="15.5703125" style="68" customWidth="1"/>
    <col min="40" max="40" width="16.5703125" style="68" customWidth="1"/>
    <col min="41" max="41" width="14.42578125" style="68" customWidth="1"/>
    <col min="44" max="45" width="12.7109375" style="68" customWidth="1"/>
    <col min="46" max="46" width="17.42578125" style="68" customWidth="1"/>
    <col min="47" max="47" width="4.7109375" style="68" customWidth="1"/>
    <col min="48" max="48" width="4.7109375" style="68" customWidth="1" outlineLevel="1"/>
    <col min="49" max="49" width="4.7109375" customWidth="1"/>
    <col min="50" max="50" width="2.7109375" style="68" customWidth="1"/>
    <col min="51" max="51" width="2.7109375" customWidth="1"/>
    <col min="52" max="54" width="2.7109375" style="68" customWidth="1"/>
    <col min="55" max="56" width="12.42578125" style="68" customWidth="1"/>
    <col min="57" max="58" width="9" style="68" customWidth="1"/>
    <col min="59" max="67" width="8.28515625" style="68" customWidth="1"/>
    <col min="68" max="68" width="10.5703125" style="68" customWidth="1"/>
    <col min="69" max="69" width="14.7109375" style="68" bestFit="1" customWidth="1"/>
    <col min="70" max="71" width="8.5703125" style="68" customWidth="1"/>
    <col min="72" max="72" width="21.140625" style="68" customWidth="1"/>
    <col min="73" max="73" width="14.7109375" style="68" customWidth="1"/>
    <col min="74" max="75" width="8.5703125" style="68" customWidth="1"/>
    <col min="76" max="78" width="9" style="68"/>
    <col min="79" max="79" width="6.7109375" style="68" bestFit="1" customWidth="1"/>
    <col min="80" max="80" width="2.42578125" style="68" customWidth="1"/>
    <col min="81" max="16384" width="9" style="68"/>
  </cols>
  <sheetData>
    <row r="1" spans="1:81" ht="15.75">
      <c r="K1" s="68"/>
      <c r="L1" s="68"/>
      <c r="O1" s="69"/>
      <c r="Q1" s="68"/>
      <c r="U1" s="68"/>
      <c r="V1" s="68"/>
      <c r="X1" s="68"/>
      <c r="Y1" s="68"/>
      <c r="Z1" s="68"/>
      <c r="AA1" s="68"/>
      <c r="AB1" s="68"/>
      <c r="AD1" s="68"/>
      <c r="AF1" s="68"/>
      <c r="AG1" s="68"/>
      <c r="AH1" s="68"/>
      <c r="AI1" s="68"/>
      <c r="AJ1" s="68"/>
      <c r="AK1" s="68"/>
      <c r="AL1" s="68"/>
      <c r="AP1" s="68"/>
      <c r="AQ1" s="68"/>
      <c r="AR1" s="70"/>
      <c r="AS1" s="230" t="s">
        <v>499</v>
      </c>
      <c r="AW1" s="68"/>
      <c r="AY1" s="68"/>
      <c r="BQ1" s="297"/>
      <c r="BR1" s="297"/>
      <c r="BZ1" s="312" t="s">
        <v>238</v>
      </c>
      <c r="CA1" s="86">
        <f>'DCDC Ref'!J21</f>
        <v>12</v>
      </c>
      <c r="CB1" s="305"/>
      <c r="CC1" s="302" t="s">
        <v>234</v>
      </c>
    </row>
    <row r="2" spans="1:81" ht="15.75">
      <c r="K2" s="70"/>
      <c r="L2" s="70"/>
      <c r="M2" s="70"/>
      <c r="O2" s="69"/>
      <c r="Q2" s="68"/>
      <c r="U2" s="68"/>
      <c r="V2" s="68"/>
      <c r="W2" s="70"/>
      <c r="X2" s="68"/>
      <c r="Y2" s="68"/>
      <c r="Z2" s="68"/>
      <c r="AA2" s="68"/>
      <c r="AB2" s="70"/>
      <c r="AC2" s="70"/>
      <c r="AD2" s="68"/>
      <c r="AE2" s="70"/>
      <c r="AF2" s="68"/>
      <c r="AG2" s="68"/>
      <c r="AH2" s="68"/>
      <c r="AI2" s="68"/>
      <c r="AJ2" s="68"/>
      <c r="AK2" s="68"/>
      <c r="AL2" s="70"/>
      <c r="AM2" s="70"/>
      <c r="AP2" s="68"/>
      <c r="AQ2" s="68"/>
      <c r="AS2" s="68" t="s">
        <v>500</v>
      </c>
      <c r="AW2" s="68"/>
      <c r="AY2" s="68"/>
      <c r="BQ2" s="297"/>
      <c r="BR2" s="297"/>
      <c r="BZ2" s="302" t="s">
        <v>237</v>
      </c>
      <c r="CA2" s="86">
        <f>'DCDC Ref'!J22</f>
        <v>5</v>
      </c>
      <c r="CB2" s="305"/>
      <c r="CC2" s="302" t="s">
        <v>234</v>
      </c>
    </row>
    <row r="3" spans="1:81" ht="15">
      <c r="K3" s="71"/>
      <c r="L3" s="71"/>
      <c r="M3" s="72"/>
      <c r="O3" s="69"/>
      <c r="Q3" s="68"/>
      <c r="T3" s="70"/>
      <c r="U3" s="70"/>
      <c r="V3" s="68"/>
      <c r="W3" s="70"/>
      <c r="X3" s="68"/>
      <c r="Y3" s="68"/>
      <c r="Z3" s="70"/>
      <c r="AA3" s="70"/>
      <c r="AB3" s="70"/>
      <c r="AC3" s="70"/>
      <c r="AD3" s="68"/>
      <c r="AE3" s="70"/>
      <c r="AF3" s="68"/>
      <c r="AG3" s="68"/>
      <c r="AH3" s="68"/>
      <c r="AI3" s="68"/>
      <c r="AJ3" s="68"/>
      <c r="AK3" s="68"/>
      <c r="AL3" s="70"/>
      <c r="AM3" s="70"/>
      <c r="AP3" s="68"/>
      <c r="AQ3" s="68"/>
      <c r="AR3" s="70"/>
      <c r="AS3" s="230"/>
      <c r="AW3" s="68"/>
      <c r="AY3" s="68"/>
      <c r="BC3" s="68" t="s">
        <v>501</v>
      </c>
      <c r="BQ3" s="297"/>
      <c r="BR3" s="297"/>
      <c r="BZ3" s="302" t="s">
        <v>502</v>
      </c>
      <c r="CA3" s="306" t="str">
        <f>IF(CA1=CA2,"",IF(CA1&gt;CA2,"Buck","Boost"))</f>
        <v>Buck</v>
      </c>
      <c r="CB3" s="306"/>
      <c r="CC3" s="302"/>
    </row>
    <row r="4" spans="1:81" ht="15">
      <c r="K4" s="68"/>
      <c r="L4" s="68"/>
      <c r="O4" s="69"/>
      <c r="Q4" s="68"/>
      <c r="U4" s="68"/>
      <c r="V4" s="68"/>
      <c r="X4" s="68"/>
      <c r="Y4" s="68"/>
      <c r="Z4" s="68"/>
      <c r="AA4" s="68"/>
      <c r="AB4" s="68"/>
      <c r="AD4" s="68"/>
      <c r="AF4" s="70"/>
      <c r="AG4" s="68"/>
      <c r="AH4" s="68"/>
      <c r="AI4" s="68"/>
      <c r="AJ4" s="68"/>
      <c r="AK4" s="68"/>
      <c r="AL4" s="68"/>
      <c r="AP4" s="68"/>
      <c r="AQ4" s="68"/>
      <c r="AW4" s="68"/>
      <c r="AY4" s="68"/>
      <c r="BC4" s="72" t="s">
        <v>503</v>
      </c>
      <c r="BD4" s="359"/>
      <c r="BQ4" s="297"/>
      <c r="BR4" s="297"/>
      <c r="BZ4" s="302" t="s">
        <v>236</v>
      </c>
      <c r="CA4" s="86">
        <f>'DCDC Ref'!J24</f>
        <v>10</v>
      </c>
      <c r="CB4" s="300"/>
      <c r="CC4" s="302" t="s">
        <v>243</v>
      </c>
    </row>
    <row r="5" spans="1:81" ht="15.75">
      <c r="K5" s="68"/>
      <c r="L5" s="68"/>
      <c r="O5" s="69"/>
      <c r="Q5" s="68"/>
      <c r="U5" s="68"/>
      <c r="V5" s="68"/>
      <c r="X5" s="68"/>
      <c r="Y5" s="68"/>
      <c r="Z5" s="68"/>
      <c r="AA5" s="72"/>
      <c r="AB5" s="68"/>
      <c r="AD5" s="68"/>
      <c r="AF5" s="68"/>
      <c r="AG5" s="68"/>
      <c r="AH5" s="68"/>
      <c r="AI5" s="68"/>
      <c r="AJ5" s="68"/>
      <c r="AK5" s="68"/>
      <c r="AL5" s="68"/>
      <c r="AP5" s="68"/>
      <c r="AQ5" s="68"/>
      <c r="AW5" s="68"/>
      <c r="AY5" s="68"/>
      <c r="BC5" s="68" t="s">
        <v>504</v>
      </c>
      <c r="BQ5" s="297"/>
      <c r="BR5" s="297"/>
      <c r="BZ5" s="302" t="s">
        <v>239</v>
      </c>
      <c r="CA5" s="86">
        <f>'DCDC Ref'!J25</f>
        <v>2000</v>
      </c>
      <c r="CB5" s="305"/>
      <c r="CC5" s="302" t="s">
        <v>247</v>
      </c>
    </row>
    <row r="6" spans="1:81" ht="15.75">
      <c r="K6" s="68"/>
      <c r="L6" s="68"/>
      <c r="O6" s="69"/>
      <c r="Q6" s="68"/>
      <c r="U6" s="68"/>
      <c r="V6" s="68"/>
      <c r="X6" s="68"/>
      <c r="Y6" s="68"/>
      <c r="Z6" s="68"/>
      <c r="AA6" s="68"/>
      <c r="AB6" s="68"/>
      <c r="AD6" s="68"/>
      <c r="AF6" s="68"/>
      <c r="AG6" s="68"/>
      <c r="AH6" s="68"/>
      <c r="AI6" s="68"/>
      <c r="AJ6" s="68"/>
      <c r="AK6" s="68"/>
      <c r="AL6" s="68"/>
      <c r="AP6" s="68"/>
      <c r="AQ6" s="68"/>
      <c r="AW6" s="68"/>
      <c r="AY6" s="68"/>
      <c r="BC6" s="72" t="s">
        <v>505</v>
      </c>
      <c r="BO6" s="68" t="s">
        <v>506</v>
      </c>
      <c r="BP6" s="68">
        <v>5000</v>
      </c>
      <c r="BQ6" s="297"/>
      <c r="BR6" s="297"/>
      <c r="BZ6" s="302" t="s">
        <v>507</v>
      </c>
      <c r="CA6" s="86">
        <f>'DCDC Ref'!J26</f>
        <v>1</v>
      </c>
      <c r="CB6" s="305"/>
      <c r="CC6" s="302" t="s">
        <v>249</v>
      </c>
    </row>
    <row r="7" spans="1:81" ht="16.5" thickBot="1">
      <c r="B7" s="258"/>
      <c r="K7" s="68"/>
      <c r="L7" s="68"/>
      <c r="O7" s="69"/>
      <c r="Q7" s="123"/>
      <c r="U7" s="123"/>
      <c r="V7" s="123"/>
      <c r="W7" s="123"/>
      <c r="X7" s="123"/>
      <c r="Y7" s="123"/>
      <c r="Z7" s="123"/>
      <c r="AA7" s="68"/>
      <c r="AB7" s="68"/>
      <c r="AD7" s="68"/>
      <c r="AG7" s="68"/>
      <c r="AI7" s="68"/>
      <c r="AJ7" s="68"/>
      <c r="AK7"/>
      <c r="AL7" s="68"/>
      <c r="AM7" s="72"/>
      <c r="AP7" s="68"/>
      <c r="AQ7" s="68"/>
      <c r="AW7" s="68"/>
      <c r="AY7" s="68"/>
      <c r="BD7" s="68" t="s">
        <v>508</v>
      </c>
      <c r="BG7" s="68" t="s">
        <v>509</v>
      </c>
      <c r="BJ7" s="68" t="s">
        <v>508</v>
      </c>
      <c r="BO7" s="68" t="s">
        <v>510</v>
      </c>
      <c r="BP7" s="68">
        <v>5</v>
      </c>
      <c r="BQ7" s="297"/>
      <c r="BR7" s="297"/>
      <c r="BZ7" s="302" t="s">
        <v>511</v>
      </c>
      <c r="CA7" s="86">
        <f>'DCDC Ref'!J27</f>
        <v>30</v>
      </c>
      <c r="CB7" s="305"/>
      <c r="CC7" s="302" t="s">
        <v>245</v>
      </c>
    </row>
    <row r="8" spans="1:81" ht="15.75">
      <c r="B8" s="256" t="s">
        <v>512</v>
      </c>
      <c r="K8" s="68"/>
      <c r="L8" s="68"/>
      <c r="O8" s="73"/>
      <c r="P8" s="74"/>
      <c r="Q8" s="75"/>
      <c r="R8" s="76"/>
      <c r="S8" s="76"/>
      <c r="T8" s="77"/>
      <c r="U8" s="78" t="s">
        <v>513</v>
      </c>
      <c r="V8" s="76"/>
      <c r="W8" s="77"/>
      <c r="X8" s="76" t="s">
        <v>514</v>
      </c>
      <c r="Y8" s="78" t="s">
        <v>515</v>
      </c>
      <c r="Z8" s="78" t="s">
        <v>516</v>
      </c>
      <c r="AA8" s="76" t="s">
        <v>517</v>
      </c>
      <c r="AB8" s="94" t="s">
        <v>518</v>
      </c>
      <c r="AC8" s="94"/>
      <c r="AD8" s="76"/>
      <c r="AE8" s="94"/>
      <c r="AF8" s="76"/>
      <c r="AG8" s="79" t="s">
        <v>519</v>
      </c>
      <c r="AH8" s="76"/>
      <c r="AI8" s="76"/>
      <c r="AJ8" s="79"/>
      <c r="AK8" s="76"/>
      <c r="AL8" s="94"/>
      <c r="AM8" s="94" t="s">
        <v>520</v>
      </c>
      <c r="AO8" s="158" t="s">
        <v>521</v>
      </c>
      <c r="AP8" s="76"/>
      <c r="AQ8" s="76"/>
      <c r="AR8" s="77"/>
      <c r="AS8" s="70"/>
      <c r="AW8" s="68"/>
      <c r="AY8" s="68"/>
      <c r="BC8" s="386" t="s">
        <v>522</v>
      </c>
      <c r="BD8" s="68" t="s">
        <v>523</v>
      </c>
      <c r="BG8" s="68" t="s">
        <v>524</v>
      </c>
      <c r="BJ8" s="68" t="s">
        <v>525</v>
      </c>
      <c r="BQ8" s="297"/>
      <c r="BR8" s="297"/>
      <c r="BZ8" s="302" t="s">
        <v>523</v>
      </c>
      <c r="CA8" s="305">
        <f>'DCDC Ref'!J30</f>
        <v>0.63194444444444442</v>
      </c>
      <c r="CB8" s="305"/>
      <c r="CC8" s="302" t="s">
        <v>252</v>
      </c>
    </row>
    <row r="9" spans="1:81" ht="15.75" thickBot="1">
      <c r="A9" s="257"/>
      <c r="B9" s="257" t="s">
        <v>526</v>
      </c>
      <c r="K9" s="68"/>
      <c r="L9" s="68"/>
      <c r="N9" s="80"/>
      <c r="O9" s="81" t="s">
        <v>527</v>
      </c>
      <c r="P9" s="74"/>
      <c r="Q9" s="82" t="s">
        <v>528</v>
      </c>
      <c r="R9" s="83"/>
      <c r="S9" s="83"/>
      <c r="T9" s="232" t="s">
        <v>529</v>
      </c>
      <c r="U9" s="233" t="s">
        <v>530</v>
      </c>
      <c r="V9" s="85" t="s">
        <v>531</v>
      </c>
      <c r="W9" s="159" t="s">
        <v>532</v>
      </c>
      <c r="X9" s="69" t="s">
        <v>533</v>
      </c>
      <c r="Y9" s="233" t="s">
        <v>534</v>
      </c>
      <c r="Z9" s="233" t="s">
        <v>535</v>
      </c>
      <c r="AA9" s="80" t="s">
        <v>535</v>
      </c>
      <c r="AB9" s="70"/>
      <c r="AC9" s="70"/>
      <c r="AD9" s="83"/>
      <c r="AE9" s="70"/>
      <c r="AF9" s="83"/>
      <c r="AG9" s="83"/>
      <c r="AH9" s="83"/>
      <c r="AI9" s="83"/>
      <c r="AJ9" s="83"/>
      <c r="AK9" s="83"/>
      <c r="AL9" s="70"/>
      <c r="AM9" s="70"/>
      <c r="AO9" s="83" t="s">
        <v>528</v>
      </c>
      <c r="AP9" s="83"/>
      <c r="AQ9" s="83" t="s">
        <v>529</v>
      </c>
      <c r="AR9" s="84" t="s">
        <v>536</v>
      </c>
      <c r="AW9" s="68"/>
      <c r="AY9" s="68"/>
      <c r="BB9" s="257"/>
      <c r="BC9" s="257" t="s">
        <v>526</v>
      </c>
      <c r="BD9" s="68" t="s">
        <v>537</v>
      </c>
      <c r="BG9" s="68" t="s">
        <v>538</v>
      </c>
      <c r="BJ9" s="68" t="s">
        <v>539</v>
      </c>
      <c r="BQ9" s="384"/>
      <c r="BR9" s="297"/>
    </row>
    <row r="10" spans="1:81" s="86" customFormat="1" ht="36">
      <c r="A10" s="108" t="s">
        <v>540</v>
      </c>
      <c r="B10" s="108" t="s">
        <v>541</v>
      </c>
      <c r="C10" s="260" t="s">
        <v>542</v>
      </c>
      <c r="D10" s="108" t="s">
        <v>543</v>
      </c>
      <c r="E10" s="53" t="s">
        <v>544</v>
      </c>
      <c r="F10" s="53" t="s">
        <v>16</v>
      </c>
      <c r="G10" s="53" t="s">
        <v>545</v>
      </c>
      <c r="H10" s="53" t="s">
        <v>546</v>
      </c>
      <c r="I10" s="153" t="s">
        <v>227</v>
      </c>
      <c r="J10" s="53" t="s">
        <v>547</v>
      </c>
      <c r="K10" s="53" t="s">
        <v>19</v>
      </c>
      <c r="L10" s="53" t="s">
        <v>548</v>
      </c>
      <c r="M10" s="53" t="s">
        <v>549</v>
      </c>
      <c r="N10" s="55" t="s">
        <v>151</v>
      </c>
      <c r="O10" s="32" t="s">
        <v>17</v>
      </c>
      <c r="P10" s="56" t="s">
        <v>550</v>
      </c>
      <c r="Q10" s="31" t="s">
        <v>140</v>
      </c>
      <c r="R10" s="54" t="s">
        <v>551</v>
      </c>
      <c r="S10" s="31" t="s">
        <v>552</v>
      </c>
      <c r="T10" s="32" t="s">
        <v>141</v>
      </c>
      <c r="U10" s="32" t="s">
        <v>146</v>
      </c>
      <c r="V10" s="57" t="s">
        <v>147</v>
      </c>
      <c r="W10" s="57" t="s">
        <v>553</v>
      </c>
      <c r="X10" s="31" t="s">
        <v>554</v>
      </c>
      <c r="Y10" s="31" t="s">
        <v>555</v>
      </c>
      <c r="Z10" s="234" t="s">
        <v>556</v>
      </c>
      <c r="AA10" s="235" t="s">
        <v>557</v>
      </c>
      <c r="AB10" s="142" t="s">
        <v>558</v>
      </c>
      <c r="AC10" s="142" t="s">
        <v>559</v>
      </c>
      <c r="AD10" s="152" t="s">
        <v>149</v>
      </c>
      <c r="AE10" s="142" t="s">
        <v>560</v>
      </c>
      <c r="AF10" s="32" t="s">
        <v>148</v>
      </c>
      <c r="AG10" s="32" t="s">
        <v>561</v>
      </c>
      <c r="AH10" s="157" t="s">
        <v>562</v>
      </c>
      <c r="AI10" s="152" t="s">
        <v>563</v>
      </c>
      <c r="AJ10" s="152" t="s">
        <v>564</v>
      </c>
      <c r="AK10" s="32" t="s">
        <v>150</v>
      </c>
      <c r="AL10" s="142" t="s">
        <v>565</v>
      </c>
      <c r="AM10" s="142" t="s">
        <v>520</v>
      </c>
      <c r="AN10" s="36" t="s">
        <v>566</v>
      </c>
      <c r="AO10" s="31" t="s">
        <v>152</v>
      </c>
      <c r="AP10" s="31" t="s">
        <v>567</v>
      </c>
      <c r="AQ10" s="32" t="s">
        <v>568</v>
      </c>
      <c r="AR10" s="32" t="s">
        <v>569</v>
      </c>
      <c r="AS10" s="36" t="s">
        <v>20</v>
      </c>
      <c r="AT10" s="36" t="s">
        <v>570</v>
      </c>
      <c r="AU10" s="36" t="s">
        <v>571</v>
      </c>
      <c r="AV10" s="36" t="s">
        <v>572</v>
      </c>
      <c r="AW10" s="36" t="s">
        <v>573</v>
      </c>
      <c r="BC10" s="257" t="s">
        <v>574</v>
      </c>
      <c r="BD10" s="257" t="s">
        <v>575</v>
      </c>
      <c r="BE10" s="257" t="s">
        <v>576</v>
      </c>
      <c r="BF10" s="257"/>
      <c r="BG10" s="257" t="s">
        <v>577</v>
      </c>
      <c r="BH10" s="257" t="s">
        <v>578</v>
      </c>
      <c r="BI10" s="257"/>
      <c r="BJ10" s="257" t="s">
        <v>577</v>
      </c>
      <c r="BK10" s="257" t="s">
        <v>578</v>
      </c>
      <c r="BL10" s="257"/>
      <c r="BM10" s="257"/>
      <c r="BN10" s="257"/>
      <c r="BO10" s="257"/>
      <c r="BP10" s="257"/>
      <c r="BQ10" s="356" t="s">
        <v>579</v>
      </c>
      <c r="BR10" s="357" t="s">
        <v>580</v>
      </c>
      <c r="BS10" s="358" t="s">
        <v>581</v>
      </c>
      <c r="BT10" s="68" t="s">
        <v>582</v>
      </c>
      <c r="BU10" s="68" t="s">
        <v>583</v>
      </c>
      <c r="BV10" s="68"/>
      <c r="BW10" s="68"/>
      <c r="BX10" s="68"/>
      <c r="BY10" s="68"/>
    </row>
    <row r="11" spans="1:81" ht="15">
      <c r="A11" s="95">
        <v>37</v>
      </c>
      <c r="B11" s="259" t="s">
        <v>584</v>
      </c>
      <c r="C11" s="95"/>
      <c r="D11" s="95" t="s">
        <v>585</v>
      </c>
      <c r="E11" s="109"/>
      <c r="F11" s="68" t="s">
        <v>153</v>
      </c>
      <c r="G11" s="69" t="s">
        <v>586</v>
      </c>
      <c r="H11" s="68" t="s">
        <v>587</v>
      </c>
      <c r="I11" s="69" t="s">
        <v>588</v>
      </c>
      <c r="J11" s="68" t="s">
        <v>589</v>
      </c>
      <c r="K11" s="68" t="s">
        <v>590</v>
      </c>
      <c r="L11" s="68" t="s">
        <v>591</v>
      </c>
      <c r="M11" s="68" t="s">
        <v>592</v>
      </c>
      <c r="N11" s="68" t="s">
        <v>593</v>
      </c>
      <c r="O11" s="34" t="s">
        <v>24</v>
      </c>
      <c r="P11" s="37" t="str">
        <f>MID(All_PCC_a[[#This Row],[Part Number]],7,3)</f>
        <v>R33</v>
      </c>
      <c r="Q11" s="87">
        <v>0.33</v>
      </c>
      <c r="R11" s="87" t="str">
        <f>IF(All_PCC_a[[#This Row],[Lo (uH)]]&lt;1,"&lt;1",IF(All_PCC_a[[#This Row],[Lo (uH)]]&lt;10,"&lt;10",IF(All_PCC_a[[#This Row],[Lo (uH)]]&lt;100,"&lt;100",IF(All_PCC_a[[#This Row],[Lo (uH)]]&lt;2000,"&lt;2000",""))))</f>
        <v>&lt;1</v>
      </c>
      <c r="S11" s="87" t="str">
        <f>IFERROR(VLOOKUP(All_PCC_a[[#This Row],[Lo (uH)]],Utility!$D$5:$E$43,2,1),"-")</f>
        <v>≤    0.4</v>
      </c>
      <c r="T11" s="88">
        <v>0.2</v>
      </c>
      <c r="U11" s="126">
        <v>1.1000000000000001</v>
      </c>
      <c r="V11" s="126">
        <v>1.21</v>
      </c>
      <c r="W11" s="87">
        <v>10</v>
      </c>
      <c r="X11" s="87">
        <v>39.700000000000003</v>
      </c>
      <c r="Y11" s="87">
        <v>33.200000000000003</v>
      </c>
      <c r="Z11" s="117">
        <v>56.7</v>
      </c>
      <c r="AA11" s="87">
        <v>42.63</v>
      </c>
      <c r="AB11" s="68">
        <v>10.9</v>
      </c>
      <c r="AC11" s="68">
        <v>10</v>
      </c>
      <c r="AD11" s="87">
        <v>5</v>
      </c>
      <c r="AE11" s="68">
        <f>ROUND(All_PCC_a[[#This Row],[L (mm)]]*All_PCC_a[[#This Row],[W (mm)]],1)</f>
        <v>109</v>
      </c>
      <c r="AF11" s="87" t="str">
        <f>All_PCC_a[[#This Row],[L (mm)]]&amp;"  x  "&amp;All_PCC_a[[#This Row],[W (mm)]]</f>
        <v>10.9  x  10</v>
      </c>
      <c r="AG11" s="91" t="s">
        <v>324</v>
      </c>
      <c r="AH11" s="97" t="str">
        <f>IF(All_PCC_a[[#This Row],[Max Height (mm)]]&lt;=9,"≤ "&amp;ROUNDUP(AD11,0),"≤"&amp;ROUNDUP(AD11,0))</f>
        <v>≤ 5</v>
      </c>
      <c r="AI11" s="68">
        <v>-40</v>
      </c>
      <c r="AJ11" s="68">
        <v>150</v>
      </c>
      <c r="AK11" s="68" t="str">
        <f>All_PCC_a[[#This Row],[Min Temp (deg.C)]]&amp;" to +"&amp;All_PCC_a[[#This Row],[Max Temp (deg.C)]]</f>
        <v>-40 to +150</v>
      </c>
      <c r="AL11" s="68"/>
      <c r="AO11" s="87" t="s">
        <v>138</v>
      </c>
      <c r="AP11" s="97" t="str">
        <f>IFERROR(IF(L1Round&gt;1,ROUND(L1Round,1),L1Round),"-")</f>
        <v>-</v>
      </c>
      <c r="AQ11" s="87" t="s">
        <v>138</v>
      </c>
      <c r="AR11" s="87" t="s">
        <v>138</v>
      </c>
      <c r="AS11" s="68" t="s">
        <v>878</v>
      </c>
      <c r="AT11" s="96" t="s">
        <v>594</v>
      </c>
      <c r="AU11" s="95" t="e" vm="7">
        <f>_xlfn.IMAGE(All_PCC_a[[#This Row],[Image URL]])</f>
        <v>#VALUE!</v>
      </c>
      <c r="AV11" s="95"/>
      <c r="AW11" s="95"/>
      <c r="AX11" s="96"/>
      <c r="AY11" s="96"/>
      <c r="AZ11" s="96" t="str">
        <f>IF(AY11=1,COUNTIF($AY$11:AY11,1),"")</f>
        <v/>
      </c>
      <c r="BA11" s="96"/>
      <c r="BB11" s="96"/>
      <c r="BC11" s="96">
        <f>IF(Z11&lt;('DCDC Ref'!$J$24/'DCDC Ref'!$J$26)*'DCDC Ref'!$J$28/100,0,1)</f>
        <v>1</v>
      </c>
      <c r="BD11" s="360">
        <f>IF(BC11=1000000000,"",('All Data'!Q11-'DCDC Ref'!$J$30)/'DCDC Ref'!$J$30*100)</f>
        <v>-47.780219780219774</v>
      </c>
      <c r="BE11" s="295">
        <f>ABS(BD11)</f>
        <v>47.780219780219774</v>
      </c>
      <c r="BF11" s="295"/>
      <c r="BG11" s="360"/>
      <c r="BH11" s="361">
        <f t="shared" ref="BH11" si="0">IF(BG11&lt;0,10000,BG11)</f>
        <v>0</v>
      </c>
      <c r="BI11" s="295"/>
      <c r="BJ11" s="96">
        <f>IF(BC11=0,"",('All Data'!Z11-'DCDC Ref'!$J$28*('DCDC Ref'!$J$29/100))/'DCDC Ref'!$J$28*('DCDC Ref'!$J$29/100)*100)</f>
        <v>408.34482758620692</v>
      </c>
      <c r="BK11" s="361">
        <f t="shared" ref="BK11" si="1">IF(BJ11&lt;0,10000,BJ11)</f>
        <v>408.34482758620692</v>
      </c>
      <c r="BL11" s="361"/>
      <c r="BM11" s="361"/>
      <c r="BN11" s="361"/>
      <c r="BO11" s="361"/>
      <c r="BP11" s="96"/>
      <c r="BQ11" s="298">
        <f>IFERROR(BE11*$BP$6+BK11*$BP$7,"")</f>
        <v>240942.8230390299</v>
      </c>
      <c r="BR11" s="298">
        <f>IF(BQ11="","",RANK(BQ11,BQ$11:BQ$9930,1)+COUNTIF(BQ$11:BQ11,BQ11)-1)</f>
        <v>16</v>
      </c>
      <c r="BS11" s="299">
        <f t="shared" ref="BS11:BS42" si="2">RANK(BR11,BR$11:BR$9930,1)</f>
        <v>16</v>
      </c>
      <c r="BT11" s="96" t="str">
        <f>IFERROR(INDEX($O$11:$O$1013,MATCH(ROWS($BS$11:BS11),$BS$11:$BS$1005,0)),"")</f>
        <v>ETQP3MR68KVP</v>
      </c>
      <c r="BU11" s="299" t="str">
        <f>IF(BT11&lt;&gt;"",BT11,"")</f>
        <v>ETQP3MR68KVP</v>
      </c>
      <c r="BV11" s="96"/>
    </row>
    <row r="12" spans="1:81" ht="15">
      <c r="A12" s="95">
        <v>45</v>
      </c>
      <c r="B12" s="259" t="s">
        <v>584</v>
      </c>
      <c r="C12" s="95" t="s">
        <v>595</v>
      </c>
      <c r="D12" s="95" t="s">
        <v>585</v>
      </c>
      <c r="E12" s="109"/>
      <c r="F12" s="68" t="s">
        <v>153</v>
      </c>
      <c r="G12" s="69" t="s">
        <v>586</v>
      </c>
      <c r="H12" s="68" t="s">
        <v>587</v>
      </c>
      <c r="I12" s="69" t="s">
        <v>588</v>
      </c>
      <c r="J12" s="68" t="s">
        <v>589</v>
      </c>
      <c r="K12" s="68" t="s">
        <v>596</v>
      </c>
      <c r="L12" s="68" t="s">
        <v>597</v>
      </c>
      <c r="M12" s="68" t="s">
        <v>598</v>
      </c>
      <c r="N12" s="68" t="s">
        <v>593</v>
      </c>
      <c r="O12" s="34" t="s">
        <v>599</v>
      </c>
      <c r="P12" s="37" t="str">
        <f>MID(All_PCC_a[[#This Row],[Part Number]],7,3)</f>
        <v>R33</v>
      </c>
      <c r="Q12" s="87">
        <v>0.33</v>
      </c>
      <c r="R12" s="87" t="str">
        <f>IF(All_PCC_a[[#This Row],[Lo (uH)]]&lt;1,"&lt;1",IF(All_PCC_a[[#This Row],[Lo (uH)]]&lt;10,"&lt;10",IF(All_PCC_a[[#This Row],[Lo (uH)]]&lt;100,"&lt;100",IF(All_PCC_a[[#This Row],[Lo (uH)]]&lt;2000,"&lt;2000",""))))</f>
        <v>&lt;1</v>
      </c>
      <c r="S12" s="87" t="str">
        <f>IFERROR(VLOOKUP(All_PCC_a[[#This Row],[Lo (uH)]],Utility!$D$5:$E$43,2,1),"-")</f>
        <v>≤    0.4</v>
      </c>
      <c r="T12" s="88">
        <v>0.2</v>
      </c>
      <c r="U12" s="126">
        <v>0.7</v>
      </c>
      <c r="V12" s="126">
        <v>0.77</v>
      </c>
      <c r="W12" s="87">
        <v>10</v>
      </c>
      <c r="X12" s="87">
        <v>53.5</v>
      </c>
      <c r="Y12" s="87">
        <v>44.4</v>
      </c>
      <c r="Z12" s="117">
        <v>84.5</v>
      </c>
      <c r="AA12" s="87">
        <f>ROUND(55.8461538461538,2)</f>
        <v>55.85</v>
      </c>
      <c r="AB12" s="68">
        <v>12.6</v>
      </c>
      <c r="AC12" s="68">
        <v>13.2</v>
      </c>
      <c r="AD12" s="87">
        <v>8</v>
      </c>
      <c r="AE12" s="68">
        <f>ROUND(All_PCC_a[[#This Row],[L (mm)]]*All_PCC_a[[#This Row],[W (mm)]],1)</f>
        <v>166.3</v>
      </c>
      <c r="AF12" s="87" t="str">
        <f>All_PCC_a[[#This Row],[L (mm)]]&amp;"  x  "&amp;All_PCC_a[[#This Row],[W (mm)]]</f>
        <v>12.6  x  13.2</v>
      </c>
      <c r="AG12" s="91" t="s">
        <v>341</v>
      </c>
      <c r="AH12" s="97" t="str">
        <f>IF(All_PCC_a[[#This Row],[Max Height (mm)]]&lt;=9,"≤ "&amp;ROUNDUP(AD12,0),"≤"&amp;ROUNDUP(AD12,0))</f>
        <v>≤ 8</v>
      </c>
      <c r="AI12" s="68">
        <v>-40</v>
      </c>
      <c r="AJ12" s="68">
        <v>160</v>
      </c>
      <c r="AK12" s="68" t="str">
        <f>All_PCC_a[[#This Row],[Min Temp (deg.C)]]&amp;" to +"&amp;All_PCC_a[[#This Row],[Max Temp (deg.C)]]</f>
        <v>-40 to +160</v>
      </c>
      <c r="AL12" s="68"/>
      <c r="AN12" s="68" t="s">
        <v>600</v>
      </c>
      <c r="AO12" s="87" t="s">
        <v>138</v>
      </c>
      <c r="AP12" s="97" t="str">
        <f>IFERROR(IF(L1Round&gt;1,ROUND(L1Round,1),L1Round),"-")</f>
        <v>-</v>
      </c>
      <c r="AQ12" s="87" t="s">
        <v>138</v>
      </c>
      <c r="AR12" s="87" t="s">
        <v>138</v>
      </c>
      <c r="AS12" s="68" t="s">
        <v>879</v>
      </c>
      <c r="AT12" s="68" t="s">
        <v>619</v>
      </c>
      <c r="AU12" s="68" t="e" vm="8">
        <f>_xlfn.IMAGE(All_PCC_a[[#This Row],[Image URL]])</f>
        <v>#VALUE!</v>
      </c>
      <c r="AW12" s="68"/>
      <c r="AX12" s="96"/>
      <c r="AY12" s="96"/>
      <c r="AZ12" s="96" t="str">
        <f>IF(AY12=1,COUNTIF($AY$11:AY12,1),"")</f>
        <v/>
      </c>
      <c r="BA12" s="96"/>
      <c r="BB12" s="96"/>
      <c r="BC12" s="96">
        <f>IF(Z12&lt;('DCDC Ref'!$J$24/'DCDC Ref'!$J$26)*'DCDC Ref'!$J$28/100,0,1)</f>
        <v>1</v>
      </c>
      <c r="BD12" s="360">
        <f>IF(BC12=1000000000,"",('All Data'!Q12-'DCDC Ref'!$J$30)/'DCDC Ref'!$J$30*100)</f>
        <v>-47.780219780219774</v>
      </c>
      <c r="BE12" s="295">
        <f t="shared" ref="BE12:BE75" si="3">ABS(BD12)</f>
        <v>47.780219780219774</v>
      </c>
      <c r="BF12" s="295"/>
      <c r="BG12" s="360"/>
      <c r="BH12" s="361">
        <f t="shared" ref="BH12:BH75" si="4">IF(BG12&lt;0,10000,BG12)</f>
        <v>0</v>
      </c>
      <c r="BI12" s="295"/>
      <c r="BJ12" s="96">
        <f>IF(BC12=0,"",('All Data'!Z12-'DCDC Ref'!$J$28*('DCDC Ref'!$J$29/100))/'DCDC Ref'!$J$28*('DCDC Ref'!$J$29/100)*100)</f>
        <v>657.58620689655163</v>
      </c>
      <c r="BK12" s="361">
        <f t="shared" ref="BK12:BK75" si="5">IF(BJ12&lt;0,10000,BJ12)</f>
        <v>657.58620689655163</v>
      </c>
      <c r="BL12" s="361"/>
      <c r="BM12" s="361"/>
      <c r="BN12" s="361"/>
      <c r="BO12" s="361"/>
      <c r="BP12" s="96"/>
      <c r="BQ12" s="298">
        <f t="shared" ref="BQ12:BQ75" si="6">IFERROR(BE12*$BP$6+BK12*$BP$7,"")</f>
        <v>242189.02993558161</v>
      </c>
      <c r="BR12" s="298">
        <f>IF(BQ12="","",RANK(BQ12,BQ$11:BQ$9930,1)+COUNTIF(BQ$11:BQ12,BQ12)-1)</f>
        <v>17</v>
      </c>
      <c r="BS12" s="299">
        <f t="shared" si="2"/>
        <v>17</v>
      </c>
      <c r="BT12" s="96" t="str">
        <f>IFERROR(INDEX($O$11:$O$1013,MATCH(ROWS($BS$11:BS12),$BS$11:$BS$1005,0)),"")</f>
        <v>ETQP3MR68KVN</v>
      </c>
      <c r="BU12" s="299" t="str">
        <f t="shared" ref="BU12:BU75" si="7">IF(BT12&lt;&gt;"",BT12,"")</f>
        <v>ETQP3MR68KVN</v>
      </c>
      <c r="BV12" s="96"/>
    </row>
    <row r="13" spans="1:81">
      <c r="A13" s="95">
        <v>106</v>
      </c>
      <c r="B13" s="259" t="s">
        <v>584</v>
      </c>
      <c r="C13" s="95"/>
      <c r="D13" s="95" t="s">
        <v>585</v>
      </c>
      <c r="E13" s="110"/>
      <c r="F13" s="68" t="s">
        <v>153</v>
      </c>
      <c r="G13" s="69" t="s">
        <v>586</v>
      </c>
      <c r="H13" s="68" t="s">
        <v>587</v>
      </c>
      <c r="I13" s="69" t="s">
        <v>588</v>
      </c>
      <c r="J13" s="68" t="s">
        <v>589</v>
      </c>
      <c r="K13" s="95" t="s">
        <v>601</v>
      </c>
      <c r="L13" s="68" t="s">
        <v>602</v>
      </c>
      <c r="M13" s="95" t="s">
        <v>603</v>
      </c>
      <c r="N13" s="95" t="s">
        <v>593</v>
      </c>
      <c r="O13" s="34" t="s">
        <v>604</v>
      </c>
      <c r="P13" s="37" t="str">
        <f>MID(All_PCC_a[[#This Row],[Part Number]],7,3)</f>
        <v>R33</v>
      </c>
      <c r="Q13" s="129">
        <v>0.33</v>
      </c>
      <c r="R13" s="87" t="str">
        <f>IF(All_PCC_a[[#This Row],[Lo (uH)]]&lt;1,"&lt;1",IF(All_PCC_a[[#This Row],[Lo (uH)]]&lt;10,"&lt;10",IF(All_PCC_a[[#This Row],[Lo (uH)]]&lt;100,"&lt;100",IF(All_PCC_a[[#This Row],[Lo (uH)]]&lt;2000,"&lt;2000",""))))</f>
        <v>&lt;1</v>
      </c>
      <c r="S13" s="87" t="str">
        <f>IFERROR(VLOOKUP(All_PCC_a[[#This Row],[Lo (uH)]],Utility!$D$5:$E$43,2,1),"-")</f>
        <v>≤    0.4</v>
      </c>
      <c r="T13" s="88">
        <v>0.2</v>
      </c>
      <c r="U13" s="131">
        <v>4.8499999999999996</v>
      </c>
      <c r="V13" s="125">
        <v>5.34</v>
      </c>
      <c r="W13" s="87">
        <v>10</v>
      </c>
      <c r="X13" s="130">
        <v>12.7</v>
      </c>
      <c r="Y13" s="129">
        <v>10.6</v>
      </c>
      <c r="Z13" s="117">
        <v>21.8</v>
      </c>
      <c r="AA13" s="87">
        <v>14.5</v>
      </c>
      <c r="AB13" s="95">
        <v>5.5</v>
      </c>
      <c r="AC13" s="95">
        <v>5</v>
      </c>
      <c r="AD13" s="129">
        <v>3</v>
      </c>
      <c r="AE13" s="95">
        <f>ROUND(All_PCC_a[[#This Row],[L (mm)]]*All_PCC_a[[#This Row],[W (mm)]],1)</f>
        <v>27.5</v>
      </c>
      <c r="AF13" s="87" t="str">
        <f>All_PCC_a[[#This Row],[L (mm)]]&amp;"  x  "&amp;All_PCC_a[[#This Row],[W (mm)]]</f>
        <v>5.5  x  5</v>
      </c>
      <c r="AG13" s="91" t="s">
        <v>605</v>
      </c>
      <c r="AH13" s="97" t="str">
        <f>IF(All_PCC_a[[#This Row],[Max Height (mm)]]&lt;=9,"≤ "&amp;ROUNDUP(AD13,0),"≤"&amp;ROUNDUP(AD13,0))</f>
        <v>≤ 3</v>
      </c>
      <c r="AI13" s="95">
        <v>-55</v>
      </c>
      <c r="AJ13" s="95">
        <v>155</v>
      </c>
      <c r="AK13" s="68" t="str">
        <f>All_PCC_a[[#This Row],[Min Temp (deg.C)]]&amp;" to +"&amp;All_PCC_a[[#This Row],[Max Temp (deg.C)]]</f>
        <v>-55 to +155</v>
      </c>
      <c r="AL13" s="95"/>
      <c r="AM13" s="95"/>
      <c r="AN13" s="95"/>
      <c r="AO13" s="87" t="s">
        <v>138</v>
      </c>
      <c r="AP13" s="130" t="str">
        <f>IFERROR(IF(L1Round&gt;1,ROUND(L1Round,1),L1Round),"-")</f>
        <v>-</v>
      </c>
      <c r="AQ13" s="87" t="s">
        <v>138</v>
      </c>
      <c r="AR13" s="87" t="s">
        <v>138</v>
      </c>
      <c r="AS13" s="68" t="s">
        <v>880</v>
      </c>
      <c r="AT13" s="95" t="s">
        <v>606</v>
      </c>
      <c r="AU13" s="95" t="e" vm="9">
        <f>_xlfn.IMAGE(All_PCC_a[[#This Row],[Image URL]])</f>
        <v>#VALUE!</v>
      </c>
      <c r="AV13" s="95"/>
      <c r="AW13" s="95"/>
      <c r="AY13" s="68"/>
      <c r="BC13" s="96">
        <f>IF(Z13&lt;('DCDC Ref'!$J$24/'DCDC Ref'!$J$26)*'DCDC Ref'!$J$28/100,0,1)</f>
        <v>1</v>
      </c>
      <c r="BD13" s="360">
        <f>IF(BC13=1000000000,"",('All Data'!Q13-'DCDC Ref'!$J$30)/'DCDC Ref'!$J$30*100)</f>
        <v>-47.780219780219774</v>
      </c>
      <c r="BE13" s="295">
        <f t="shared" si="3"/>
        <v>47.780219780219774</v>
      </c>
      <c r="BF13" s="295"/>
      <c r="BG13" s="360"/>
      <c r="BH13" s="361">
        <f t="shared" si="4"/>
        <v>0</v>
      </c>
      <c r="BI13" s="295"/>
      <c r="BJ13" s="96">
        <f>IF(BC13=0,"",('All Data'!Z13-'DCDC Ref'!$J$28*('DCDC Ref'!$J$29/100))/'DCDC Ref'!$J$28*('DCDC Ref'!$J$29/100)*100)</f>
        <v>95.448275862068954</v>
      </c>
      <c r="BK13" s="361">
        <f t="shared" si="5"/>
        <v>95.448275862068954</v>
      </c>
      <c r="BL13" s="361"/>
      <c r="BM13" s="361"/>
      <c r="BN13" s="361"/>
      <c r="BO13" s="361"/>
      <c r="BP13" s="96"/>
      <c r="BQ13" s="298">
        <f t="shared" si="6"/>
        <v>239378.3402804092</v>
      </c>
      <c r="BR13" s="298">
        <f>IF(BQ13="","",RANK(BQ13,BQ$11:BQ$9930,1)+COUNTIF(BQ$11:BQ13,BQ13)-1)</f>
        <v>14</v>
      </c>
      <c r="BS13" s="299">
        <f t="shared" si="2"/>
        <v>14</v>
      </c>
      <c r="BT13" s="96" t="str">
        <f>IFERROR(INDEX($O$11:$O$1013,MATCH(ROWS($BS$11:BS13),$BS$11:$BS$1005,0)),"")</f>
        <v>ETQP3MR68YFN</v>
      </c>
      <c r="BU13" s="299" t="str">
        <f t="shared" si="7"/>
        <v>ETQP3MR68YFN</v>
      </c>
      <c r="BV13" s="96"/>
    </row>
    <row r="14" spans="1:81">
      <c r="A14" s="95">
        <v>116</v>
      </c>
      <c r="B14" s="259" t="s">
        <v>584</v>
      </c>
      <c r="C14" s="286">
        <v>44677</v>
      </c>
      <c r="D14" s="95" t="s">
        <v>585</v>
      </c>
      <c r="E14" s="231"/>
      <c r="F14" s="95" t="s">
        <v>153</v>
      </c>
      <c r="G14" s="231" t="s">
        <v>586</v>
      </c>
      <c r="H14" s="95" t="s">
        <v>587</v>
      </c>
      <c r="I14" s="231" t="s">
        <v>588</v>
      </c>
      <c r="J14" s="95" t="s">
        <v>589</v>
      </c>
      <c r="K14" s="95" t="s">
        <v>607</v>
      </c>
      <c r="L14" s="95" t="s">
        <v>602</v>
      </c>
      <c r="M14" s="95" t="s">
        <v>608</v>
      </c>
      <c r="N14" s="95" t="s">
        <v>593</v>
      </c>
      <c r="O14" s="34" t="s">
        <v>609</v>
      </c>
      <c r="P14" s="37" t="str">
        <f>MID(All_PCC_a[[#This Row],[Part Number]],7,3)</f>
        <v>R47</v>
      </c>
      <c r="Q14" s="129">
        <v>0.47</v>
      </c>
      <c r="R14" s="130" t="str">
        <f>IF(All_PCC_a[[#This Row],[Lo (uH)]]&lt;1,"&lt;1",IF(All_PCC_a[[#This Row],[Lo (uH)]]&lt;10,"&lt;10",IF(All_PCC_a[[#This Row],[Lo (uH)]]&lt;100,"&lt;100",IF(All_PCC_a[[#This Row],[Lo (uH)]]&lt;2000,"&lt;2000",""))))</f>
        <v>&lt;1</v>
      </c>
      <c r="S14" s="97" t="str">
        <f>IFERROR(VLOOKUP(All_PCC_a[[#This Row],[Lo (uH)]],Utility!$D$5:$E$43,2,1),"-")</f>
        <v>≤    0.5</v>
      </c>
      <c r="T14" s="250">
        <v>0.2</v>
      </c>
      <c r="U14" s="131">
        <v>5.8</v>
      </c>
      <c r="V14" s="125">
        <v>6.38</v>
      </c>
      <c r="W14" s="97">
        <v>10</v>
      </c>
      <c r="X14" s="130">
        <v>11.6</v>
      </c>
      <c r="Y14" s="129">
        <v>9.6</v>
      </c>
      <c r="Z14" s="251">
        <v>17.899999999999999</v>
      </c>
      <c r="AA14" s="129">
        <v>12.9</v>
      </c>
      <c r="AB14" s="95">
        <v>5.5</v>
      </c>
      <c r="AC14" s="95">
        <v>5</v>
      </c>
      <c r="AD14" s="129">
        <v>3</v>
      </c>
      <c r="AE14" s="95">
        <f>ROUND(All_PCC_a[[#This Row],[L (mm)]]*All_PCC_a[[#This Row],[W (mm)]],1)</f>
        <v>27.5</v>
      </c>
      <c r="AF14" s="87" t="str">
        <f>All_PCC_a[[#This Row],[L (mm)]]&amp;"  x  "&amp;All_PCC_a[[#This Row],[W (mm)]]</f>
        <v>5.5  x  5</v>
      </c>
      <c r="AG14" s="91" t="s">
        <v>605</v>
      </c>
      <c r="AH14" s="97" t="str">
        <f>IF(All_PCC_a[[#This Row],[Max Height (mm)]]&lt;=9,"≤ "&amp;ROUNDUP(AD14,0),"≤"&amp;ROUNDUP(AD14,0))</f>
        <v>≤ 3</v>
      </c>
      <c r="AI14" s="95">
        <v>-55</v>
      </c>
      <c r="AJ14" s="95">
        <v>155</v>
      </c>
      <c r="AK14" s="68" t="str">
        <f>All_PCC_a[[#This Row],[Min Temp (deg.C)]]&amp;" to +"&amp;All_PCC_a[[#This Row],[Max Temp (deg.C)]]</f>
        <v>-55 to +155</v>
      </c>
      <c r="AL14" s="95"/>
      <c r="AM14" s="95"/>
      <c r="AN14" s="95"/>
      <c r="AO14" s="87" t="s">
        <v>124</v>
      </c>
      <c r="AP14" s="130" t="s">
        <v>124</v>
      </c>
      <c r="AQ14" s="87" t="s">
        <v>124</v>
      </c>
      <c r="AR14" s="87" t="s">
        <v>124</v>
      </c>
      <c r="AS14" s="95" t="s">
        <v>881</v>
      </c>
      <c r="AT14" s="95" t="s">
        <v>606</v>
      </c>
      <c r="AU14" s="95" t="e" vm="9">
        <f>_xlfn.IMAGE(All_PCC_a[[#This Row],[Image URL]])</f>
        <v>#VALUE!</v>
      </c>
      <c r="AV14" s="95"/>
      <c r="AW14" s="95"/>
      <c r="AX14" s="96"/>
      <c r="AY14" s="96"/>
      <c r="AZ14" s="96" t="str">
        <f>IF(AY14=1,COUNTIF($AY$11:AY14,1),"")</f>
        <v/>
      </c>
      <c r="BA14" s="96"/>
      <c r="BB14" s="96"/>
      <c r="BC14" s="96">
        <f>IF(Z14&lt;('DCDC Ref'!$J$24/'DCDC Ref'!$J$26)*'DCDC Ref'!$J$28/100,0,1)</f>
        <v>1</v>
      </c>
      <c r="BD14" s="360">
        <f>IF(BC14=1000000000,"",('All Data'!Q14-'DCDC Ref'!$J$30)/'DCDC Ref'!$J$30*100)</f>
        <v>-25.626373626373628</v>
      </c>
      <c r="BE14" s="295">
        <f t="shared" si="3"/>
        <v>25.626373626373628</v>
      </c>
      <c r="BF14" s="295"/>
      <c r="BG14" s="360"/>
      <c r="BH14" s="361">
        <f t="shared" si="4"/>
        <v>0</v>
      </c>
      <c r="BI14" s="295"/>
      <c r="BJ14" s="96">
        <f>IF(BC14=0,"",('All Data'!Z14-'DCDC Ref'!$J$28*('DCDC Ref'!$J$29/100))/'DCDC Ref'!$J$28*('DCDC Ref'!$J$29/100)*100)</f>
        <v>60.482758620689623</v>
      </c>
      <c r="BK14" s="361">
        <f t="shared" si="5"/>
        <v>60.482758620689623</v>
      </c>
      <c r="BL14" s="361"/>
      <c r="BM14" s="361"/>
      <c r="BN14" s="361"/>
      <c r="BO14" s="361"/>
      <c r="BP14" s="96"/>
      <c r="BQ14" s="298">
        <f t="shared" si="6"/>
        <v>128434.28192497158</v>
      </c>
      <c r="BR14" s="298">
        <f>IF(BQ14="","",RANK(BQ14,BQ$11:BQ$9930,1)+COUNTIF(BQ$11:BQ14,BQ14)-1)</f>
        <v>9</v>
      </c>
      <c r="BS14" s="299">
        <f t="shared" si="2"/>
        <v>9</v>
      </c>
      <c r="BT14" s="96" t="str">
        <f>IFERROR(INDEX($O$11:$O$1013,MATCH(ROWS($BS$11:BS14),$BS$11:$BS$1005,0)),"")</f>
        <v>ETQP4MR68KVK</v>
      </c>
      <c r="BU14" s="299" t="str">
        <f t="shared" si="7"/>
        <v>ETQP4MR68KVK</v>
      </c>
      <c r="BV14" s="96"/>
    </row>
    <row r="15" spans="1:81">
      <c r="A15" s="95">
        <v>119</v>
      </c>
      <c r="B15" s="259" t="s">
        <v>584</v>
      </c>
      <c r="C15" s="95" t="s">
        <v>610</v>
      </c>
      <c r="D15" s="95" t="s">
        <v>585</v>
      </c>
      <c r="E15" s="231"/>
      <c r="F15" s="68" t="s">
        <v>153</v>
      </c>
      <c r="G15" s="69" t="s">
        <v>586</v>
      </c>
      <c r="H15" s="68" t="s">
        <v>587</v>
      </c>
      <c r="I15" s="69" t="s">
        <v>588</v>
      </c>
      <c r="J15" s="68" t="s">
        <v>589</v>
      </c>
      <c r="K15" s="95" t="s">
        <v>590</v>
      </c>
      <c r="L15" s="95" t="s">
        <v>611</v>
      </c>
      <c r="M15" s="95" t="s">
        <v>612</v>
      </c>
      <c r="N15" s="95" t="s">
        <v>593</v>
      </c>
      <c r="O15" s="34" t="s">
        <v>613</v>
      </c>
      <c r="P15" s="37" t="str">
        <f>MID(All_PCC_a[[#This Row],[Part Number]],7,3)</f>
        <v>R47</v>
      </c>
      <c r="Q15" s="129">
        <v>0.47</v>
      </c>
      <c r="R15" s="130" t="str">
        <f>IF(All_PCC_a[[#This Row],[Lo (uH)]]&lt;1,"&lt;1",IF(All_PCC_a[[#This Row],[Lo (uH)]]&lt;10,"&lt;10",IF(All_PCC_a[[#This Row],[Lo (uH)]]&lt;100,"&lt;100",IF(All_PCC_a[[#This Row],[Lo (uH)]]&lt;2000,"&lt;2000",""))))</f>
        <v>&lt;1</v>
      </c>
      <c r="S15" s="97" t="str">
        <f>IFERROR(VLOOKUP(All_PCC_a[[#This Row],[Lo (uH)]],Utility!$D$5:$E$43,2,1),"-")</f>
        <v>≤    0.5</v>
      </c>
      <c r="T15" s="136">
        <v>0.2</v>
      </c>
      <c r="U15" s="129">
        <v>1.53</v>
      </c>
      <c r="V15" s="125">
        <v>1.68</v>
      </c>
      <c r="W15" s="171">
        <v>10</v>
      </c>
      <c r="X15" s="130">
        <v>31.1</v>
      </c>
      <c r="Y15" s="129">
        <v>24.9</v>
      </c>
      <c r="Z15" s="251">
        <v>47.3</v>
      </c>
      <c r="AA15" s="129">
        <v>33.200000000000003</v>
      </c>
      <c r="AB15" s="95">
        <v>10.9</v>
      </c>
      <c r="AC15" s="95">
        <v>10</v>
      </c>
      <c r="AD15" s="129">
        <v>4</v>
      </c>
      <c r="AE15" s="95">
        <f>ROUND(All_PCC_a[[#This Row],[L (mm)]]*All_PCC_a[[#This Row],[W (mm)]],1)</f>
        <v>109</v>
      </c>
      <c r="AF15" s="87" t="str">
        <f>All_PCC_a[[#This Row],[L (mm)]]&amp;"  x  "&amp;All_PCC_a[[#This Row],[W (mm)]]</f>
        <v>10.9  x  10</v>
      </c>
      <c r="AG15" s="141" t="s">
        <v>614</v>
      </c>
      <c r="AH15" s="97" t="str">
        <f>IF(All_PCC_a[[#This Row],[Max Height (mm)]]&lt;=9,"≤ "&amp;ROUNDUP(AD15,0),"≤"&amp;ROUNDUP(AD15,0))</f>
        <v>≤ 4</v>
      </c>
      <c r="AI15" s="133">
        <v>-40</v>
      </c>
      <c r="AJ15" s="133">
        <v>150</v>
      </c>
      <c r="AK15" s="68" t="str">
        <f>All_PCC_a[[#This Row],[Min Temp (deg.C)]]&amp;" to +"&amp;All_PCC_a[[#This Row],[Max Temp (deg.C)]]</f>
        <v>-40 to +150</v>
      </c>
      <c r="AL15" s="95"/>
      <c r="AM15" s="95"/>
      <c r="AN15" s="95"/>
      <c r="AO15" s="87" t="s">
        <v>138</v>
      </c>
      <c r="AP15" s="97" t="str">
        <f t="shared" ref="AP15:AP45" si="8">IFERROR(IF(L1Round&gt;1,ROUND(L1Round,1),L1Round),"-")</f>
        <v>-</v>
      </c>
      <c r="AQ15" s="87" t="s">
        <v>138</v>
      </c>
      <c r="AR15" s="87" t="s">
        <v>138</v>
      </c>
      <c r="AS15" s="95" t="s">
        <v>882</v>
      </c>
      <c r="AT15" s="95" t="s">
        <v>594</v>
      </c>
      <c r="AU15" s="95" t="e" vm="7">
        <f>_xlfn.IMAGE(All_PCC_a[[#This Row],[Image URL]])</f>
        <v>#VALUE!</v>
      </c>
      <c r="AV15" s="95"/>
      <c r="AW15" s="95"/>
      <c r="AX15" s="96"/>
      <c r="AY15" s="96"/>
      <c r="AZ15" s="96" t="str">
        <f>IF(AY15=1,COUNTIF($AY$11:AY15,1),"")</f>
        <v/>
      </c>
      <c r="BA15" s="96"/>
      <c r="BB15" s="96"/>
      <c r="BC15" s="96">
        <f>IF(Z15&lt;('DCDC Ref'!$J$24/'DCDC Ref'!$J$26)*'DCDC Ref'!$J$28/100,0,1)</f>
        <v>1</v>
      </c>
      <c r="BD15" s="360">
        <f>IF(BC15=1000000000,"",('All Data'!Q15-'DCDC Ref'!$J$30)/'DCDC Ref'!$J$30*100)</f>
        <v>-25.626373626373628</v>
      </c>
      <c r="BE15" s="295">
        <f t="shared" si="3"/>
        <v>25.626373626373628</v>
      </c>
      <c r="BF15" s="295"/>
      <c r="BG15" s="360"/>
      <c r="BH15" s="361">
        <f t="shared" si="4"/>
        <v>0</v>
      </c>
      <c r="BI15" s="295"/>
      <c r="BJ15" s="96">
        <f>IF(BC15=0,"",('All Data'!Z15-'DCDC Ref'!$J$28*('DCDC Ref'!$J$29/100))/'DCDC Ref'!$J$28*('DCDC Ref'!$J$29/100)*100)</f>
        <v>324.06896551724134</v>
      </c>
      <c r="BK15" s="361">
        <f t="shared" si="5"/>
        <v>324.06896551724134</v>
      </c>
      <c r="BL15" s="361"/>
      <c r="BM15" s="361"/>
      <c r="BN15" s="361"/>
      <c r="BO15" s="361"/>
      <c r="BP15" s="96"/>
      <c r="BQ15" s="298">
        <f t="shared" si="6"/>
        <v>129752.21295945434</v>
      </c>
      <c r="BR15" s="298">
        <f>IF(BQ15="","",RANK(BQ15,BQ$11:BQ$9930,1)+COUNTIF(BQ$11:BQ15,BQ15)-1)</f>
        <v>13</v>
      </c>
      <c r="BS15" s="299">
        <f t="shared" si="2"/>
        <v>13</v>
      </c>
      <c r="BT15" s="96" t="str">
        <f>IFERROR(INDEX($O$11:$O$1013,MATCH(ROWS($BS$11:BS15),$BS$11:$BS$1005,0)),"")</f>
        <v>ETQP5MR68YLC</v>
      </c>
      <c r="BU15" s="299" t="str">
        <f t="shared" si="7"/>
        <v>ETQP5MR68YLC</v>
      </c>
      <c r="BV15" s="96"/>
    </row>
    <row r="16" spans="1:81">
      <c r="A16" s="95">
        <v>1</v>
      </c>
      <c r="B16" s="259" t="s">
        <v>584</v>
      </c>
      <c r="C16" s="95"/>
      <c r="D16" s="95" t="s">
        <v>585</v>
      </c>
      <c r="E16" s="110"/>
      <c r="F16" s="68" t="s">
        <v>153</v>
      </c>
      <c r="G16" s="69" t="s">
        <v>586</v>
      </c>
      <c r="H16" s="68" t="s">
        <v>587</v>
      </c>
      <c r="I16" s="69" t="s">
        <v>588</v>
      </c>
      <c r="J16" s="68" t="s">
        <v>589</v>
      </c>
      <c r="K16" s="68" t="s">
        <v>590</v>
      </c>
      <c r="L16" s="68" t="s">
        <v>615</v>
      </c>
      <c r="M16" s="68" t="s">
        <v>616</v>
      </c>
      <c r="N16" s="68" t="s">
        <v>22</v>
      </c>
      <c r="O16" s="34" t="s">
        <v>617</v>
      </c>
      <c r="P16" s="37" t="str">
        <f>MID(All_PCC_a[[#This Row],[Part Number]],7,3)</f>
        <v>R68</v>
      </c>
      <c r="Q16" s="87">
        <v>0.68</v>
      </c>
      <c r="R16" s="87" t="str">
        <f>IF(All_PCC_a[[#This Row],[Lo (uH)]]&lt;1,"&lt;1",IF(All_PCC_a[[#This Row],[Lo (uH)]]&lt;10,"&lt;10",IF(All_PCC_a[[#This Row],[Lo (uH)]]&lt;100,"&lt;100",IF(All_PCC_a[[#This Row],[Lo (uH)]]&lt;2000,"&lt;2000",""))))</f>
        <v>&lt;1</v>
      </c>
      <c r="S16" s="87" t="str">
        <f>IFERROR(VLOOKUP(All_PCC_a[[#This Row],[Lo (uH)]],Utility!$D$5:$E$43,2,1),"-")</f>
        <v>≤    0.7</v>
      </c>
      <c r="T16" s="88">
        <v>0.2</v>
      </c>
      <c r="U16" s="125">
        <v>6.3</v>
      </c>
      <c r="V16" s="125">
        <v>6.9300000000000006</v>
      </c>
      <c r="W16" s="87">
        <v>10</v>
      </c>
      <c r="X16" s="87">
        <v>12</v>
      </c>
      <c r="Y16" s="87">
        <v>9.8000000000000007</v>
      </c>
      <c r="Z16" s="117">
        <v>24</v>
      </c>
      <c r="AA16" s="87">
        <v>17.66</v>
      </c>
      <c r="AB16" s="68">
        <v>6.5</v>
      </c>
      <c r="AC16" s="68">
        <v>6</v>
      </c>
      <c r="AD16" s="87">
        <v>3</v>
      </c>
      <c r="AE16" s="68">
        <f>ROUND(All_PCC_a[[#This Row],[L (mm)]]*All_PCC_a[[#This Row],[W (mm)]],1)</f>
        <v>39</v>
      </c>
      <c r="AF16" s="87" t="str">
        <f>All_PCC_a[[#This Row],[L (mm)]]&amp;"  x  "&amp;All_PCC_a[[#This Row],[W (mm)]]</f>
        <v>6.5  x  6</v>
      </c>
      <c r="AG16" s="89" t="s">
        <v>618</v>
      </c>
      <c r="AH16" s="87" t="str">
        <f>IF(All_PCC_a[[#This Row],[Max Height (mm)]]&lt;=9,"≤ "&amp;ROUNDUP(AD16,0),"≤"&amp;ROUNDUP(AD16,0))</f>
        <v>≤ 3</v>
      </c>
      <c r="AI16" s="72">
        <v>-40</v>
      </c>
      <c r="AJ16" s="72">
        <v>150</v>
      </c>
      <c r="AK16" s="68" t="str">
        <f>All_PCC_a[[#This Row],[Min Temp (deg.C)]]&amp;" to +"&amp;All_PCC_a[[#This Row],[Max Temp (deg.C)]]</f>
        <v>-40 to +150</v>
      </c>
      <c r="AL16" s="68"/>
      <c r="AO16" s="87" t="s">
        <v>124</v>
      </c>
      <c r="AP16" s="87" t="str">
        <f t="shared" si="8"/>
        <v>-</v>
      </c>
      <c r="AQ16" s="88" t="s">
        <v>124</v>
      </c>
      <c r="AR16" s="87" t="s">
        <v>138</v>
      </c>
      <c r="AS16" s="68" t="s">
        <v>883</v>
      </c>
      <c r="AT16" s="68" t="s">
        <v>594</v>
      </c>
      <c r="AU16" s="68" t="e" vm="7">
        <f>_xlfn.IMAGE(All_PCC_a[[#This Row],[Image URL]])</f>
        <v>#VALUE!</v>
      </c>
      <c r="AW16" s="68"/>
      <c r="AY16" s="68"/>
      <c r="BC16" s="96">
        <f>IF(Z16&lt;('DCDC Ref'!$J$24/'DCDC Ref'!$J$26)*'DCDC Ref'!$J$28/100,0,1)</f>
        <v>1</v>
      </c>
      <c r="BD16" s="360">
        <f>IF(BC16=1000000000,"",('All Data'!Q16-'DCDC Ref'!$J$30)/'DCDC Ref'!$J$30*100)</f>
        <v>7.6043956043956165</v>
      </c>
      <c r="BE16" s="295">
        <f t="shared" si="3"/>
        <v>7.6043956043956165</v>
      </c>
      <c r="BF16" s="295"/>
      <c r="BG16" s="360"/>
      <c r="BH16" s="361">
        <f t="shared" si="4"/>
        <v>0</v>
      </c>
      <c r="BI16" s="295"/>
      <c r="BJ16" s="96">
        <f>IF(BC16=0,"",('All Data'!Z16-'DCDC Ref'!$J$28*('DCDC Ref'!$J$29/100))/'DCDC Ref'!$J$28*('DCDC Ref'!$J$29/100)*100)</f>
        <v>115.17241379310343</v>
      </c>
      <c r="BK16" s="361">
        <f t="shared" si="5"/>
        <v>115.17241379310343</v>
      </c>
      <c r="BL16" s="361"/>
      <c r="BM16" s="361"/>
      <c r="BN16" s="361"/>
      <c r="BO16" s="361"/>
      <c r="BP16" s="96"/>
      <c r="BQ16" s="298">
        <f t="shared" si="6"/>
        <v>38597.840090943595</v>
      </c>
      <c r="BR16" s="298">
        <f>IF(BQ16="","",RANK(BQ16,BQ$11:BQ$9930,1)+COUNTIF(BQ$11:BQ16,BQ16)-1)</f>
        <v>3</v>
      </c>
      <c r="BS16" s="299">
        <f t="shared" si="2"/>
        <v>3</v>
      </c>
      <c r="BT16" s="96" t="str">
        <f>IFERROR(INDEX($O$11:$O$1013,MATCH(ROWS($BS$11:BS16),$BS$11:$BS$1005,0)),"")</f>
        <v>ETQP5MR68YSC</v>
      </c>
      <c r="BU16" s="299" t="str">
        <f t="shared" si="7"/>
        <v>ETQP5MR68YSC</v>
      </c>
      <c r="BV16" s="96"/>
    </row>
    <row r="17" spans="1:74" ht="15">
      <c r="A17" s="95">
        <v>38</v>
      </c>
      <c r="B17" s="259" t="s">
        <v>584</v>
      </c>
      <c r="C17" s="95"/>
      <c r="D17" s="95" t="s">
        <v>585</v>
      </c>
      <c r="E17" s="110"/>
      <c r="F17" s="68" t="s">
        <v>153</v>
      </c>
      <c r="G17" s="154" t="s">
        <v>586</v>
      </c>
      <c r="H17" s="96" t="s">
        <v>587</v>
      </c>
      <c r="I17" s="154" t="s">
        <v>588</v>
      </c>
      <c r="J17" s="96" t="s">
        <v>589</v>
      </c>
      <c r="K17" s="96" t="s">
        <v>590</v>
      </c>
      <c r="L17" s="96" t="s">
        <v>591</v>
      </c>
      <c r="M17" s="96" t="s">
        <v>592</v>
      </c>
      <c r="N17" s="96" t="s">
        <v>22</v>
      </c>
      <c r="O17" s="34" t="s">
        <v>29</v>
      </c>
      <c r="P17" s="37" t="str">
        <f>MID(All_PCC_a[[#This Row],[Part Number]],7,3)</f>
        <v>R68</v>
      </c>
      <c r="Q17" s="97">
        <v>0.68</v>
      </c>
      <c r="R17" s="87" t="str">
        <f>IF(All_PCC_a[[#This Row],[Lo (uH)]]&lt;1,"&lt;1",IF(All_PCC_a[[#This Row],[Lo (uH)]]&lt;10,"&lt;10",IF(All_PCC_a[[#This Row],[Lo (uH)]]&lt;100,"&lt;100",IF(All_PCC_a[[#This Row],[Lo (uH)]]&lt;2000,"&lt;2000",""))))</f>
        <v>&lt;1</v>
      </c>
      <c r="S17" s="87" t="str">
        <f>IFERROR(VLOOKUP(All_PCC_a[[#This Row],[Lo (uH)]],Utility!$D$5:$E$43,2,1),"-")</f>
        <v>≤    0.7</v>
      </c>
      <c r="T17" s="98">
        <v>0.2</v>
      </c>
      <c r="U17" s="127">
        <v>1.75</v>
      </c>
      <c r="V17" s="127">
        <v>1.93</v>
      </c>
      <c r="W17" s="97">
        <v>10</v>
      </c>
      <c r="X17" s="87">
        <v>31.5</v>
      </c>
      <c r="Y17" s="97">
        <v>26.3</v>
      </c>
      <c r="Z17" s="118">
        <v>40</v>
      </c>
      <c r="AA17" s="87">
        <v>28.37</v>
      </c>
      <c r="AB17" s="96">
        <v>10.9</v>
      </c>
      <c r="AC17" s="96">
        <v>10</v>
      </c>
      <c r="AD17" s="97">
        <v>5</v>
      </c>
      <c r="AE17" s="96">
        <f>ROUND(All_PCC_a[[#This Row],[L (mm)]]*All_PCC_a[[#This Row],[W (mm)]],1)</f>
        <v>109</v>
      </c>
      <c r="AF17" s="87" t="str">
        <f>All_PCC_a[[#This Row],[L (mm)]]&amp;"  x  "&amp;All_PCC_a[[#This Row],[W (mm)]]</f>
        <v>10.9  x  10</v>
      </c>
      <c r="AG17" s="99" t="s">
        <v>324</v>
      </c>
      <c r="AH17" s="97" t="str">
        <f>IF(All_PCC_a[[#This Row],[Max Height (mm)]]&lt;=9,"≤ "&amp;ROUNDUP(AD17,0),"≤"&amp;ROUNDUP(AD17,0))</f>
        <v>≤ 5</v>
      </c>
      <c r="AI17" s="100">
        <v>-40</v>
      </c>
      <c r="AJ17" s="100">
        <v>150</v>
      </c>
      <c r="AK17" s="68" t="str">
        <f>All_PCC_a[[#This Row],[Min Temp (deg.C)]]&amp;" to +"&amp;All_PCC_a[[#This Row],[Max Temp (deg.C)]]</f>
        <v>-40 to +150</v>
      </c>
      <c r="AL17" s="96"/>
      <c r="AM17" s="96"/>
      <c r="AN17" s="96"/>
      <c r="AO17" s="97" t="s">
        <v>124</v>
      </c>
      <c r="AP17" s="97" t="str">
        <f t="shared" si="8"/>
        <v>-</v>
      </c>
      <c r="AQ17" s="97" t="s">
        <v>138</v>
      </c>
      <c r="AR17" s="87" t="s">
        <v>138</v>
      </c>
      <c r="AS17" s="68" t="s">
        <v>884</v>
      </c>
      <c r="AT17" s="96" t="s">
        <v>594</v>
      </c>
      <c r="AU17" s="96" t="e" vm="7">
        <f>_xlfn.IMAGE(All_PCC_a[[#This Row],[Image URL]])</f>
        <v>#VALUE!</v>
      </c>
      <c r="AV17" s="96"/>
      <c r="AW17" s="96"/>
      <c r="AY17" s="68"/>
      <c r="BC17" s="96">
        <f>IF(Z17&lt;('DCDC Ref'!$J$24/'DCDC Ref'!$J$26)*'DCDC Ref'!$J$28/100,0,1)</f>
        <v>1</v>
      </c>
      <c r="BD17" s="360">
        <f>IF(BC17=1000000000,"",('All Data'!Q17-'DCDC Ref'!$J$30)/'DCDC Ref'!$J$30*100)</f>
        <v>7.6043956043956165</v>
      </c>
      <c r="BE17" s="295">
        <f t="shared" si="3"/>
        <v>7.6043956043956165</v>
      </c>
      <c r="BF17" s="295"/>
      <c r="BG17" s="360"/>
      <c r="BH17" s="361">
        <f t="shared" si="4"/>
        <v>0</v>
      </c>
      <c r="BI17" s="295"/>
      <c r="BJ17" s="96">
        <f>IF(BC17=0,"",('All Data'!Z17-'DCDC Ref'!$J$28*('DCDC Ref'!$J$29/100))/'DCDC Ref'!$J$28*('DCDC Ref'!$J$29/100)*100)</f>
        <v>258.62068965517238</v>
      </c>
      <c r="BK17" s="361">
        <f t="shared" si="5"/>
        <v>258.62068965517238</v>
      </c>
      <c r="BL17" s="361"/>
      <c r="BM17" s="361"/>
      <c r="BN17" s="361"/>
      <c r="BO17" s="361"/>
      <c r="BP17" s="96"/>
      <c r="BQ17" s="298">
        <f t="shared" si="6"/>
        <v>39315.081470253943</v>
      </c>
      <c r="BR17" s="298">
        <f>IF(BQ17="","",RANK(BQ17,BQ$11:BQ$9930,1)+COUNTIF(BQ$11:BQ17,BQ17)-1)</f>
        <v>5</v>
      </c>
      <c r="BS17" s="299">
        <f t="shared" si="2"/>
        <v>5</v>
      </c>
      <c r="BT17" s="96" t="str">
        <f>IFERROR(INDEX($O$11:$O$1013,MATCH(ROWS($BS$11:BS17),$BS$11:$BS$1005,0)),"")</f>
        <v>ETQP8MR68JFA</v>
      </c>
      <c r="BU17" s="299" t="str">
        <f t="shared" si="7"/>
        <v>ETQP8MR68JFA</v>
      </c>
      <c r="BV17" s="96"/>
    </row>
    <row r="18" spans="1:74" ht="15">
      <c r="A18" s="95">
        <v>46</v>
      </c>
      <c r="B18" s="259" t="s">
        <v>584</v>
      </c>
      <c r="C18" s="95"/>
      <c r="D18" s="95" t="s">
        <v>585</v>
      </c>
      <c r="E18" s="109"/>
      <c r="F18" s="68" t="s">
        <v>153</v>
      </c>
      <c r="G18" s="69" t="s">
        <v>586</v>
      </c>
      <c r="H18" s="68" t="s">
        <v>587</v>
      </c>
      <c r="I18" s="69" t="s">
        <v>588</v>
      </c>
      <c r="J18" s="68" t="s">
        <v>589</v>
      </c>
      <c r="K18" s="68" t="s">
        <v>596</v>
      </c>
      <c r="L18" s="68" t="s">
        <v>597</v>
      </c>
      <c r="M18" s="68" t="s">
        <v>598</v>
      </c>
      <c r="N18" s="68" t="s">
        <v>593</v>
      </c>
      <c r="O18" s="34" t="s">
        <v>30</v>
      </c>
      <c r="P18" s="37" t="str">
        <f>MID(All_PCC_a[[#This Row],[Part Number]],7,3)</f>
        <v>R68</v>
      </c>
      <c r="Q18" s="87">
        <v>0.68</v>
      </c>
      <c r="R18" s="87" t="str">
        <f>IF(All_PCC_a[[#This Row],[Lo (uH)]]&lt;1,"&lt;1",IF(All_PCC_a[[#This Row],[Lo (uH)]]&lt;10,"&lt;10",IF(All_PCC_a[[#This Row],[Lo (uH)]]&lt;100,"&lt;100",IF(All_PCC_a[[#This Row],[Lo (uH)]]&lt;2000,"&lt;2000",""))))</f>
        <v>&lt;1</v>
      </c>
      <c r="S18" s="87" t="str">
        <f>IFERROR(VLOOKUP(All_PCC_a[[#This Row],[Lo (uH)]],Utility!$D$5:$E$43,2,1),"-")</f>
        <v>≤    0.7</v>
      </c>
      <c r="T18" s="88">
        <v>0.2</v>
      </c>
      <c r="U18" s="126">
        <v>1.1000000000000001</v>
      </c>
      <c r="V18" s="126">
        <v>1.21</v>
      </c>
      <c r="W18" s="87">
        <v>10</v>
      </c>
      <c r="X18" s="87">
        <v>42.6</v>
      </c>
      <c r="Y18" s="87">
        <v>35.4</v>
      </c>
      <c r="Z18" s="117">
        <v>56.9</v>
      </c>
      <c r="AA18" s="87">
        <f>ROUND(40.3333333333333,2)</f>
        <v>40.33</v>
      </c>
      <c r="AB18" s="68">
        <v>12.6</v>
      </c>
      <c r="AC18" s="68">
        <v>13.2</v>
      </c>
      <c r="AD18" s="87">
        <v>8</v>
      </c>
      <c r="AE18" s="68">
        <f>ROUND(All_PCC_a[[#This Row],[L (mm)]]*All_PCC_a[[#This Row],[W (mm)]],1)</f>
        <v>166.3</v>
      </c>
      <c r="AF18" s="87" t="str">
        <f>All_PCC_a[[#This Row],[L (mm)]]&amp;"  x  "&amp;All_PCC_a[[#This Row],[W (mm)]]</f>
        <v>12.6  x  13.2</v>
      </c>
      <c r="AG18" s="91" t="s">
        <v>341</v>
      </c>
      <c r="AH18" s="97" t="str">
        <f>IF(All_PCC_a[[#This Row],[Max Height (mm)]]&lt;=9,"≤ "&amp;ROUNDUP(AD18,0),"≤"&amp;ROUNDUP(AD18,0))</f>
        <v>≤ 8</v>
      </c>
      <c r="AI18" s="68">
        <v>-40</v>
      </c>
      <c r="AJ18" s="68">
        <v>160</v>
      </c>
      <c r="AK18" s="68" t="str">
        <f>All_PCC_a[[#This Row],[Min Temp (deg.C)]]&amp;" to +"&amp;All_PCC_a[[#This Row],[Max Temp (deg.C)]]</f>
        <v>-40 to +160</v>
      </c>
      <c r="AL18" s="68"/>
      <c r="AN18" s="68" t="s">
        <v>600</v>
      </c>
      <c r="AO18" s="87" t="s">
        <v>138</v>
      </c>
      <c r="AP18" s="97" t="str">
        <f t="shared" si="8"/>
        <v>-</v>
      </c>
      <c r="AQ18" s="87" t="s">
        <v>138</v>
      </c>
      <c r="AR18" s="87" t="s">
        <v>138</v>
      </c>
      <c r="AS18" s="68" t="s">
        <v>885</v>
      </c>
      <c r="AT18" s="68" t="s">
        <v>619</v>
      </c>
      <c r="AU18" s="96" t="e" vm="8">
        <f>_xlfn.IMAGE(All_PCC_a[[#This Row],[Image URL]])</f>
        <v>#VALUE!</v>
      </c>
      <c r="AW18" s="68"/>
      <c r="AX18" s="96"/>
      <c r="AY18" s="96"/>
      <c r="AZ18" s="96" t="str">
        <f>IF(AY18=1,COUNTIF($AY$11:AY18,1),"")</f>
        <v/>
      </c>
      <c r="BA18" s="96"/>
      <c r="BB18" s="96"/>
      <c r="BC18" s="96">
        <f>IF(Z18&lt;('DCDC Ref'!$J$24/'DCDC Ref'!$J$26)*'DCDC Ref'!$J$28/100,0,1)</f>
        <v>1</v>
      </c>
      <c r="BD18" s="360">
        <f>IF(BC18=1000000000,"",('All Data'!Q18-'DCDC Ref'!$J$30)/'DCDC Ref'!$J$30*100)</f>
        <v>7.6043956043956165</v>
      </c>
      <c r="BE18" s="295">
        <f t="shared" si="3"/>
        <v>7.6043956043956165</v>
      </c>
      <c r="BF18" s="295"/>
      <c r="BG18" s="360"/>
      <c r="BH18" s="361">
        <f t="shared" si="4"/>
        <v>0</v>
      </c>
      <c r="BI18" s="295"/>
      <c r="BJ18" s="96">
        <f>IF(BC18=0,"",('All Data'!Z18-'DCDC Ref'!$J$28*('DCDC Ref'!$J$29/100))/'DCDC Ref'!$J$28*('DCDC Ref'!$J$29/100)*100)</f>
        <v>410.13793103448268</v>
      </c>
      <c r="BK18" s="361">
        <f t="shared" si="5"/>
        <v>410.13793103448268</v>
      </c>
      <c r="BL18" s="361"/>
      <c r="BM18" s="361"/>
      <c r="BN18" s="361"/>
      <c r="BO18" s="361"/>
      <c r="BP18" s="96"/>
      <c r="BQ18" s="298">
        <f t="shared" si="6"/>
        <v>40072.667677150494</v>
      </c>
      <c r="BR18" s="298">
        <f>IF(BQ18="","",RANK(BQ18,BQ$11:BQ$9930,1)+COUNTIF(BQ$11:BQ18,BQ18)-1)</f>
        <v>7</v>
      </c>
      <c r="BS18" s="299">
        <f t="shared" si="2"/>
        <v>7</v>
      </c>
      <c r="BT18" s="96" t="str">
        <f>IFERROR(INDEX($O$11:$O$1013,MATCH(ROWS($BS$11:BS18),$BS$11:$BS$1005,0)),"")</f>
        <v>ETQPAMR68JFW</v>
      </c>
      <c r="BU18" s="299" t="str">
        <f t="shared" si="7"/>
        <v>ETQPAMR68JFW</v>
      </c>
      <c r="BV18" s="96"/>
    </row>
    <row r="19" spans="1:74" ht="15">
      <c r="A19" s="95">
        <v>59</v>
      </c>
      <c r="B19" s="259" t="s">
        <v>584</v>
      </c>
      <c r="C19" s="95"/>
      <c r="D19" s="95" t="s">
        <v>585</v>
      </c>
      <c r="E19" s="109"/>
      <c r="F19" s="68" t="s">
        <v>153</v>
      </c>
      <c r="G19" s="69" t="s">
        <v>586</v>
      </c>
      <c r="H19" s="68" t="s">
        <v>587</v>
      </c>
      <c r="I19" s="69" t="s">
        <v>588</v>
      </c>
      <c r="J19" s="68" t="s">
        <v>589</v>
      </c>
      <c r="K19" s="68" t="s">
        <v>601</v>
      </c>
      <c r="L19" s="68" t="s">
        <v>602</v>
      </c>
      <c r="M19" s="68" t="s">
        <v>603</v>
      </c>
      <c r="N19" s="68" t="s">
        <v>593</v>
      </c>
      <c r="O19" s="34" t="s">
        <v>31</v>
      </c>
      <c r="P19" s="37" t="str">
        <f>MID(All_PCC_a[[#This Row],[Part Number]],7,3)</f>
        <v>R68</v>
      </c>
      <c r="Q19" s="87">
        <v>0.68</v>
      </c>
      <c r="R19" s="87" t="str">
        <f>IF(All_PCC_a[[#This Row],[Lo (uH)]]&lt;1,"&lt;1",IF(All_PCC_a[[#This Row],[Lo (uH)]]&lt;10,"&lt;10",IF(All_PCC_a[[#This Row],[Lo (uH)]]&lt;100,"&lt;100",IF(All_PCC_a[[#This Row],[Lo (uH)]]&lt;2000,"&lt;2000",""))))</f>
        <v>&lt;1</v>
      </c>
      <c r="S19" s="87" t="str">
        <f>IFERROR(VLOOKUP(All_PCC_a[[#This Row],[Lo (uH)]],Utility!$D$5:$E$43,2,1),"-")</f>
        <v>≤    0.7</v>
      </c>
      <c r="T19" s="88">
        <v>0.2</v>
      </c>
      <c r="U19" s="126">
        <v>7.6</v>
      </c>
      <c r="V19" s="126">
        <v>8.36</v>
      </c>
      <c r="W19" s="87">
        <v>10</v>
      </c>
      <c r="X19" s="87">
        <v>10.199999999999999</v>
      </c>
      <c r="Y19" s="87">
        <v>8.4</v>
      </c>
      <c r="Z19" s="117">
        <v>15.9</v>
      </c>
      <c r="AA19" s="560">
        <v>10.4</v>
      </c>
      <c r="AB19" s="68">
        <v>5.5</v>
      </c>
      <c r="AC19" s="68">
        <v>5</v>
      </c>
      <c r="AD19" s="87">
        <v>3</v>
      </c>
      <c r="AE19" s="68">
        <f>ROUND(All_PCC_a[[#This Row],[L (mm)]]*All_PCC_a[[#This Row],[W (mm)]],1)</f>
        <v>27.5</v>
      </c>
      <c r="AF19" s="87" t="str">
        <f>All_PCC_a[[#This Row],[L (mm)]]&amp;"  x  "&amp;All_PCC_a[[#This Row],[W (mm)]]</f>
        <v>5.5  x  5</v>
      </c>
      <c r="AG19" s="91" t="s">
        <v>605</v>
      </c>
      <c r="AH19" s="97" t="str">
        <f>IF(All_PCC_a[[#This Row],[Max Height (mm)]]&lt;=9,"≤ "&amp;ROUNDUP(AD19,0),"≤"&amp;ROUNDUP(AD19,0))</f>
        <v>≤ 3</v>
      </c>
      <c r="AI19" s="68">
        <v>-55</v>
      </c>
      <c r="AJ19" s="68">
        <v>155</v>
      </c>
      <c r="AK19" s="68" t="str">
        <f>All_PCC_a[[#This Row],[Min Temp (deg.C)]]&amp;" to +"&amp;All_PCC_a[[#This Row],[Max Temp (deg.C)]]</f>
        <v>-55 to +155</v>
      </c>
      <c r="AL19" s="68"/>
      <c r="AO19" s="87" t="s">
        <v>138</v>
      </c>
      <c r="AP19" s="97" t="str">
        <f t="shared" si="8"/>
        <v>-</v>
      </c>
      <c r="AQ19" s="87" t="s">
        <v>138</v>
      </c>
      <c r="AR19" s="87" t="s">
        <v>138</v>
      </c>
      <c r="AS19" s="68" t="s">
        <v>886</v>
      </c>
      <c r="AT19" s="95" t="s">
        <v>606</v>
      </c>
      <c r="AU19" s="96" t="e" vm="9">
        <f>_xlfn.IMAGE(All_PCC_a[[#This Row],[Image URL]])</f>
        <v>#VALUE!</v>
      </c>
      <c r="AW19" s="68"/>
      <c r="AX19" s="96"/>
      <c r="AY19" s="96"/>
      <c r="AZ19" s="96" t="str">
        <f>IF(AY19=1,COUNTIF($AY$11:AY19,1),"")</f>
        <v/>
      </c>
      <c r="BA19" s="96"/>
      <c r="BB19" s="96"/>
      <c r="BC19" s="96">
        <f>IF(Z19&lt;('DCDC Ref'!$J$24/'DCDC Ref'!$J$26)*'DCDC Ref'!$J$28/100,0,1)</f>
        <v>1</v>
      </c>
      <c r="BD19" s="360">
        <f>IF(BC19=1000000000,"",('All Data'!Q19-'DCDC Ref'!$J$30)/'DCDC Ref'!$J$30*100)</f>
        <v>7.6043956043956165</v>
      </c>
      <c r="BE19" s="295">
        <f t="shared" si="3"/>
        <v>7.6043956043956165</v>
      </c>
      <c r="BF19" s="295"/>
      <c r="BG19" s="360"/>
      <c r="BH19" s="361">
        <f t="shared" si="4"/>
        <v>0</v>
      </c>
      <c r="BI19" s="295"/>
      <c r="BJ19" s="96">
        <f>IF(BC19=0,"",('All Data'!Z19-'DCDC Ref'!$J$28*('DCDC Ref'!$J$29/100))/'DCDC Ref'!$J$28*('DCDC Ref'!$J$29/100)*100)</f>
        <v>42.551724137931025</v>
      </c>
      <c r="BK19" s="361">
        <f t="shared" si="5"/>
        <v>42.551724137931025</v>
      </c>
      <c r="BL19" s="361"/>
      <c r="BM19" s="361"/>
      <c r="BN19" s="361"/>
      <c r="BO19" s="361"/>
      <c r="BP19" s="96"/>
      <c r="BQ19" s="298">
        <f t="shared" si="6"/>
        <v>38234.736642667733</v>
      </c>
      <c r="BR19" s="298">
        <f>IF(BQ19="","",RANK(BQ19,BQ$11:BQ$9930,1)+COUNTIF(BQ$11:BQ19,BQ19)-1)</f>
        <v>1</v>
      </c>
      <c r="BS19" s="299">
        <f t="shared" si="2"/>
        <v>1</v>
      </c>
      <c r="BT19" s="96" t="str">
        <f>IFERROR(INDEX($O$11:$O$1013,MATCH(ROWS($BS$11:BS19),$BS$11:$BS$1005,0)),"")</f>
        <v>ETQP3MR47KVP</v>
      </c>
      <c r="BU19" s="299" t="str">
        <f t="shared" si="7"/>
        <v>ETQP3MR47KVP</v>
      </c>
      <c r="BV19" s="96"/>
    </row>
    <row r="20" spans="1:74" ht="15">
      <c r="A20" s="95">
        <v>70</v>
      </c>
      <c r="B20" s="259" t="s">
        <v>584</v>
      </c>
      <c r="C20" s="95"/>
      <c r="D20" s="95" t="s">
        <v>585</v>
      </c>
      <c r="E20" s="109"/>
      <c r="F20" s="68" t="s">
        <v>153</v>
      </c>
      <c r="G20" s="69" t="s">
        <v>586</v>
      </c>
      <c r="H20" s="68" t="s">
        <v>587</v>
      </c>
      <c r="I20" s="69" t="s">
        <v>588</v>
      </c>
      <c r="J20" s="68" t="s">
        <v>589</v>
      </c>
      <c r="K20" s="68" t="s">
        <v>601</v>
      </c>
      <c r="L20" s="68" t="s">
        <v>620</v>
      </c>
      <c r="M20" s="68" t="s">
        <v>621</v>
      </c>
      <c r="N20" s="68" t="s">
        <v>593</v>
      </c>
      <c r="O20" s="34" t="s">
        <v>33</v>
      </c>
      <c r="P20" s="37" t="str">
        <f>MID(All_PCC_a[[#This Row],[Part Number]],7,3)</f>
        <v>R68</v>
      </c>
      <c r="Q20" s="87">
        <v>0.68</v>
      </c>
      <c r="R20" s="87" t="str">
        <f>IF(All_PCC_a[[#This Row],[Lo (uH)]]&lt;1,"&lt;1",IF(All_PCC_a[[#This Row],[Lo (uH)]]&lt;10,"&lt;10",IF(All_PCC_a[[#This Row],[Lo (uH)]]&lt;100,"&lt;100",IF(All_PCC_a[[#This Row],[Lo (uH)]]&lt;2000,"&lt;2000",""))))</f>
        <v>&lt;1</v>
      </c>
      <c r="S20" s="87" t="str">
        <f>IFERROR(VLOOKUP(All_PCC_a[[#This Row],[Lo (uH)]],Utility!$D$5:$E$43,2,1),"-")</f>
        <v>≤    0.7</v>
      </c>
      <c r="T20" s="88">
        <v>0.2</v>
      </c>
      <c r="U20" s="126">
        <v>5.2</v>
      </c>
      <c r="V20" s="126">
        <v>5.7200000000000006</v>
      </c>
      <c r="W20" s="87">
        <v>10</v>
      </c>
      <c r="X20" s="87">
        <v>13.2</v>
      </c>
      <c r="Y20" s="87">
        <v>10.8</v>
      </c>
      <c r="Z20" s="117">
        <v>20.2</v>
      </c>
      <c r="AA20" s="87">
        <v>14.25</v>
      </c>
      <c r="AB20" s="68">
        <v>6.4</v>
      </c>
      <c r="AC20" s="68">
        <v>6</v>
      </c>
      <c r="AD20" s="87">
        <v>3</v>
      </c>
      <c r="AE20" s="68">
        <f>ROUND(All_PCC_a[[#This Row],[L (mm)]]*All_PCC_a[[#This Row],[W (mm)]],1)</f>
        <v>38.4</v>
      </c>
      <c r="AF20" s="87" t="str">
        <f>All_PCC_a[[#This Row],[L (mm)]]&amp;"  x  "&amp;All_PCC_a[[#This Row],[W (mm)]]</f>
        <v>6.4  x  6</v>
      </c>
      <c r="AG20" s="91" t="s">
        <v>618</v>
      </c>
      <c r="AH20" s="97" t="str">
        <f>IF(All_PCC_a[[#This Row],[Max Height (mm)]]&lt;=9,"≤ "&amp;ROUNDUP(AD20,0),"≤"&amp;ROUNDUP(AD20,0))</f>
        <v>≤ 3</v>
      </c>
      <c r="AI20" s="68">
        <v>-55</v>
      </c>
      <c r="AJ20" s="68">
        <v>155</v>
      </c>
      <c r="AK20" s="68" t="str">
        <f>All_PCC_a[[#This Row],[Min Temp (deg.C)]]&amp;" to +"&amp;All_PCC_a[[#This Row],[Max Temp (deg.C)]]</f>
        <v>-55 to +155</v>
      </c>
      <c r="AL20" s="68"/>
      <c r="AO20" s="87" t="s">
        <v>138</v>
      </c>
      <c r="AP20" s="97" t="str">
        <f t="shared" si="8"/>
        <v>-</v>
      </c>
      <c r="AQ20" s="87" t="s">
        <v>138</v>
      </c>
      <c r="AR20" s="87" t="s">
        <v>138</v>
      </c>
      <c r="AS20" s="68" t="s">
        <v>887</v>
      </c>
      <c r="AT20" s="95" t="s">
        <v>606</v>
      </c>
      <c r="AU20" s="96" t="e" vm="9">
        <f>_xlfn.IMAGE(All_PCC_a[[#This Row],[Image URL]])</f>
        <v>#VALUE!</v>
      </c>
      <c r="AW20" s="68"/>
      <c r="AX20" s="96"/>
      <c r="AY20" s="96"/>
      <c r="AZ20" s="96" t="str">
        <f>IF(AY20=1,COUNTIF($AY$11:AY20,1),"")</f>
        <v/>
      </c>
      <c r="BA20" s="96"/>
      <c r="BB20" s="96"/>
      <c r="BC20" s="96">
        <f>IF(Z20&lt;('DCDC Ref'!$J$24/'DCDC Ref'!$J$26)*'DCDC Ref'!$J$28/100,0,1)</f>
        <v>1</v>
      </c>
      <c r="BD20" s="360">
        <f>IF(BC20=1000000000,"",('All Data'!Q20-'DCDC Ref'!$J$30)/'DCDC Ref'!$J$30*100)</f>
        <v>7.6043956043956165</v>
      </c>
      <c r="BE20" s="295">
        <f t="shared" si="3"/>
        <v>7.6043956043956165</v>
      </c>
      <c r="BF20" s="295"/>
      <c r="BG20" s="360"/>
      <c r="BH20" s="361">
        <f t="shared" si="4"/>
        <v>0</v>
      </c>
      <c r="BI20" s="295"/>
      <c r="BJ20" s="96">
        <f>IF(BC20=0,"",('All Data'!Z20-'DCDC Ref'!$J$28*('DCDC Ref'!$J$29/100))/'DCDC Ref'!$J$28*('DCDC Ref'!$J$29/100)*100)</f>
        <v>81.10344827586205</v>
      </c>
      <c r="BK20" s="361">
        <f t="shared" si="5"/>
        <v>81.10344827586205</v>
      </c>
      <c r="BL20" s="361"/>
      <c r="BM20" s="361"/>
      <c r="BN20" s="361"/>
      <c r="BO20" s="361"/>
      <c r="BP20" s="96"/>
      <c r="BQ20" s="298">
        <f t="shared" si="6"/>
        <v>38427.495263357392</v>
      </c>
      <c r="BR20" s="298">
        <f>IF(BQ20="","",RANK(BQ20,BQ$11:BQ$9930,1)+COUNTIF(BQ$11:BQ20,BQ20)-1)</f>
        <v>2</v>
      </c>
      <c r="BS20" s="299">
        <f t="shared" si="2"/>
        <v>2</v>
      </c>
      <c r="BT20" s="96" t="str">
        <f>IFERROR(INDEX($O$11:$O$1013,MATCH(ROWS($BS$11:BS20),$BS$11:$BS$1005,0)),"")</f>
        <v>ETQP3MR47KVN</v>
      </c>
      <c r="BU20" s="299" t="str">
        <f t="shared" si="7"/>
        <v>ETQP3MR47KVN</v>
      </c>
      <c r="BV20" s="96"/>
    </row>
    <row r="21" spans="1:74" ht="15">
      <c r="A21" s="95">
        <v>81</v>
      </c>
      <c r="B21" s="259" t="s">
        <v>584</v>
      </c>
      <c r="C21" s="95"/>
      <c r="D21" s="95" t="s">
        <v>585</v>
      </c>
      <c r="E21" s="109"/>
      <c r="F21" s="68" t="s">
        <v>153</v>
      </c>
      <c r="G21" s="69" t="s">
        <v>586</v>
      </c>
      <c r="H21" s="68" t="s">
        <v>587</v>
      </c>
      <c r="I21" s="69" t="s">
        <v>588</v>
      </c>
      <c r="J21" s="68" t="s">
        <v>589</v>
      </c>
      <c r="K21" s="68" t="s">
        <v>601</v>
      </c>
      <c r="L21" s="68" t="s">
        <v>622</v>
      </c>
      <c r="M21" s="68" t="s">
        <v>623</v>
      </c>
      <c r="N21" s="68" t="s">
        <v>593</v>
      </c>
      <c r="O21" s="34" t="s">
        <v>35</v>
      </c>
      <c r="P21" s="37" t="str">
        <f>MID(All_PCC_a[[#This Row],[Part Number]],7,3)</f>
        <v>R68</v>
      </c>
      <c r="Q21" s="87">
        <v>0.68</v>
      </c>
      <c r="R21" s="87" t="str">
        <f>IF(All_PCC_a[[#This Row],[Lo (uH)]]&lt;1,"&lt;1",IF(All_PCC_a[[#This Row],[Lo (uH)]]&lt;10,"&lt;10",IF(All_PCC_a[[#This Row],[Lo (uH)]]&lt;100,"&lt;100",IF(All_PCC_a[[#This Row],[Lo (uH)]]&lt;2000,"&lt;2000",""))))</f>
        <v>&lt;1</v>
      </c>
      <c r="S21" s="87" t="str">
        <f>IFERROR(VLOOKUP(All_PCC_a[[#This Row],[Lo (uH)]],Utility!$D$5:$E$43,2,1),"-")</f>
        <v>≤    0.7</v>
      </c>
      <c r="T21" s="88">
        <v>0.2</v>
      </c>
      <c r="U21" s="126">
        <v>2.92</v>
      </c>
      <c r="V21" s="126">
        <v>3.21</v>
      </c>
      <c r="W21" s="87">
        <v>10</v>
      </c>
      <c r="X21" s="87">
        <v>19.5</v>
      </c>
      <c r="Y21" s="87">
        <v>16.600000000000001</v>
      </c>
      <c r="Z21" s="117">
        <v>29</v>
      </c>
      <c r="AA21" s="87">
        <v>20.99</v>
      </c>
      <c r="AB21" s="68">
        <v>8.4</v>
      </c>
      <c r="AC21" s="68">
        <v>8</v>
      </c>
      <c r="AD21" s="87">
        <v>4</v>
      </c>
      <c r="AE21" s="68">
        <f>ROUND(All_PCC_a[[#This Row],[L (mm)]]*All_PCC_a[[#This Row],[W (mm)]],1)</f>
        <v>67.2</v>
      </c>
      <c r="AF21" s="87" t="str">
        <f>All_PCC_a[[#This Row],[L (mm)]]&amp;"  x  "&amp;All_PCC_a[[#This Row],[W (mm)]]</f>
        <v>8.4  x  8</v>
      </c>
      <c r="AG21" s="99" t="s">
        <v>624</v>
      </c>
      <c r="AH21" s="97" t="str">
        <f>IF(All_PCC_a[[#This Row],[Max Height (mm)]]&lt;=9,"≤ "&amp;ROUNDUP(AD21,0),"≤"&amp;ROUNDUP(AD21,0))</f>
        <v>≤ 4</v>
      </c>
      <c r="AI21" s="68">
        <v>-55</v>
      </c>
      <c r="AJ21" s="68">
        <v>155</v>
      </c>
      <c r="AK21" s="68" t="str">
        <f>All_PCC_a[[#This Row],[Min Temp (deg.C)]]&amp;" to +"&amp;All_PCC_a[[#This Row],[Max Temp (deg.C)]]</f>
        <v>-55 to +155</v>
      </c>
      <c r="AL21" s="68"/>
      <c r="AO21" s="87" t="s">
        <v>138</v>
      </c>
      <c r="AP21" s="97" t="str">
        <f t="shared" si="8"/>
        <v>-</v>
      </c>
      <c r="AQ21" s="87" t="s">
        <v>138</v>
      </c>
      <c r="AR21" s="87" t="s">
        <v>138</v>
      </c>
      <c r="AS21" s="68" t="s">
        <v>888</v>
      </c>
      <c r="AT21" s="95" t="s">
        <v>606</v>
      </c>
      <c r="AU21" s="96" t="e" vm="9">
        <f>_xlfn.IMAGE(All_PCC_a[[#This Row],[Image URL]])</f>
        <v>#VALUE!</v>
      </c>
      <c r="AW21" s="68"/>
      <c r="AX21" s="96"/>
      <c r="AY21" s="96"/>
      <c r="AZ21" s="96" t="str">
        <f>IF(AY21=1,COUNTIF($AY$11:AY21,1),"")</f>
        <v/>
      </c>
      <c r="BA21" s="96"/>
      <c r="BB21" s="96"/>
      <c r="BC21" s="96">
        <f>IF(Z21&lt;('DCDC Ref'!$J$24/'DCDC Ref'!$J$26)*'DCDC Ref'!$J$28/100,0,1)</f>
        <v>1</v>
      </c>
      <c r="BD21" s="360">
        <f>IF(BC21=1000000000,"",('All Data'!Q21-'DCDC Ref'!$J$30)/'DCDC Ref'!$J$30*100)</f>
        <v>7.6043956043956165</v>
      </c>
      <c r="BE21" s="295">
        <f t="shared" si="3"/>
        <v>7.6043956043956165</v>
      </c>
      <c r="BF21" s="295"/>
      <c r="BG21" s="360"/>
      <c r="BH21" s="361">
        <f t="shared" si="4"/>
        <v>0</v>
      </c>
      <c r="BI21" s="295"/>
      <c r="BJ21" s="96">
        <f>IF(BC21=0,"",('All Data'!Z21-'DCDC Ref'!$J$28*('DCDC Ref'!$J$29/100))/'DCDC Ref'!$J$28*('DCDC Ref'!$J$29/100)*100)</f>
        <v>160</v>
      </c>
      <c r="BK21" s="361">
        <f t="shared" si="5"/>
        <v>160</v>
      </c>
      <c r="BL21" s="361"/>
      <c r="BM21" s="361"/>
      <c r="BN21" s="361"/>
      <c r="BO21" s="361"/>
      <c r="BP21" s="96"/>
      <c r="BQ21" s="298">
        <f t="shared" si="6"/>
        <v>38821.978021978081</v>
      </c>
      <c r="BR21" s="298">
        <f>IF(BQ21="","",RANK(BQ21,BQ$11:BQ$9930,1)+COUNTIF(BQ$11:BQ21,BQ21)-1)</f>
        <v>4</v>
      </c>
      <c r="BS21" s="299">
        <f t="shared" si="2"/>
        <v>4</v>
      </c>
      <c r="BT21" s="96" t="str">
        <f>IFERROR(INDEX($O$11:$O$1013,MATCH(ROWS($BS$11:BS21),$BS$11:$BS$1005,0)),"")</f>
        <v>ETQP4MR47KFM</v>
      </c>
      <c r="BU21" s="299" t="str">
        <f t="shared" si="7"/>
        <v>ETQP4MR47KFM</v>
      </c>
      <c r="BV21" s="96"/>
    </row>
    <row r="22" spans="1:74" ht="15">
      <c r="A22" s="95">
        <v>96</v>
      </c>
      <c r="B22" s="259" t="s">
        <v>584</v>
      </c>
      <c r="C22" s="95"/>
      <c r="D22" s="133" t="s">
        <v>585</v>
      </c>
      <c r="E22" s="134"/>
      <c r="F22" s="68" t="s">
        <v>153</v>
      </c>
      <c r="G22" s="156" t="s">
        <v>586</v>
      </c>
      <c r="H22" s="132" t="s">
        <v>587</v>
      </c>
      <c r="I22" s="156" t="s">
        <v>588</v>
      </c>
      <c r="J22" s="132" t="s">
        <v>589</v>
      </c>
      <c r="K22" s="132" t="s">
        <v>625</v>
      </c>
      <c r="L22" s="132" t="s">
        <v>626</v>
      </c>
      <c r="M22" s="132" t="s">
        <v>627</v>
      </c>
      <c r="N22" s="132" t="s">
        <v>593</v>
      </c>
      <c r="O22" s="34" t="s">
        <v>36</v>
      </c>
      <c r="P22" s="37" t="str">
        <f>MID(All_PCC_a[[#This Row],[Part Number]],7,3)</f>
        <v>R68</v>
      </c>
      <c r="Q22" s="135">
        <v>0.68</v>
      </c>
      <c r="R22" s="87" t="str">
        <f>IF(All_PCC_a[[#This Row],[Lo (uH)]]&lt;1,"&lt;1",IF(All_PCC_a[[#This Row],[Lo (uH)]]&lt;10,"&lt;10",IF(All_PCC_a[[#This Row],[Lo (uH)]]&lt;100,"&lt;100",IF(All_PCC_a[[#This Row],[Lo (uH)]]&lt;2000,"&lt;2000",""))))</f>
        <v>&lt;1</v>
      </c>
      <c r="S22" s="87" t="str">
        <f>IFERROR(VLOOKUP(All_PCC_a[[#This Row],[Lo (uH)]],Utility!$D$5:$E$43,2,1),"-")</f>
        <v>≤    0.7</v>
      </c>
      <c r="T22" s="136">
        <v>0.2</v>
      </c>
      <c r="U22" s="140">
        <v>1.66</v>
      </c>
      <c r="V22" s="140">
        <v>1.83</v>
      </c>
      <c r="W22" s="135">
        <v>10</v>
      </c>
      <c r="X22" s="135">
        <v>32.299999999999997</v>
      </c>
      <c r="Y22" s="138">
        <v>27</v>
      </c>
      <c r="Z22" s="139">
        <v>40</v>
      </c>
      <c r="AA22" s="87">
        <v>28.1</v>
      </c>
      <c r="AB22" s="132">
        <v>10.9</v>
      </c>
      <c r="AC22" s="132">
        <v>10</v>
      </c>
      <c r="AD22" s="135">
        <v>5</v>
      </c>
      <c r="AE22" s="132">
        <f>ROUND(All_PCC_a[[#This Row],[L (mm)]]*All_PCC_a[[#This Row],[W (mm)]],1)</f>
        <v>109</v>
      </c>
      <c r="AF22" s="87" t="str">
        <f>All_PCC_a[[#This Row],[L (mm)]]&amp;"  x  "&amp;All_PCC_a[[#This Row],[W (mm)]]</f>
        <v>10.9  x  10</v>
      </c>
      <c r="AG22" s="141" t="s">
        <v>324</v>
      </c>
      <c r="AH22" s="97" t="str">
        <f>IF(All_PCC_a[[#This Row],[Max Height (mm)]]&lt;=9,"≤ "&amp;ROUNDUP(AD22,0),"≤"&amp;ROUNDUP(AD22,0))</f>
        <v>≤ 5</v>
      </c>
      <c r="AI22" s="132">
        <v>-40</v>
      </c>
      <c r="AJ22" s="132">
        <v>150</v>
      </c>
      <c r="AK22" s="68" t="str">
        <f>All_PCC_a[[#This Row],[Min Temp (deg.C)]]&amp;" to +"&amp;All_PCC_a[[#This Row],[Max Temp (deg.C)]]</f>
        <v>-40 to +150</v>
      </c>
      <c r="AL22" s="132"/>
      <c r="AM22" s="143"/>
      <c r="AN22" s="132"/>
      <c r="AO22" s="135" t="s">
        <v>138</v>
      </c>
      <c r="AP22" s="137" t="str">
        <f t="shared" si="8"/>
        <v>-</v>
      </c>
      <c r="AQ22" s="135" t="s">
        <v>138</v>
      </c>
      <c r="AR22" s="87" t="s">
        <v>138</v>
      </c>
      <c r="AS22" s="68" t="s">
        <v>889</v>
      </c>
      <c r="AT22" s="132" t="s">
        <v>628</v>
      </c>
      <c r="AU22" s="96" t="e" vm="10">
        <f>_xlfn.IMAGE(All_PCC_a[[#This Row],[Image URL]])</f>
        <v>#VALUE!</v>
      </c>
      <c r="AV22" s="133"/>
      <c r="AW22" s="133"/>
      <c r="AX22" s="96"/>
      <c r="AY22" s="96"/>
      <c r="AZ22" s="96" t="str">
        <f>IF(AY22=1,COUNTIF($AY$11:AY22,1),"")</f>
        <v/>
      </c>
      <c r="BA22" s="96"/>
      <c r="BB22" s="96"/>
      <c r="BC22" s="96">
        <f>IF(Z22&lt;('DCDC Ref'!$J$24/'DCDC Ref'!$J$26)*'DCDC Ref'!$J$28/100,0,1)</f>
        <v>1</v>
      </c>
      <c r="BD22" s="360">
        <f>IF(BC22=1000000000,"",('All Data'!Q22-'DCDC Ref'!$J$30)/'DCDC Ref'!$J$30*100)</f>
        <v>7.6043956043956165</v>
      </c>
      <c r="BE22" s="295">
        <f t="shared" si="3"/>
        <v>7.6043956043956165</v>
      </c>
      <c r="BF22" s="295"/>
      <c r="BG22" s="360"/>
      <c r="BH22" s="361">
        <f t="shared" si="4"/>
        <v>0</v>
      </c>
      <c r="BI22" s="295"/>
      <c r="BJ22" s="96">
        <f>IF(BC22=0,"",('All Data'!Z22-'DCDC Ref'!$J$28*('DCDC Ref'!$J$29/100))/'DCDC Ref'!$J$28*('DCDC Ref'!$J$29/100)*100)</f>
        <v>258.62068965517238</v>
      </c>
      <c r="BK22" s="361">
        <f t="shared" si="5"/>
        <v>258.62068965517238</v>
      </c>
      <c r="BL22" s="361"/>
      <c r="BM22" s="361"/>
      <c r="BN22" s="361"/>
      <c r="BO22" s="361"/>
      <c r="BP22" s="96"/>
      <c r="BQ22" s="298">
        <f t="shared" si="6"/>
        <v>39315.081470253943</v>
      </c>
      <c r="BR22" s="298">
        <f>IF(BQ22="","",RANK(BQ22,BQ$11:BQ$9930,1)+COUNTIF(BQ$11:BQ22,BQ22)-1)</f>
        <v>6</v>
      </c>
      <c r="BS22" s="299">
        <f t="shared" si="2"/>
        <v>6</v>
      </c>
      <c r="BT22" s="96" t="str">
        <f>IFERROR(INDEX($O$11:$O$1013,MATCH(ROWS($BS$11:BS22),$BS$11:$BS$1005,0)),"")</f>
        <v>ETQP4MR47KVK</v>
      </c>
      <c r="BU22" s="299" t="str">
        <f t="shared" si="7"/>
        <v>ETQP4MR47KVK</v>
      </c>
      <c r="BV22" s="96"/>
    </row>
    <row r="23" spans="1:74">
      <c r="A23" s="95">
        <v>2</v>
      </c>
      <c r="B23" s="259" t="s">
        <v>584</v>
      </c>
      <c r="C23" s="95"/>
      <c r="D23" s="95" t="s">
        <v>585</v>
      </c>
      <c r="E23" s="110"/>
      <c r="F23" s="68" t="s">
        <v>153</v>
      </c>
      <c r="G23" s="69" t="s">
        <v>586</v>
      </c>
      <c r="H23" s="68" t="s">
        <v>587</v>
      </c>
      <c r="I23" s="69" t="s">
        <v>588</v>
      </c>
      <c r="J23" s="68" t="s">
        <v>589</v>
      </c>
      <c r="K23" s="68" t="s">
        <v>590</v>
      </c>
      <c r="L23" s="68" t="s">
        <v>615</v>
      </c>
      <c r="M23" s="68" t="s">
        <v>616</v>
      </c>
      <c r="N23" s="68" t="s">
        <v>22</v>
      </c>
      <c r="O23" s="34" t="s">
        <v>37</v>
      </c>
      <c r="P23" s="37" t="str">
        <f>MID(All_PCC_a[[#This Row],[Part Number]],7,3)</f>
        <v>1R0</v>
      </c>
      <c r="Q23" s="90">
        <v>1</v>
      </c>
      <c r="R23" s="87" t="str">
        <f>IF(All_PCC_a[[#This Row],[Lo (uH)]]&lt;1,"&lt;1",IF(All_PCC_a[[#This Row],[Lo (uH)]]&lt;10,"&lt;10",IF(All_PCC_a[[#This Row],[Lo (uH)]]&lt;100,"&lt;100",IF(All_PCC_a[[#This Row],[Lo (uH)]]&lt;2000,"&lt;2000",""))))</f>
        <v>&lt;10</v>
      </c>
      <c r="S23" s="87" t="str">
        <f>IFERROR(VLOOKUP(All_PCC_a[[#This Row],[Lo (uH)]],Utility!$D$5:$E$43,2,1),"-")</f>
        <v>≤   1</v>
      </c>
      <c r="T23" s="88">
        <v>0.2</v>
      </c>
      <c r="U23" s="125">
        <v>7.9</v>
      </c>
      <c r="V23" s="125">
        <v>8.6900000000000013</v>
      </c>
      <c r="W23" s="87">
        <v>10</v>
      </c>
      <c r="X23" s="87">
        <v>10.7</v>
      </c>
      <c r="Y23" s="87">
        <v>8.8000000000000007</v>
      </c>
      <c r="Z23" s="117">
        <v>20</v>
      </c>
      <c r="AA23" s="87">
        <v>14.47</v>
      </c>
      <c r="AB23" s="68">
        <v>6.5</v>
      </c>
      <c r="AC23" s="68">
        <v>6</v>
      </c>
      <c r="AD23" s="87">
        <v>3</v>
      </c>
      <c r="AE23" s="68">
        <f>ROUND(All_PCC_a[[#This Row],[L (mm)]]*All_PCC_a[[#This Row],[W (mm)]],1)</f>
        <v>39</v>
      </c>
      <c r="AF23" s="87" t="str">
        <f>All_PCC_a[[#This Row],[L (mm)]]&amp;"  x  "&amp;All_PCC_a[[#This Row],[W (mm)]]</f>
        <v>6.5  x  6</v>
      </c>
      <c r="AG23" s="89" t="s">
        <v>618</v>
      </c>
      <c r="AH23" s="87" t="str">
        <f>IF(All_PCC_a[[#This Row],[Max Height (mm)]]&lt;=9,"≤ "&amp;ROUNDUP(AD23,0),"≤"&amp;ROUNDUP(AD23,0))</f>
        <v>≤ 3</v>
      </c>
      <c r="AI23" s="72">
        <v>-40</v>
      </c>
      <c r="AJ23" s="72">
        <v>150</v>
      </c>
      <c r="AK23" s="68" t="str">
        <f>All_PCC_a[[#This Row],[Min Temp (deg.C)]]&amp;" to +"&amp;All_PCC_a[[#This Row],[Max Temp (deg.C)]]</f>
        <v>-40 to +150</v>
      </c>
      <c r="AL23" s="68"/>
      <c r="AO23" s="87" t="s">
        <v>124</v>
      </c>
      <c r="AP23" s="87" t="str">
        <f t="shared" si="8"/>
        <v>-</v>
      </c>
      <c r="AQ23" s="88" t="s">
        <v>138</v>
      </c>
      <c r="AR23" s="87" t="s">
        <v>138</v>
      </c>
      <c r="AS23" s="68" t="s">
        <v>890</v>
      </c>
      <c r="AT23" s="68" t="s">
        <v>594</v>
      </c>
      <c r="AU23" s="96" t="e" vm="7">
        <f>_xlfn.IMAGE(All_PCC_a[[#This Row],[Image URL]])</f>
        <v>#VALUE!</v>
      </c>
      <c r="AW23" s="68"/>
      <c r="AX23" s="96"/>
      <c r="AY23" s="96"/>
      <c r="AZ23" s="96" t="str">
        <f>IF(AY23=1,COUNTIF($AY$11:AY23,1),"")</f>
        <v/>
      </c>
      <c r="BA23" s="96"/>
      <c r="BB23" s="96"/>
      <c r="BC23" s="96">
        <f>IF(Z23&lt;('DCDC Ref'!$J$24/'DCDC Ref'!$J$26)*'DCDC Ref'!$J$28/100,0,1)</f>
        <v>1</v>
      </c>
      <c r="BD23" s="360">
        <f>IF(BC23=1000000000,"",('All Data'!Q23-'DCDC Ref'!$J$30)/'DCDC Ref'!$J$30*100)</f>
        <v>58.241758241758248</v>
      </c>
      <c r="BE23" s="295">
        <f t="shared" si="3"/>
        <v>58.241758241758248</v>
      </c>
      <c r="BF23" s="295"/>
      <c r="BG23" s="360"/>
      <c r="BH23" s="361">
        <f t="shared" si="4"/>
        <v>0</v>
      </c>
      <c r="BI23" s="295"/>
      <c r="BJ23" s="96">
        <f>IF(BC23=0,"",('All Data'!Z23-'DCDC Ref'!$J$28*('DCDC Ref'!$J$29/100))/'DCDC Ref'!$J$28*('DCDC Ref'!$J$29/100)*100)</f>
        <v>79.310344827586192</v>
      </c>
      <c r="BK23" s="361">
        <f t="shared" si="5"/>
        <v>79.310344827586192</v>
      </c>
      <c r="BL23" s="361"/>
      <c r="BM23" s="361"/>
      <c r="BN23" s="361"/>
      <c r="BO23" s="361"/>
      <c r="BP23" s="96"/>
      <c r="BQ23" s="298">
        <f t="shared" si="6"/>
        <v>291605.34293292917</v>
      </c>
      <c r="BR23" s="298">
        <f>IF(BQ23="","",RANK(BQ23,BQ$11:BQ$9930,1)+COUNTIF(BQ$11:BQ23,BQ23)-1)</f>
        <v>21</v>
      </c>
      <c r="BS23" s="299">
        <f t="shared" si="2"/>
        <v>21</v>
      </c>
      <c r="BT23" s="96" t="str">
        <f>IFERROR(INDEX($O$11:$O$1013,MATCH(ROWS($BS$11:BS23),$BS$11:$BS$1005,0)),"")</f>
        <v>ETQP4MR47KLC</v>
      </c>
      <c r="BU23" s="299" t="str">
        <f t="shared" si="7"/>
        <v>ETQP4MR47KLC</v>
      </c>
      <c r="BV23" s="96"/>
    </row>
    <row r="24" spans="1:74" ht="15">
      <c r="A24" s="95">
        <v>39</v>
      </c>
      <c r="B24" s="259" t="s">
        <v>584</v>
      </c>
      <c r="C24" s="95"/>
      <c r="D24" s="95" t="s">
        <v>585</v>
      </c>
      <c r="E24" s="110"/>
      <c r="F24" s="68" t="s">
        <v>153</v>
      </c>
      <c r="G24" s="154" t="s">
        <v>586</v>
      </c>
      <c r="H24" s="96" t="s">
        <v>587</v>
      </c>
      <c r="I24" s="154" t="s">
        <v>588</v>
      </c>
      <c r="J24" s="96" t="s">
        <v>589</v>
      </c>
      <c r="K24" s="96" t="s">
        <v>590</v>
      </c>
      <c r="L24" s="96" t="s">
        <v>591</v>
      </c>
      <c r="M24" s="96" t="s">
        <v>592</v>
      </c>
      <c r="N24" s="96" t="s">
        <v>22</v>
      </c>
      <c r="O24" s="34" t="s">
        <v>38</v>
      </c>
      <c r="P24" s="37" t="str">
        <f>MID(All_PCC_a[[#This Row],[Part Number]],7,3)</f>
        <v>1R0</v>
      </c>
      <c r="Q24" s="103">
        <v>1</v>
      </c>
      <c r="R24" s="87" t="str">
        <f>IF(All_PCC_a[[#This Row],[Lo (uH)]]&lt;1,"&lt;1",IF(All_PCC_a[[#This Row],[Lo (uH)]]&lt;10,"&lt;10",IF(All_PCC_a[[#This Row],[Lo (uH)]]&lt;100,"&lt;100",IF(All_PCC_a[[#This Row],[Lo (uH)]]&lt;2000,"&lt;2000",""))))</f>
        <v>&lt;10</v>
      </c>
      <c r="S24" s="87" t="str">
        <f>IFERROR(VLOOKUP(All_PCC_a[[#This Row],[Lo (uH)]],Utility!$D$5:$E$43,2,1),"-")</f>
        <v>≤   1</v>
      </c>
      <c r="T24" s="98">
        <v>0.2</v>
      </c>
      <c r="U24" s="127">
        <v>2.2999999999999998</v>
      </c>
      <c r="V24" s="127">
        <v>2.5299999999999998</v>
      </c>
      <c r="W24" s="97">
        <v>10</v>
      </c>
      <c r="X24" s="87">
        <v>27.5</v>
      </c>
      <c r="Y24" s="97">
        <v>23</v>
      </c>
      <c r="Z24" s="118">
        <v>37.799999999999997</v>
      </c>
      <c r="AA24" s="87">
        <v>24.6</v>
      </c>
      <c r="AB24" s="96">
        <v>10.9</v>
      </c>
      <c r="AC24" s="96">
        <v>10</v>
      </c>
      <c r="AD24" s="97">
        <v>5</v>
      </c>
      <c r="AE24" s="96">
        <f>ROUND(All_PCC_a[[#This Row],[L (mm)]]*All_PCC_a[[#This Row],[W (mm)]],1)</f>
        <v>109</v>
      </c>
      <c r="AF24" s="87" t="str">
        <f>All_PCC_a[[#This Row],[L (mm)]]&amp;"  x  "&amp;All_PCC_a[[#This Row],[W (mm)]]</f>
        <v>10.9  x  10</v>
      </c>
      <c r="AG24" s="99" t="s">
        <v>324</v>
      </c>
      <c r="AH24" s="97" t="str">
        <f>IF(All_PCC_a[[#This Row],[Max Height (mm)]]&lt;=9,"≤ "&amp;ROUNDUP(AD24,0),"≤"&amp;ROUNDUP(AD24,0))</f>
        <v>≤ 5</v>
      </c>
      <c r="AI24" s="100">
        <v>-40</v>
      </c>
      <c r="AJ24" s="100">
        <v>150</v>
      </c>
      <c r="AK24" s="68" t="str">
        <f>All_PCC_a[[#This Row],[Min Temp (deg.C)]]&amp;" to +"&amp;All_PCC_a[[#This Row],[Max Temp (deg.C)]]</f>
        <v>-40 to +150</v>
      </c>
      <c r="AL24" s="96"/>
      <c r="AM24" s="96"/>
      <c r="AN24" s="96"/>
      <c r="AO24" s="97" t="s">
        <v>124</v>
      </c>
      <c r="AP24" s="97" t="str">
        <f t="shared" si="8"/>
        <v>-</v>
      </c>
      <c r="AQ24" s="98" t="s">
        <v>138</v>
      </c>
      <c r="AR24" s="87" t="s">
        <v>138</v>
      </c>
      <c r="AS24" s="68" t="s">
        <v>891</v>
      </c>
      <c r="AT24" s="96" t="s">
        <v>594</v>
      </c>
      <c r="AU24" s="96" t="e" vm="7">
        <f>_xlfn.IMAGE(All_PCC_a[[#This Row],[Image URL]])</f>
        <v>#VALUE!</v>
      </c>
      <c r="AV24" s="96"/>
      <c r="AW24" s="96"/>
      <c r="AY24" s="68"/>
      <c r="BC24" s="96">
        <f>IF(Z24&lt;('DCDC Ref'!$J$24/'DCDC Ref'!$J$26)*'DCDC Ref'!$J$28/100,0,1)</f>
        <v>1</v>
      </c>
      <c r="BD24" s="360">
        <f>IF(BC24=1000000000,"",('All Data'!Q24-'DCDC Ref'!$J$30)/'DCDC Ref'!$J$30*100)</f>
        <v>58.241758241758248</v>
      </c>
      <c r="BE24" s="295">
        <f t="shared" si="3"/>
        <v>58.241758241758248</v>
      </c>
      <c r="BF24" s="295"/>
      <c r="BG24" s="360"/>
      <c r="BH24" s="361">
        <f t="shared" si="4"/>
        <v>0</v>
      </c>
      <c r="BI24" s="295"/>
      <c r="BJ24" s="96">
        <f>IF(BC24=0,"",('All Data'!Z24-'DCDC Ref'!$J$28*('DCDC Ref'!$J$29/100))/'DCDC Ref'!$J$28*('DCDC Ref'!$J$29/100)*100)</f>
        <v>238.89655172413788</v>
      </c>
      <c r="BK24" s="361">
        <f t="shared" si="5"/>
        <v>238.89655172413788</v>
      </c>
      <c r="BL24" s="361"/>
      <c r="BM24" s="361"/>
      <c r="BN24" s="361"/>
      <c r="BO24" s="361"/>
      <c r="BP24" s="96"/>
      <c r="BQ24" s="298">
        <f t="shared" si="6"/>
        <v>292403.27396741195</v>
      </c>
      <c r="BR24" s="298">
        <f>IF(BQ24="","",RANK(BQ24,BQ$11:BQ$9930,1)+COUNTIF(BQ$11:BQ24,BQ24)-1)</f>
        <v>24</v>
      </c>
      <c r="BS24" s="299">
        <f t="shared" si="2"/>
        <v>24</v>
      </c>
      <c r="BT24" s="96" t="str">
        <f>IFERROR(INDEX($O$11:$O$1013,MATCH(ROWS($BS$11:BS24),$BS$11:$BS$1005,0)),"")</f>
        <v>ETQP3MR33KVP</v>
      </c>
      <c r="BU24" s="299" t="str">
        <f t="shared" si="7"/>
        <v>ETQP3MR33KVP</v>
      </c>
      <c r="BV24" s="96"/>
    </row>
    <row r="25" spans="1:74" ht="15">
      <c r="A25" s="95">
        <v>47</v>
      </c>
      <c r="B25" s="259" t="s">
        <v>584</v>
      </c>
      <c r="C25" s="95"/>
      <c r="D25" s="95" t="s">
        <v>585</v>
      </c>
      <c r="E25" s="109"/>
      <c r="F25" s="68" t="s">
        <v>153</v>
      </c>
      <c r="G25" s="69" t="s">
        <v>586</v>
      </c>
      <c r="H25" s="68" t="s">
        <v>587</v>
      </c>
      <c r="I25" s="69" t="s">
        <v>588</v>
      </c>
      <c r="J25" s="68" t="s">
        <v>589</v>
      </c>
      <c r="K25" s="68" t="s">
        <v>596</v>
      </c>
      <c r="L25" s="68" t="s">
        <v>597</v>
      </c>
      <c r="M25" s="68" t="s">
        <v>598</v>
      </c>
      <c r="N25" s="68" t="s">
        <v>593</v>
      </c>
      <c r="O25" s="34" t="s">
        <v>39</v>
      </c>
      <c r="P25" s="37" t="str">
        <f>MID(All_PCC_a[[#This Row],[Part Number]],7,3)</f>
        <v>1R0</v>
      </c>
      <c r="Q25" s="87">
        <v>1</v>
      </c>
      <c r="R25" s="87" t="str">
        <f>IF(All_PCC_a[[#This Row],[Lo (uH)]]&lt;1,"&lt;1",IF(All_PCC_a[[#This Row],[Lo (uH)]]&lt;10,"&lt;10",IF(All_PCC_a[[#This Row],[Lo (uH)]]&lt;100,"&lt;100",IF(All_PCC_a[[#This Row],[Lo (uH)]]&lt;2000,"&lt;2000",""))))</f>
        <v>&lt;10</v>
      </c>
      <c r="S25" s="87" t="str">
        <f>IFERROR(VLOOKUP(All_PCC_a[[#This Row],[Lo (uH)]],Utility!$D$5:$E$43,2,1),"-")</f>
        <v>≤   1</v>
      </c>
      <c r="T25" s="88">
        <v>0.2</v>
      </c>
      <c r="U25" s="126">
        <v>1.36</v>
      </c>
      <c r="V25" s="126">
        <v>1.5</v>
      </c>
      <c r="W25" s="87">
        <v>10</v>
      </c>
      <c r="X25" s="87">
        <v>38.299999999999997</v>
      </c>
      <c r="Y25" s="87">
        <v>31.8</v>
      </c>
      <c r="Z25" s="117">
        <v>44.4</v>
      </c>
      <c r="AA25" s="87">
        <f>ROUND(31.5641025641026,2)</f>
        <v>31.56</v>
      </c>
      <c r="AB25" s="68">
        <v>12.6</v>
      </c>
      <c r="AC25" s="68">
        <v>13.2</v>
      </c>
      <c r="AD25" s="87">
        <v>8</v>
      </c>
      <c r="AE25" s="68">
        <f>ROUND(All_PCC_a[[#This Row],[L (mm)]]*All_PCC_a[[#This Row],[W (mm)]],1)</f>
        <v>166.3</v>
      </c>
      <c r="AF25" s="87" t="str">
        <f>All_PCC_a[[#This Row],[L (mm)]]&amp;"  x  "&amp;All_PCC_a[[#This Row],[W (mm)]]</f>
        <v>12.6  x  13.2</v>
      </c>
      <c r="AG25" s="91" t="s">
        <v>341</v>
      </c>
      <c r="AH25" s="97" t="str">
        <f>IF(All_PCC_a[[#This Row],[Max Height (mm)]]&lt;=9,"≤ "&amp;ROUNDUP(AD25,0),"≤"&amp;ROUNDUP(AD25,0))</f>
        <v>≤ 8</v>
      </c>
      <c r="AI25" s="68">
        <v>-40</v>
      </c>
      <c r="AJ25" s="68">
        <v>160</v>
      </c>
      <c r="AK25" s="68" t="str">
        <f>All_PCC_a[[#This Row],[Min Temp (deg.C)]]&amp;" to +"&amp;All_PCC_a[[#This Row],[Max Temp (deg.C)]]</f>
        <v>-40 to +160</v>
      </c>
      <c r="AL25" s="68"/>
      <c r="AN25" s="68" t="s">
        <v>600</v>
      </c>
      <c r="AO25" s="87" t="s">
        <v>138</v>
      </c>
      <c r="AP25" s="97" t="str">
        <f t="shared" si="8"/>
        <v>-</v>
      </c>
      <c r="AQ25" s="87" t="s">
        <v>138</v>
      </c>
      <c r="AR25" s="87" t="s">
        <v>138</v>
      </c>
      <c r="AS25" s="68" t="s">
        <v>892</v>
      </c>
      <c r="AT25" s="68" t="s">
        <v>619</v>
      </c>
      <c r="AU25" s="96" t="e" vm="8">
        <f>_xlfn.IMAGE(All_PCC_a[[#This Row],[Image URL]])</f>
        <v>#VALUE!</v>
      </c>
      <c r="AW25" s="68"/>
      <c r="AX25" s="96"/>
      <c r="AY25" s="96"/>
      <c r="AZ25" s="96" t="str">
        <f>IF(AY25=1,COUNTIF($AY$11:AY25,1),"")</f>
        <v/>
      </c>
      <c r="BA25" s="96"/>
      <c r="BB25" s="96"/>
      <c r="BC25" s="96">
        <f>IF(Z25&lt;('DCDC Ref'!$J$24/'DCDC Ref'!$J$26)*'DCDC Ref'!$J$28/100,0,1)</f>
        <v>1</v>
      </c>
      <c r="BD25" s="360">
        <f>IF(BC25=1000000000,"",('All Data'!Q25-'DCDC Ref'!$J$30)/'DCDC Ref'!$J$30*100)</f>
        <v>58.241758241758248</v>
      </c>
      <c r="BE25" s="295">
        <f t="shared" si="3"/>
        <v>58.241758241758248</v>
      </c>
      <c r="BF25" s="295"/>
      <c r="BG25" s="360"/>
      <c r="BH25" s="361">
        <f t="shared" si="4"/>
        <v>0</v>
      </c>
      <c r="BI25" s="295"/>
      <c r="BJ25" s="96">
        <f>IF(BC25=0,"",('All Data'!Z25-'DCDC Ref'!$J$28*('DCDC Ref'!$J$29/100))/'DCDC Ref'!$J$28*('DCDC Ref'!$J$29/100)*100)</f>
        <v>298.06896551724134</v>
      </c>
      <c r="BK25" s="361">
        <f t="shared" si="5"/>
        <v>298.06896551724134</v>
      </c>
      <c r="BL25" s="361"/>
      <c r="BM25" s="361"/>
      <c r="BN25" s="361"/>
      <c r="BO25" s="361"/>
      <c r="BP25" s="96"/>
      <c r="BQ25" s="298">
        <f t="shared" si="6"/>
        <v>292699.13603637746</v>
      </c>
      <c r="BR25" s="298">
        <f>IF(BQ25="","",RANK(BQ25,BQ$11:BQ$9930,1)+COUNTIF(BQ$11:BQ25,BQ25)-1)</f>
        <v>25</v>
      </c>
      <c r="BS25" s="299">
        <f t="shared" si="2"/>
        <v>25</v>
      </c>
      <c r="BT25" s="96" t="str">
        <f>IFERROR(INDEX($O$11:$O$1013,MATCH(ROWS($BS$11:BS25),$BS$11:$BS$1005,0)),"")</f>
        <v>ETQP4MR33KLC</v>
      </c>
      <c r="BU25" s="299" t="str">
        <f t="shared" si="7"/>
        <v>ETQP4MR33KLC</v>
      </c>
      <c r="BV25" s="96"/>
    </row>
    <row r="26" spans="1:74" ht="15">
      <c r="A26" s="95">
        <v>58</v>
      </c>
      <c r="B26" s="259" t="s">
        <v>584</v>
      </c>
      <c r="C26" s="95"/>
      <c r="D26" s="95" t="s">
        <v>585</v>
      </c>
      <c r="E26" s="109"/>
      <c r="F26" s="68" t="s">
        <v>153</v>
      </c>
      <c r="G26" s="69" t="s">
        <v>586</v>
      </c>
      <c r="H26" s="68" t="s">
        <v>587</v>
      </c>
      <c r="I26" s="69" t="s">
        <v>588</v>
      </c>
      <c r="J26" s="68" t="s">
        <v>589</v>
      </c>
      <c r="K26" s="68" t="s">
        <v>601</v>
      </c>
      <c r="L26" s="68" t="s">
        <v>602</v>
      </c>
      <c r="M26" s="68" t="s">
        <v>603</v>
      </c>
      <c r="N26" s="68" t="s">
        <v>593</v>
      </c>
      <c r="O26" s="34" t="s">
        <v>40</v>
      </c>
      <c r="P26" s="37" t="str">
        <f>MID(All_PCC_a[[#This Row],[Part Number]],7,3)</f>
        <v>1R0</v>
      </c>
      <c r="Q26" s="87">
        <v>1</v>
      </c>
      <c r="R26" s="87" t="str">
        <f>IF(All_PCC_a[[#This Row],[Lo (uH)]]&lt;1,"&lt;1",IF(All_PCC_a[[#This Row],[Lo (uH)]]&lt;10,"&lt;10",IF(All_PCC_a[[#This Row],[Lo (uH)]]&lt;100,"&lt;100",IF(All_PCC_a[[#This Row],[Lo (uH)]]&lt;2000,"&lt;2000",""))))</f>
        <v>&lt;10</v>
      </c>
      <c r="S26" s="87" t="str">
        <f>IFERROR(VLOOKUP(All_PCC_a[[#This Row],[Lo (uH)]],Utility!$D$5:$E$43,2,1),"-")</f>
        <v>≤   1</v>
      </c>
      <c r="T26" s="88">
        <v>0.2</v>
      </c>
      <c r="U26" s="126">
        <v>9.6</v>
      </c>
      <c r="V26" s="126">
        <v>10.56</v>
      </c>
      <c r="W26" s="87">
        <v>10</v>
      </c>
      <c r="X26" s="87">
        <v>9</v>
      </c>
      <c r="Y26" s="87">
        <v>7.5</v>
      </c>
      <c r="Z26" s="117">
        <v>14.1</v>
      </c>
      <c r="AA26" s="560">
        <v>10.4</v>
      </c>
      <c r="AB26" s="68">
        <v>5.5</v>
      </c>
      <c r="AC26" s="68">
        <v>5</v>
      </c>
      <c r="AD26" s="87">
        <v>3</v>
      </c>
      <c r="AE26" s="68">
        <f>ROUND(All_PCC_a[[#This Row],[L (mm)]]*All_PCC_a[[#This Row],[W (mm)]],1)</f>
        <v>27.5</v>
      </c>
      <c r="AF26" s="87" t="str">
        <f>All_PCC_a[[#This Row],[L (mm)]]&amp;"  x  "&amp;All_PCC_a[[#This Row],[W (mm)]]</f>
        <v>5.5  x  5</v>
      </c>
      <c r="AG26" s="91" t="s">
        <v>605</v>
      </c>
      <c r="AH26" s="97" t="str">
        <f>IF(All_PCC_a[[#This Row],[Max Height (mm)]]&lt;=9,"≤ "&amp;ROUNDUP(AD26,0),"≤"&amp;ROUNDUP(AD26,0))</f>
        <v>≤ 3</v>
      </c>
      <c r="AI26" s="68">
        <v>-55</v>
      </c>
      <c r="AJ26" s="68">
        <v>155</v>
      </c>
      <c r="AK26" s="68" t="str">
        <f>All_PCC_a[[#This Row],[Min Temp (deg.C)]]&amp;" to +"&amp;All_PCC_a[[#This Row],[Max Temp (deg.C)]]</f>
        <v>-55 to +155</v>
      </c>
      <c r="AL26" s="68"/>
      <c r="AO26" s="87" t="s">
        <v>138</v>
      </c>
      <c r="AP26" s="97" t="str">
        <f t="shared" si="8"/>
        <v>-</v>
      </c>
      <c r="AQ26" s="87" t="s">
        <v>138</v>
      </c>
      <c r="AR26" s="87" t="s">
        <v>138</v>
      </c>
      <c r="AS26" s="68" t="s">
        <v>893</v>
      </c>
      <c r="AT26" s="95" t="s">
        <v>606</v>
      </c>
      <c r="AU26" s="96" t="e" vm="9">
        <f>_xlfn.IMAGE(All_PCC_a[[#This Row],[Image URL]])</f>
        <v>#VALUE!</v>
      </c>
      <c r="AW26" s="68"/>
      <c r="AX26" s="96"/>
      <c r="AY26" s="96"/>
      <c r="AZ26" s="96" t="str">
        <f>IF(AY26=1,COUNTIF($AY$11:AY26,1),"")</f>
        <v/>
      </c>
      <c r="BA26" s="96"/>
      <c r="BB26" s="96"/>
      <c r="BC26" s="96">
        <f>IF(Z26&lt;('DCDC Ref'!$J$24/'DCDC Ref'!$J$26)*'DCDC Ref'!$J$28/100,0,1)</f>
        <v>1</v>
      </c>
      <c r="BD26" s="360">
        <f>IF(BC26=1000000000,"",('All Data'!Q26-'DCDC Ref'!$J$30)/'DCDC Ref'!$J$30*100)</f>
        <v>58.241758241758248</v>
      </c>
      <c r="BE26" s="295">
        <f t="shared" si="3"/>
        <v>58.241758241758248</v>
      </c>
      <c r="BF26" s="295"/>
      <c r="BG26" s="360"/>
      <c r="BH26" s="361">
        <f t="shared" si="4"/>
        <v>0</v>
      </c>
      <c r="BI26" s="295"/>
      <c r="BJ26" s="96">
        <f>IF(BC26=0,"",('All Data'!Z26-'DCDC Ref'!$J$28*('DCDC Ref'!$J$29/100))/'DCDC Ref'!$J$28*('DCDC Ref'!$J$29/100)*100)</f>
        <v>26.413793103448256</v>
      </c>
      <c r="BK26" s="361">
        <f t="shared" si="5"/>
        <v>26.413793103448256</v>
      </c>
      <c r="BL26" s="361"/>
      <c r="BM26" s="361"/>
      <c r="BN26" s="361"/>
      <c r="BO26" s="361"/>
      <c r="BP26" s="96"/>
      <c r="BQ26" s="298">
        <f t="shared" si="6"/>
        <v>291340.86017430847</v>
      </c>
      <c r="BR26" s="298">
        <f>IF(BQ26="","",RANK(BQ26,BQ$11:BQ$9930,1)+COUNTIF(BQ$11:BQ26,BQ26)-1)</f>
        <v>19</v>
      </c>
      <c r="BS26" s="299">
        <f t="shared" si="2"/>
        <v>19</v>
      </c>
      <c r="BT26" s="96" t="str">
        <f>IFERROR(INDEX($O$11:$O$1013,MATCH(ROWS($BS$11:BS26),$BS$11:$BS$1005,0)),"")</f>
        <v>ETQP5MR33YLC</v>
      </c>
      <c r="BU26" s="299" t="str">
        <f t="shared" si="7"/>
        <v>ETQP5MR33YLC</v>
      </c>
      <c r="BV26" s="96"/>
    </row>
    <row r="27" spans="1:74" ht="15">
      <c r="A27" s="95">
        <v>69</v>
      </c>
      <c r="B27" s="259" t="s">
        <v>584</v>
      </c>
      <c r="C27" s="95"/>
      <c r="D27" s="95" t="s">
        <v>585</v>
      </c>
      <c r="E27" s="109"/>
      <c r="F27" s="68" t="s">
        <v>153</v>
      </c>
      <c r="G27" s="69" t="s">
        <v>586</v>
      </c>
      <c r="H27" s="68" t="s">
        <v>587</v>
      </c>
      <c r="I27" s="69" t="s">
        <v>588</v>
      </c>
      <c r="J27" s="68" t="s">
        <v>589</v>
      </c>
      <c r="K27" s="68" t="s">
        <v>601</v>
      </c>
      <c r="L27" s="68" t="s">
        <v>620</v>
      </c>
      <c r="M27" s="68" t="s">
        <v>621</v>
      </c>
      <c r="N27" s="68" t="s">
        <v>593</v>
      </c>
      <c r="O27" s="34" t="s">
        <v>41</v>
      </c>
      <c r="P27" s="37" t="str">
        <f>MID(All_PCC_a[[#This Row],[Part Number]],7,3)</f>
        <v>1R0</v>
      </c>
      <c r="Q27" s="87">
        <v>1</v>
      </c>
      <c r="R27" s="87" t="str">
        <f>IF(All_PCC_a[[#This Row],[Lo (uH)]]&lt;1,"&lt;1",IF(All_PCC_a[[#This Row],[Lo (uH)]]&lt;10,"&lt;10",IF(All_PCC_a[[#This Row],[Lo (uH)]]&lt;100,"&lt;100",IF(All_PCC_a[[#This Row],[Lo (uH)]]&lt;2000,"&lt;2000",""))))</f>
        <v>&lt;10</v>
      </c>
      <c r="S27" s="87" t="str">
        <f>IFERROR(VLOOKUP(All_PCC_a[[#This Row],[Lo (uH)]],Utility!$D$5:$E$43,2,1),"-")</f>
        <v>≤   1</v>
      </c>
      <c r="T27" s="88">
        <v>0.2</v>
      </c>
      <c r="U27" s="126">
        <v>6.2</v>
      </c>
      <c r="V27" s="126">
        <v>6.8200000000000012</v>
      </c>
      <c r="W27" s="87">
        <v>10</v>
      </c>
      <c r="X27" s="87">
        <v>12.1</v>
      </c>
      <c r="Y27" s="87">
        <v>9.9</v>
      </c>
      <c r="Z27" s="117">
        <v>16</v>
      </c>
      <c r="AA27" s="87">
        <v>10.65</v>
      </c>
      <c r="AB27" s="68">
        <v>6.4</v>
      </c>
      <c r="AC27" s="68">
        <v>6</v>
      </c>
      <c r="AD27" s="87">
        <v>3</v>
      </c>
      <c r="AE27" s="68">
        <f>ROUND(All_PCC_a[[#This Row],[L (mm)]]*All_PCC_a[[#This Row],[W (mm)]],1)</f>
        <v>38.4</v>
      </c>
      <c r="AF27" s="87" t="str">
        <f>All_PCC_a[[#This Row],[L (mm)]]&amp;"  x  "&amp;All_PCC_a[[#This Row],[W (mm)]]</f>
        <v>6.4  x  6</v>
      </c>
      <c r="AG27" s="91" t="s">
        <v>618</v>
      </c>
      <c r="AH27" s="97" t="str">
        <f>IF(All_PCC_a[[#This Row],[Max Height (mm)]]&lt;=9,"≤ "&amp;ROUNDUP(AD27,0),"≤"&amp;ROUNDUP(AD27,0))</f>
        <v>≤ 3</v>
      </c>
      <c r="AI27" s="68">
        <v>-55</v>
      </c>
      <c r="AJ27" s="68">
        <v>155</v>
      </c>
      <c r="AK27" s="68" t="str">
        <f>All_PCC_a[[#This Row],[Min Temp (deg.C)]]&amp;" to +"&amp;All_PCC_a[[#This Row],[Max Temp (deg.C)]]</f>
        <v>-55 to +155</v>
      </c>
      <c r="AL27" s="68"/>
      <c r="AO27" s="87" t="s">
        <v>138</v>
      </c>
      <c r="AP27" s="97" t="str">
        <f t="shared" si="8"/>
        <v>-</v>
      </c>
      <c r="AQ27" s="87" t="s">
        <v>138</v>
      </c>
      <c r="AR27" s="87" t="s">
        <v>138</v>
      </c>
      <c r="AS27" s="68" t="s">
        <v>894</v>
      </c>
      <c r="AT27" s="95" t="s">
        <v>606</v>
      </c>
      <c r="AU27" s="96" t="e" vm="9">
        <f>_xlfn.IMAGE(All_PCC_a[[#This Row],[Image URL]])</f>
        <v>#VALUE!</v>
      </c>
      <c r="AW27" s="68"/>
      <c r="AX27" s="96"/>
      <c r="AY27" s="96"/>
      <c r="AZ27" s="96" t="str">
        <f>IF(AY27=1,COUNTIF($AY$11:AY27,1),"")</f>
        <v/>
      </c>
      <c r="BA27" s="96"/>
      <c r="BB27" s="96"/>
      <c r="BC27" s="96">
        <f>IF(Z27&lt;('DCDC Ref'!$J$24/'DCDC Ref'!$J$26)*'DCDC Ref'!$J$28/100,0,1)</f>
        <v>1</v>
      </c>
      <c r="BD27" s="360">
        <f>IF(BC27=1000000000,"",('All Data'!Q27-'DCDC Ref'!$J$30)/'DCDC Ref'!$J$30*100)</f>
        <v>58.241758241758248</v>
      </c>
      <c r="BE27" s="295">
        <f t="shared" si="3"/>
        <v>58.241758241758248</v>
      </c>
      <c r="BF27" s="295"/>
      <c r="BG27" s="360"/>
      <c r="BH27" s="361">
        <f t="shared" si="4"/>
        <v>0</v>
      </c>
      <c r="BI27" s="295"/>
      <c r="BJ27" s="96">
        <f>IF(BC27=0,"",('All Data'!Z27-'DCDC Ref'!$J$28*('DCDC Ref'!$J$29/100))/'DCDC Ref'!$J$28*('DCDC Ref'!$J$29/100)*100)</f>
        <v>43.448275862068954</v>
      </c>
      <c r="BK27" s="361">
        <f t="shared" si="5"/>
        <v>43.448275862068954</v>
      </c>
      <c r="BL27" s="361"/>
      <c r="BM27" s="361"/>
      <c r="BN27" s="361"/>
      <c r="BO27" s="361"/>
      <c r="BP27" s="96"/>
      <c r="BQ27" s="298">
        <f t="shared" si="6"/>
        <v>291426.03258810157</v>
      </c>
      <c r="BR27" s="298">
        <f>IF(BQ27="","",RANK(BQ27,BQ$11:BQ$9930,1)+COUNTIF(BQ$11:BQ27,BQ27)-1)</f>
        <v>20</v>
      </c>
      <c r="BS27" s="299">
        <f t="shared" si="2"/>
        <v>20</v>
      </c>
      <c r="BT27" s="96" t="str">
        <f>IFERROR(INDEX($O$11:$O$1013,MATCH(ROWS($BS$11:BS27),$BS$11:$BS$1005,0)),"")</f>
        <v>ETQP8MR33JFA</v>
      </c>
      <c r="BU27" s="299" t="str">
        <f t="shared" si="7"/>
        <v>ETQP8MR33JFA</v>
      </c>
      <c r="BV27" s="96"/>
    </row>
    <row r="28" spans="1:74" ht="15">
      <c r="A28" s="95">
        <v>80</v>
      </c>
      <c r="B28" s="259" t="s">
        <v>584</v>
      </c>
      <c r="C28" s="95"/>
      <c r="D28" s="95" t="s">
        <v>585</v>
      </c>
      <c r="E28" s="109"/>
      <c r="F28" s="68" t="s">
        <v>153</v>
      </c>
      <c r="G28" s="69" t="s">
        <v>586</v>
      </c>
      <c r="H28" s="68" t="s">
        <v>587</v>
      </c>
      <c r="I28" s="69" t="s">
        <v>588</v>
      </c>
      <c r="J28" s="68" t="s">
        <v>589</v>
      </c>
      <c r="K28" s="68" t="s">
        <v>601</v>
      </c>
      <c r="L28" s="68" t="s">
        <v>622</v>
      </c>
      <c r="M28" s="68" t="s">
        <v>623</v>
      </c>
      <c r="N28" s="68" t="s">
        <v>593</v>
      </c>
      <c r="O28" s="34" t="s">
        <v>42</v>
      </c>
      <c r="P28" s="37" t="str">
        <f>MID(All_PCC_a[[#This Row],[Part Number]],7,3)</f>
        <v>1R0</v>
      </c>
      <c r="Q28" s="87">
        <v>1</v>
      </c>
      <c r="R28" s="87" t="str">
        <f>IF(All_PCC_a[[#This Row],[Lo (uH)]]&lt;1,"&lt;1",IF(All_PCC_a[[#This Row],[Lo (uH)]]&lt;10,"&lt;10",IF(All_PCC_a[[#This Row],[Lo (uH)]]&lt;100,"&lt;100",IF(All_PCC_a[[#This Row],[Lo (uH)]]&lt;2000,"&lt;2000",""))))</f>
        <v>&lt;10</v>
      </c>
      <c r="S28" s="87" t="str">
        <f>IFERROR(VLOOKUP(All_PCC_a[[#This Row],[Lo (uH)]],Utility!$D$5:$E$43,2,1),"-")</f>
        <v>≤   1</v>
      </c>
      <c r="T28" s="88">
        <v>0.2</v>
      </c>
      <c r="U28" s="126">
        <v>3.7</v>
      </c>
      <c r="V28" s="126">
        <v>4.07</v>
      </c>
      <c r="W28" s="87">
        <v>10</v>
      </c>
      <c r="X28" s="87">
        <v>17.3</v>
      </c>
      <c r="Y28" s="87">
        <v>14.8</v>
      </c>
      <c r="Z28" s="117">
        <v>24.4</v>
      </c>
      <c r="AA28" s="87">
        <v>19.059999999999999</v>
      </c>
      <c r="AB28" s="68">
        <v>8.4</v>
      </c>
      <c r="AC28" s="68">
        <v>8</v>
      </c>
      <c r="AD28" s="87">
        <v>4</v>
      </c>
      <c r="AE28" s="68">
        <f>ROUND(All_PCC_a[[#This Row],[L (mm)]]*All_PCC_a[[#This Row],[W (mm)]],1)</f>
        <v>67.2</v>
      </c>
      <c r="AF28" s="87" t="str">
        <f>All_PCC_a[[#This Row],[L (mm)]]&amp;"  x  "&amp;All_PCC_a[[#This Row],[W (mm)]]</f>
        <v>8.4  x  8</v>
      </c>
      <c r="AG28" s="99" t="s">
        <v>624</v>
      </c>
      <c r="AH28" s="97" t="str">
        <f>IF(All_PCC_a[[#This Row],[Max Height (mm)]]&lt;=9,"≤ "&amp;ROUNDUP(AD28,0),"≤"&amp;ROUNDUP(AD28,0))</f>
        <v>≤ 4</v>
      </c>
      <c r="AI28" s="68">
        <v>-55</v>
      </c>
      <c r="AJ28" s="68">
        <v>155</v>
      </c>
      <c r="AK28" s="68" t="str">
        <f>All_PCC_a[[#This Row],[Min Temp (deg.C)]]&amp;" to +"&amp;All_PCC_a[[#This Row],[Max Temp (deg.C)]]</f>
        <v>-55 to +155</v>
      </c>
      <c r="AL28" s="68"/>
      <c r="AO28" s="87" t="s">
        <v>138</v>
      </c>
      <c r="AP28" s="97" t="str">
        <f t="shared" si="8"/>
        <v>-</v>
      </c>
      <c r="AQ28" s="87" t="s">
        <v>138</v>
      </c>
      <c r="AR28" s="87" t="s">
        <v>138</v>
      </c>
      <c r="AS28" s="68" t="s">
        <v>895</v>
      </c>
      <c r="AT28" s="95" t="s">
        <v>606</v>
      </c>
      <c r="AU28" s="96" t="e" vm="9">
        <f>_xlfn.IMAGE(All_PCC_a[[#This Row],[Image URL]])</f>
        <v>#VALUE!</v>
      </c>
      <c r="AW28" s="68"/>
      <c r="AY28" s="68"/>
      <c r="BC28" s="96">
        <f>IF(Z28&lt;('DCDC Ref'!$J$24/'DCDC Ref'!$J$26)*'DCDC Ref'!$J$28/100,0,1)</f>
        <v>1</v>
      </c>
      <c r="BD28" s="360">
        <f>IF(BC28=1000000000,"",('All Data'!Q28-'DCDC Ref'!$J$30)/'DCDC Ref'!$J$30*100)</f>
        <v>58.241758241758248</v>
      </c>
      <c r="BE28" s="295">
        <f t="shared" si="3"/>
        <v>58.241758241758248</v>
      </c>
      <c r="BF28" s="295"/>
      <c r="BG28" s="360"/>
      <c r="BH28" s="361">
        <f t="shared" si="4"/>
        <v>0</v>
      </c>
      <c r="BI28" s="295"/>
      <c r="BJ28" s="96">
        <f>IF(BC28=0,"",('All Data'!Z28-'DCDC Ref'!$J$28*('DCDC Ref'!$J$29/100))/'DCDC Ref'!$J$28*('DCDC Ref'!$J$29/100)*100)</f>
        <v>118.75862068965513</v>
      </c>
      <c r="BK28" s="361">
        <f t="shared" si="5"/>
        <v>118.75862068965513</v>
      </c>
      <c r="BL28" s="361"/>
      <c r="BM28" s="361"/>
      <c r="BN28" s="361"/>
      <c r="BO28" s="361"/>
      <c r="BP28" s="96"/>
      <c r="BQ28" s="298">
        <f t="shared" si="6"/>
        <v>291802.58431223955</v>
      </c>
      <c r="BR28" s="298">
        <f>IF(BQ28="","",RANK(BQ28,BQ$11:BQ$9930,1)+COUNTIF(BQ$11:BQ28,BQ28)-1)</f>
        <v>22</v>
      </c>
      <c r="BS28" s="299">
        <f t="shared" si="2"/>
        <v>22</v>
      </c>
      <c r="BT28" s="96" t="str">
        <f>IFERROR(INDEX($O$11:$O$1013,MATCH(ROWS($BS$11:BS28),$BS$11:$BS$1005,0)),"")</f>
        <v>ETQPAMR33JFW</v>
      </c>
      <c r="BU28" s="299" t="str">
        <f t="shared" si="7"/>
        <v>ETQPAMR33JFW</v>
      </c>
      <c r="BV28" s="96"/>
    </row>
    <row r="29" spans="1:74" ht="15">
      <c r="A29" s="95">
        <v>92</v>
      </c>
      <c r="B29" s="259" t="s">
        <v>584</v>
      </c>
      <c r="C29" s="95"/>
      <c r="D29" s="95" t="s">
        <v>585</v>
      </c>
      <c r="E29" s="109"/>
      <c r="F29" s="68" t="s">
        <v>153</v>
      </c>
      <c r="G29" s="69" t="s">
        <v>586</v>
      </c>
      <c r="H29" s="68" t="s">
        <v>587</v>
      </c>
      <c r="I29" s="69" t="s">
        <v>588</v>
      </c>
      <c r="J29" s="68" t="s">
        <v>589</v>
      </c>
      <c r="K29" s="68" t="s">
        <v>601</v>
      </c>
      <c r="L29" s="68" t="s">
        <v>629</v>
      </c>
      <c r="M29" s="68" t="s">
        <v>630</v>
      </c>
      <c r="N29" s="68" t="s">
        <v>593</v>
      </c>
      <c r="O29" s="34" t="s">
        <v>44</v>
      </c>
      <c r="P29" s="37" t="str">
        <f>MID(All_PCC_a[[#This Row],[Part Number]],7,3)</f>
        <v>1R0</v>
      </c>
      <c r="Q29" s="87">
        <v>1</v>
      </c>
      <c r="R29" s="87" t="str">
        <f>IF(All_PCC_a[[#This Row],[Lo (uH)]]&lt;1,"&lt;1",IF(All_PCC_a[[#This Row],[Lo (uH)]]&lt;10,"&lt;10",IF(All_PCC_a[[#This Row],[Lo (uH)]]&lt;100,"&lt;100",IF(All_PCC_a[[#This Row],[Lo (uH)]]&lt;2000,"&lt;2000",""))))</f>
        <v>&lt;10</v>
      </c>
      <c r="S29" s="87" t="str">
        <f>IFERROR(VLOOKUP(All_PCC_a[[#This Row],[Lo (uH)]],Utility!$D$5:$E$43,2,1),"-")</f>
        <v>≤   1</v>
      </c>
      <c r="T29" s="88">
        <v>0.2</v>
      </c>
      <c r="U29" s="126">
        <v>2.6</v>
      </c>
      <c r="V29" s="126">
        <v>2.8600000000000003</v>
      </c>
      <c r="W29" s="87">
        <v>10</v>
      </c>
      <c r="X29" s="87">
        <v>23.9</v>
      </c>
      <c r="Y29" s="121">
        <v>19.600000000000001</v>
      </c>
      <c r="Z29" s="122">
        <v>34.6</v>
      </c>
      <c r="AA29" s="87">
        <v>24.000000000000028</v>
      </c>
      <c r="AB29" s="68">
        <v>10.7</v>
      </c>
      <c r="AC29" s="68">
        <v>10</v>
      </c>
      <c r="AD29" s="87">
        <v>4</v>
      </c>
      <c r="AE29" s="68">
        <f>ROUND(All_PCC_a[[#This Row],[L (mm)]]*All_PCC_a[[#This Row],[W (mm)]],1)</f>
        <v>107</v>
      </c>
      <c r="AF29" s="87" t="str">
        <f>All_PCC_a[[#This Row],[L (mm)]]&amp;"  x  "&amp;All_PCC_a[[#This Row],[W (mm)]]</f>
        <v>10.7  x  10</v>
      </c>
      <c r="AG29" s="91" t="s">
        <v>324</v>
      </c>
      <c r="AH29" s="97" t="str">
        <f>IF(All_PCC_a[[#This Row],[Max Height (mm)]]&lt;=9,"≤ "&amp;ROUNDUP(AD29,0),"≤"&amp;ROUNDUP(AD29,0))</f>
        <v>≤ 4</v>
      </c>
      <c r="AI29" s="68">
        <v>-55</v>
      </c>
      <c r="AJ29" s="68">
        <v>155</v>
      </c>
      <c r="AK29" s="68" t="str">
        <f>All_PCC_a[[#This Row],[Min Temp (deg.C)]]&amp;" to +"&amp;All_PCC_a[[#This Row],[Max Temp (deg.C)]]</f>
        <v>-55 to +155</v>
      </c>
      <c r="AL29" s="68"/>
      <c r="AO29" s="87" t="s">
        <v>138</v>
      </c>
      <c r="AP29" s="97" t="str">
        <f t="shared" si="8"/>
        <v>-</v>
      </c>
      <c r="AQ29" s="87" t="s">
        <v>138</v>
      </c>
      <c r="AR29" s="87" t="s">
        <v>138</v>
      </c>
      <c r="AS29" s="68" t="s">
        <v>896</v>
      </c>
      <c r="AT29" s="95" t="s">
        <v>606</v>
      </c>
      <c r="AU29" s="96" t="e" vm="9">
        <f>_xlfn.IMAGE(All_PCC_a[[#This Row],[Image URL]])</f>
        <v>#VALUE!</v>
      </c>
      <c r="AW29" s="68"/>
      <c r="AX29" s="96"/>
      <c r="AY29" s="96"/>
      <c r="AZ29" s="96" t="str">
        <f>IF(AY29=1,COUNTIF($AY$11:AY29,1),"")</f>
        <v/>
      </c>
      <c r="BA29" s="96"/>
      <c r="BB29" s="96"/>
      <c r="BC29" s="96">
        <f>IF(Z29&lt;('DCDC Ref'!$J$24/'DCDC Ref'!$J$26)*'DCDC Ref'!$J$28/100,0,1)</f>
        <v>1</v>
      </c>
      <c r="BD29" s="360">
        <f>IF(BC29=1000000000,"",('All Data'!Q29-'DCDC Ref'!$J$30)/'DCDC Ref'!$J$30*100)</f>
        <v>58.241758241758248</v>
      </c>
      <c r="BE29" s="295">
        <f t="shared" si="3"/>
        <v>58.241758241758248</v>
      </c>
      <c r="BF29" s="295"/>
      <c r="BG29" s="360"/>
      <c r="BH29" s="361">
        <f t="shared" si="4"/>
        <v>0</v>
      </c>
      <c r="BI29" s="295"/>
      <c r="BJ29" s="96">
        <f>IF(BC29=0,"",('All Data'!Z29-'DCDC Ref'!$J$28*('DCDC Ref'!$J$29/100))/'DCDC Ref'!$J$28*('DCDC Ref'!$J$29/100)*100)</f>
        <v>210.20689655172413</v>
      </c>
      <c r="BK29" s="361">
        <f t="shared" si="5"/>
        <v>210.20689655172413</v>
      </c>
      <c r="BL29" s="361"/>
      <c r="BM29" s="361"/>
      <c r="BN29" s="361"/>
      <c r="BO29" s="361"/>
      <c r="BP29" s="96"/>
      <c r="BQ29" s="298">
        <f t="shared" si="6"/>
        <v>292259.82569154986</v>
      </c>
      <c r="BR29" s="298">
        <f>IF(BQ29="","",RANK(BQ29,BQ$11:BQ$9930,1)+COUNTIF(BQ$11:BQ29,BQ29)-1)</f>
        <v>23</v>
      </c>
      <c r="BS29" s="299">
        <f t="shared" si="2"/>
        <v>23</v>
      </c>
      <c r="BT29" s="96" t="str">
        <f>IFERROR(INDEX($O$11:$O$1013,MATCH(ROWS($BS$11:BS29),$BS$11:$BS$1005,0)),"")</f>
        <v>ETQP3M1R0KVP</v>
      </c>
      <c r="BU29" s="299" t="str">
        <f t="shared" si="7"/>
        <v>ETQP3M1R0KVP</v>
      </c>
      <c r="BV29" s="96"/>
    </row>
    <row r="30" spans="1:74" ht="15">
      <c r="A30" s="95">
        <v>13</v>
      </c>
      <c r="B30" s="259" t="s">
        <v>584</v>
      </c>
      <c r="C30" s="95"/>
      <c r="D30" s="95" t="s">
        <v>585</v>
      </c>
      <c r="E30" s="110"/>
      <c r="F30" s="68" t="s">
        <v>153</v>
      </c>
      <c r="G30" s="69" t="s">
        <v>586</v>
      </c>
      <c r="H30" s="68" t="s">
        <v>587</v>
      </c>
      <c r="I30" s="69" t="s">
        <v>588</v>
      </c>
      <c r="J30" s="68" t="s">
        <v>589</v>
      </c>
      <c r="K30" s="68" t="s">
        <v>590</v>
      </c>
      <c r="L30" s="68" t="s">
        <v>631</v>
      </c>
      <c r="M30" s="68" t="s">
        <v>632</v>
      </c>
      <c r="N30" s="68" t="s">
        <v>22</v>
      </c>
      <c r="O30" s="34" t="s">
        <v>45</v>
      </c>
      <c r="P30" s="37" t="str">
        <f>MID(All_PCC_a[[#This Row],[Part Number]],7,3)</f>
        <v>1R5</v>
      </c>
      <c r="Q30" s="90">
        <v>1.5</v>
      </c>
      <c r="R30" s="87" t="str">
        <f>IF(All_PCC_a[[#This Row],[Lo (uH)]]&lt;1,"&lt;1",IF(All_PCC_a[[#This Row],[Lo (uH)]]&lt;10,"&lt;10",IF(All_PCC_a[[#This Row],[Lo (uH)]]&lt;100,"&lt;100",IF(All_PCC_a[[#This Row],[Lo (uH)]]&lt;2000,"&lt;2000",""))))</f>
        <v>&lt;10</v>
      </c>
      <c r="S30" s="87" t="str">
        <f>IFERROR(VLOOKUP(All_PCC_a[[#This Row],[Lo (uH)]],Utility!$D$5:$E$43,2,1),"-")</f>
        <v>≤   2</v>
      </c>
      <c r="T30" s="88">
        <v>0.2</v>
      </c>
      <c r="U30" s="126">
        <v>3.8</v>
      </c>
      <c r="V30" s="126">
        <v>4.18</v>
      </c>
      <c r="W30" s="87">
        <v>10</v>
      </c>
      <c r="X30" s="87">
        <v>21.4</v>
      </c>
      <c r="Y30" s="87">
        <v>17.899999999999999</v>
      </c>
      <c r="Z30" s="117">
        <v>35.1</v>
      </c>
      <c r="AA30" s="87">
        <v>25.52</v>
      </c>
      <c r="AB30" s="68">
        <v>10.7</v>
      </c>
      <c r="AC30" s="68">
        <v>10</v>
      </c>
      <c r="AD30" s="87">
        <v>5.4</v>
      </c>
      <c r="AE30" s="68">
        <f>ROUND(All_PCC_a[[#This Row],[L (mm)]]*All_PCC_a[[#This Row],[W (mm)]],1)</f>
        <v>107</v>
      </c>
      <c r="AF30" s="87" t="str">
        <f>All_PCC_a[[#This Row],[L (mm)]]&amp;"  x  "&amp;All_PCC_a[[#This Row],[W (mm)]]</f>
        <v>10.7  x  10</v>
      </c>
      <c r="AG30" s="89" t="s">
        <v>324</v>
      </c>
      <c r="AH30" s="87" t="str">
        <f>IF(All_PCC_a[[#This Row],[Max Height (mm)]]&lt;=9,"≤ "&amp;ROUNDUP(AD30,0),"≤"&amp;ROUNDUP(AD30,0))</f>
        <v>≤ 6</v>
      </c>
      <c r="AI30" s="72">
        <v>-40</v>
      </c>
      <c r="AJ30" s="72">
        <v>150</v>
      </c>
      <c r="AK30" s="68" t="str">
        <f>All_PCC_a[[#This Row],[Min Temp (deg.C)]]&amp;" to +"&amp;All_PCC_a[[#This Row],[Max Temp (deg.C)]]</f>
        <v>-40 to +150</v>
      </c>
      <c r="AL30" s="68"/>
      <c r="AO30" s="87" t="s">
        <v>124</v>
      </c>
      <c r="AP30" s="87" t="str">
        <f t="shared" si="8"/>
        <v>-</v>
      </c>
      <c r="AQ30" s="88" t="s">
        <v>138</v>
      </c>
      <c r="AR30" s="87" t="s">
        <v>138</v>
      </c>
      <c r="AS30" s="68" t="s">
        <v>897</v>
      </c>
      <c r="AT30" s="68" t="s">
        <v>594</v>
      </c>
      <c r="AU30" s="96" t="e" vm="7">
        <f>_xlfn.IMAGE(All_PCC_a[[#This Row],[Image URL]])</f>
        <v>#VALUE!</v>
      </c>
      <c r="AW30" s="68"/>
      <c r="AX30" s="96"/>
      <c r="AY30" s="96"/>
      <c r="AZ30" s="96" t="str">
        <f>IF(AY30=1,COUNTIF($AY$11:AY30,1),"")</f>
        <v/>
      </c>
      <c r="BA30" s="96"/>
      <c r="BB30" s="96"/>
      <c r="BC30" s="96">
        <f>IF(Z30&lt;('DCDC Ref'!$J$24/'DCDC Ref'!$J$26)*'DCDC Ref'!$J$28/100,0,1)</f>
        <v>1</v>
      </c>
      <c r="BD30" s="360">
        <f>IF(BC30=1000000000,"",('All Data'!Q30-'DCDC Ref'!$J$30)/'DCDC Ref'!$J$30*100)</f>
        <v>137.36263736263737</v>
      </c>
      <c r="BE30" s="295">
        <f t="shared" si="3"/>
        <v>137.36263736263737</v>
      </c>
      <c r="BF30" s="295"/>
      <c r="BG30" s="360"/>
      <c r="BH30" s="361">
        <f t="shared" si="4"/>
        <v>0</v>
      </c>
      <c r="BI30" s="295"/>
      <c r="BJ30" s="96">
        <f>IF(BC30=0,"",('All Data'!Z30-'DCDC Ref'!$J$28*('DCDC Ref'!$J$29/100))/'DCDC Ref'!$J$28*('DCDC Ref'!$J$29/100)*100)</f>
        <v>214.68965517241378</v>
      </c>
      <c r="BK30" s="361">
        <f t="shared" si="5"/>
        <v>214.68965517241378</v>
      </c>
      <c r="BL30" s="361"/>
      <c r="BM30" s="361"/>
      <c r="BN30" s="361"/>
      <c r="BO30" s="361"/>
      <c r="BP30" s="96"/>
      <c r="BQ30" s="298">
        <f t="shared" si="6"/>
        <v>687886.63508904888</v>
      </c>
      <c r="BR30" s="298">
        <f>IF(BQ30="","",RANK(BQ30,BQ$11:BQ$9930,1)+COUNTIF(BQ$11:BQ30,BQ30)-1)</f>
        <v>37</v>
      </c>
      <c r="BS30" s="299">
        <f t="shared" si="2"/>
        <v>37</v>
      </c>
      <c r="BT30" s="96" t="str">
        <f>IFERROR(INDEX($O$11:$O$1013,MATCH(ROWS($BS$11:BS30),$BS$11:$BS$1005,0)),"")</f>
        <v>ETQP3M1R0KVN</v>
      </c>
      <c r="BU30" s="299" t="str">
        <f t="shared" si="7"/>
        <v>ETQP3M1R0KVN</v>
      </c>
      <c r="BV30" s="96"/>
    </row>
    <row r="31" spans="1:74" ht="15">
      <c r="A31" s="95">
        <v>41</v>
      </c>
      <c r="B31" s="259" t="s">
        <v>584</v>
      </c>
      <c r="C31" s="95"/>
      <c r="D31" s="95" t="s">
        <v>585</v>
      </c>
      <c r="E31" s="109"/>
      <c r="F31" s="68" t="s">
        <v>153</v>
      </c>
      <c r="G31" s="69" t="s">
        <v>586</v>
      </c>
      <c r="H31" s="68" t="s">
        <v>587</v>
      </c>
      <c r="I31" s="69" t="s">
        <v>588</v>
      </c>
      <c r="J31" s="68" t="s">
        <v>589</v>
      </c>
      <c r="K31" s="68" t="s">
        <v>590</v>
      </c>
      <c r="L31" s="68" t="s">
        <v>633</v>
      </c>
      <c r="M31" s="68" t="s">
        <v>634</v>
      </c>
      <c r="N31" s="68" t="s">
        <v>593</v>
      </c>
      <c r="O31" s="34" t="s">
        <v>46</v>
      </c>
      <c r="P31" s="37" t="str">
        <f>MID(All_PCC_a[[#This Row],[Part Number]],7,3)</f>
        <v>1R5</v>
      </c>
      <c r="Q31" s="87">
        <v>1.5</v>
      </c>
      <c r="R31" s="87" t="str">
        <f>IF(All_PCC_a[[#This Row],[Lo (uH)]]&lt;1,"&lt;1",IF(All_PCC_a[[#This Row],[Lo (uH)]]&lt;10,"&lt;10",IF(All_PCC_a[[#This Row],[Lo (uH)]]&lt;100,"&lt;100",IF(All_PCC_a[[#This Row],[Lo (uH)]]&lt;2000,"&lt;2000",""))))</f>
        <v>&lt;10</v>
      </c>
      <c r="S31" s="87" t="str">
        <f>IFERROR(VLOOKUP(All_PCC_a[[#This Row],[Lo (uH)]],Utility!$D$5:$E$43,2,1),"-")</f>
        <v>≤   2</v>
      </c>
      <c r="T31" s="88">
        <v>0.2</v>
      </c>
      <c r="U31" s="126">
        <v>3.2</v>
      </c>
      <c r="V31" s="126">
        <v>3.52</v>
      </c>
      <c r="W31" s="87">
        <v>10</v>
      </c>
      <c r="X31" s="87">
        <v>23.3</v>
      </c>
      <c r="Y31" s="87">
        <v>19.5</v>
      </c>
      <c r="Z31" s="117">
        <v>32</v>
      </c>
      <c r="AA31" s="87">
        <v>22.19</v>
      </c>
      <c r="AB31" s="68">
        <v>10.9</v>
      </c>
      <c r="AC31" s="68">
        <v>10</v>
      </c>
      <c r="AD31" s="87">
        <v>6</v>
      </c>
      <c r="AE31" s="68">
        <f>ROUND(All_PCC_a[[#This Row],[L (mm)]]*All_PCC_a[[#This Row],[W (mm)]],1)</f>
        <v>109</v>
      </c>
      <c r="AF31" s="87" t="str">
        <f>All_PCC_a[[#This Row],[L (mm)]]&amp;"  x  "&amp;All_PCC_a[[#This Row],[W (mm)]]</f>
        <v>10.9  x  10</v>
      </c>
      <c r="AG31" s="91" t="s">
        <v>324</v>
      </c>
      <c r="AH31" s="97" t="str">
        <f>IF(All_PCC_a[[#This Row],[Max Height (mm)]]&lt;=9,"≤ "&amp;ROUNDUP(AD31,0),"≤"&amp;ROUNDUP(AD31,0))</f>
        <v>≤ 6</v>
      </c>
      <c r="AI31" s="68">
        <v>-40</v>
      </c>
      <c r="AJ31" s="68">
        <v>150</v>
      </c>
      <c r="AK31" s="68" t="str">
        <f>All_PCC_a[[#This Row],[Min Temp (deg.C)]]&amp;" to +"&amp;All_PCC_a[[#This Row],[Max Temp (deg.C)]]</f>
        <v>-40 to +150</v>
      </c>
      <c r="AL31" s="68"/>
      <c r="AO31" s="87" t="s">
        <v>138</v>
      </c>
      <c r="AP31" s="97" t="str">
        <f t="shared" si="8"/>
        <v>-</v>
      </c>
      <c r="AQ31" s="87" t="s">
        <v>138</v>
      </c>
      <c r="AR31" s="87" t="s">
        <v>138</v>
      </c>
      <c r="AS31" s="68" t="s">
        <v>898</v>
      </c>
      <c r="AT31" s="68" t="s">
        <v>594</v>
      </c>
      <c r="AU31" s="96" t="e" vm="7">
        <f>_xlfn.IMAGE(All_PCC_a[[#This Row],[Image URL]])</f>
        <v>#VALUE!</v>
      </c>
      <c r="AW31" s="68"/>
      <c r="AY31" s="68"/>
      <c r="BC31" s="96">
        <f>IF(Z31&lt;('DCDC Ref'!$J$24/'DCDC Ref'!$J$26)*'DCDC Ref'!$J$28/100,0,1)</f>
        <v>1</v>
      </c>
      <c r="BD31" s="360">
        <f>IF(BC31=1000000000,"",('All Data'!Q31-'DCDC Ref'!$J$30)/'DCDC Ref'!$J$30*100)</f>
        <v>137.36263736263737</v>
      </c>
      <c r="BE31" s="295">
        <f t="shared" si="3"/>
        <v>137.36263736263737</v>
      </c>
      <c r="BF31" s="295"/>
      <c r="BG31" s="360"/>
      <c r="BH31" s="361">
        <f t="shared" si="4"/>
        <v>0</v>
      </c>
      <c r="BI31" s="295"/>
      <c r="BJ31" s="96">
        <f>IF(BC31=0,"",('All Data'!Z31-'DCDC Ref'!$J$28*('DCDC Ref'!$J$29/100))/'DCDC Ref'!$J$28*('DCDC Ref'!$J$29/100)*100)</f>
        <v>186.89655172413791</v>
      </c>
      <c r="BK31" s="361">
        <f t="shared" si="5"/>
        <v>186.89655172413791</v>
      </c>
      <c r="BL31" s="361"/>
      <c r="BM31" s="361"/>
      <c r="BN31" s="361"/>
      <c r="BO31" s="361"/>
      <c r="BP31" s="96"/>
      <c r="BQ31" s="298">
        <f t="shared" si="6"/>
        <v>687747.66957180749</v>
      </c>
      <c r="BR31" s="298">
        <f>IF(BQ31="","",RANK(BQ31,BQ$11:BQ$9930,1)+COUNTIF(BQ$11:BQ31,BQ31)-1)</f>
        <v>36</v>
      </c>
      <c r="BS31" s="299">
        <f t="shared" si="2"/>
        <v>36</v>
      </c>
      <c r="BT31" s="96" t="str">
        <f>IFERROR(INDEX($O$11:$O$1013,MATCH(ROWS($BS$11:BS31),$BS$11:$BS$1005,0)),"")</f>
        <v>ETQP3M1R0YFN</v>
      </c>
      <c r="BU31" s="299" t="str">
        <f t="shared" si="7"/>
        <v>ETQP3M1R0YFN</v>
      </c>
      <c r="BV31" s="96"/>
    </row>
    <row r="32" spans="1:74" ht="15">
      <c r="A32" s="95">
        <v>48</v>
      </c>
      <c r="B32" s="259" t="s">
        <v>584</v>
      </c>
      <c r="C32" s="95"/>
      <c r="D32" s="95" t="s">
        <v>585</v>
      </c>
      <c r="E32" s="109"/>
      <c r="F32" s="68" t="s">
        <v>153</v>
      </c>
      <c r="G32" s="69" t="s">
        <v>586</v>
      </c>
      <c r="H32" s="68" t="s">
        <v>587</v>
      </c>
      <c r="I32" s="69" t="s">
        <v>588</v>
      </c>
      <c r="J32" s="68" t="s">
        <v>589</v>
      </c>
      <c r="K32" s="68" t="s">
        <v>596</v>
      </c>
      <c r="L32" s="68" t="s">
        <v>597</v>
      </c>
      <c r="M32" s="68" t="s">
        <v>598</v>
      </c>
      <c r="N32" s="68" t="s">
        <v>593</v>
      </c>
      <c r="O32" s="34" t="s">
        <v>47</v>
      </c>
      <c r="P32" s="37" t="str">
        <f>MID(All_PCC_a[[#This Row],[Part Number]],7,3)</f>
        <v>1R5</v>
      </c>
      <c r="Q32" s="87">
        <v>1.5</v>
      </c>
      <c r="R32" s="87" t="str">
        <f>IF(All_PCC_a[[#This Row],[Lo (uH)]]&lt;1,"&lt;1",IF(All_PCC_a[[#This Row],[Lo (uH)]]&lt;10,"&lt;10",IF(All_PCC_a[[#This Row],[Lo (uH)]]&lt;100,"&lt;100",IF(All_PCC_a[[#This Row],[Lo (uH)]]&lt;2000,"&lt;2000",""))))</f>
        <v>&lt;10</v>
      </c>
      <c r="S32" s="87" t="str">
        <f>IFERROR(VLOOKUP(All_PCC_a[[#This Row],[Lo (uH)]],Utility!$D$5:$E$43,2,1),"-")</f>
        <v>≤   2</v>
      </c>
      <c r="T32" s="88">
        <v>0.2</v>
      </c>
      <c r="U32" s="126">
        <v>1.8</v>
      </c>
      <c r="V32" s="126">
        <v>1.9800000000000002</v>
      </c>
      <c r="W32" s="87">
        <v>10</v>
      </c>
      <c r="X32" s="87">
        <v>33.299999999999997</v>
      </c>
      <c r="Y32" s="87">
        <v>27.7</v>
      </c>
      <c r="Z32" s="117">
        <v>29.9</v>
      </c>
      <c r="AA32" s="560">
        <v>21.51</v>
      </c>
      <c r="AB32" s="68">
        <v>12.6</v>
      </c>
      <c r="AC32" s="68">
        <v>13.2</v>
      </c>
      <c r="AD32" s="87">
        <v>8</v>
      </c>
      <c r="AE32" s="68">
        <f>ROUND(All_PCC_a[[#This Row],[L (mm)]]*All_PCC_a[[#This Row],[W (mm)]],1)</f>
        <v>166.3</v>
      </c>
      <c r="AF32" s="87" t="str">
        <f>All_PCC_a[[#This Row],[L (mm)]]&amp;"  x  "&amp;All_PCC_a[[#This Row],[W (mm)]]</f>
        <v>12.6  x  13.2</v>
      </c>
      <c r="AG32" s="91" t="s">
        <v>341</v>
      </c>
      <c r="AH32" s="97" t="str">
        <f>IF(All_PCC_a[[#This Row],[Max Height (mm)]]&lt;=9,"≤ "&amp;ROUNDUP(AD32,0),"≤"&amp;ROUNDUP(AD32,0))</f>
        <v>≤ 8</v>
      </c>
      <c r="AI32" s="68">
        <v>-40</v>
      </c>
      <c r="AJ32" s="68">
        <v>160</v>
      </c>
      <c r="AK32" s="68" t="str">
        <f>All_PCC_a[[#This Row],[Min Temp (deg.C)]]&amp;" to +"&amp;All_PCC_a[[#This Row],[Max Temp (deg.C)]]</f>
        <v>-40 to +160</v>
      </c>
      <c r="AL32" s="68"/>
      <c r="AN32" s="68" t="s">
        <v>600</v>
      </c>
      <c r="AO32" s="87" t="s">
        <v>138</v>
      </c>
      <c r="AP32" s="97" t="str">
        <f t="shared" si="8"/>
        <v>-</v>
      </c>
      <c r="AQ32" s="87" t="s">
        <v>138</v>
      </c>
      <c r="AR32" s="87" t="s">
        <v>138</v>
      </c>
      <c r="AS32" s="68" t="s">
        <v>899</v>
      </c>
      <c r="AT32" s="68" t="s">
        <v>619</v>
      </c>
      <c r="AU32" s="96" t="e" vm="8">
        <f>_xlfn.IMAGE(All_PCC_a[[#This Row],[Image URL]])</f>
        <v>#VALUE!</v>
      </c>
      <c r="AW32" s="68"/>
      <c r="AY32" s="68"/>
      <c r="BC32" s="96">
        <f>IF(Z32&lt;('DCDC Ref'!$J$24/'DCDC Ref'!$J$26)*'DCDC Ref'!$J$28/100,0,1)</f>
        <v>1</v>
      </c>
      <c r="BD32" s="360">
        <f>IF(BC32=1000000000,"",('All Data'!Q32-'DCDC Ref'!$J$30)/'DCDC Ref'!$J$30*100)</f>
        <v>137.36263736263737</v>
      </c>
      <c r="BE32" s="295">
        <f t="shared" si="3"/>
        <v>137.36263736263737</v>
      </c>
      <c r="BF32" s="295"/>
      <c r="BG32" s="360"/>
      <c r="BH32" s="361">
        <f t="shared" si="4"/>
        <v>0</v>
      </c>
      <c r="BI32" s="295"/>
      <c r="BJ32" s="96">
        <f>IF(BC32=0,"",('All Data'!Z32-'DCDC Ref'!$J$28*('DCDC Ref'!$J$29/100))/'DCDC Ref'!$J$28*('DCDC Ref'!$J$29/100)*100)</f>
        <v>168.06896551724137</v>
      </c>
      <c r="BK32" s="361">
        <f t="shared" si="5"/>
        <v>168.06896551724137</v>
      </c>
      <c r="BL32" s="361"/>
      <c r="BM32" s="361"/>
      <c r="BN32" s="361"/>
      <c r="BO32" s="361"/>
      <c r="BP32" s="96"/>
      <c r="BQ32" s="298">
        <f t="shared" si="6"/>
        <v>687653.53164077306</v>
      </c>
      <c r="BR32" s="298">
        <f>IF(BQ32="","",RANK(BQ32,BQ$11:BQ$9930,1)+COUNTIF(BQ$11:BQ32,BQ32)-1)</f>
        <v>35</v>
      </c>
      <c r="BS32" s="299">
        <f t="shared" si="2"/>
        <v>35</v>
      </c>
      <c r="BT32" s="96" t="str">
        <f>IFERROR(INDEX($O$11:$O$1013,MATCH(ROWS($BS$11:BS32),$BS$11:$BS$1005,0)),"")</f>
        <v>ETQP4M1R0KVK</v>
      </c>
      <c r="BU32" s="299" t="str">
        <f t="shared" si="7"/>
        <v>ETQP4M1R0KVK</v>
      </c>
      <c r="BV32" s="96"/>
    </row>
    <row r="33" spans="1:74" ht="15">
      <c r="A33" s="95">
        <v>57</v>
      </c>
      <c r="B33" s="259" t="s">
        <v>584</v>
      </c>
      <c r="C33" s="95"/>
      <c r="D33" s="95" t="s">
        <v>585</v>
      </c>
      <c r="E33" s="109"/>
      <c r="F33" s="68" t="s">
        <v>153</v>
      </c>
      <c r="G33" s="69" t="s">
        <v>586</v>
      </c>
      <c r="H33" s="68" t="s">
        <v>587</v>
      </c>
      <c r="I33" s="69" t="s">
        <v>588</v>
      </c>
      <c r="J33" s="68" t="s">
        <v>589</v>
      </c>
      <c r="K33" s="68" t="s">
        <v>601</v>
      </c>
      <c r="L33" s="68" t="s">
        <v>602</v>
      </c>
      <c r="M33" s="68" t="s">
        <v>603</v>
      </c>
      <c r="N33" s="68" t="s">
        <v>593</v>
      </c>
      <c r="O33" s="34" t="s">
        <v>48</v>
      </c>
      <c r="P33" s="37" t="str">
        <f>MID(All_PCC_a[[#This Row],[Part Number]],7,3)</f>
        <v>1R5</v>
      </c>
      <c r="Q33" s="87">
        <v>1.5</v>
      </c>
      <c r="R33" s="87" t="str">
        <f>IF(All_PCC_a[[#This Row],[Lo (uH)]]&lt;1,"&lt;1",IF(All_PCC_a[[#This Row],[Lo (uH)]]&lt;10,"&lt;10",IF(All_PCC_a[[#This Row],[Lo (uH)]]&lt;100,"&lt;100",IF(All_PCC_a[[#This Row],[Lo (uH)]]&lt;2000,"&lt;2000",""))))</f>
        <v>&lt;10</v>
      </c>
      <c r="S33" s="87" t="str">
        <f>IFERROR(VLOOKUP(All_PCC_a[[#This Row],[Lo (uH)]],Utility!$D$5:$E$43,2,1),"-")</f>
        <v>≤   2</v>
      </c>
      <c r="T33" s="88">
        <v>0.2</v>
      </c>
      <c r="U33" s="126">
        <v>12</v>
      </c>
      <c r="V33" s="126">
        <v>13.200000000000001</v>
      </c>
      <c r="W33" s="87">
        <v>10</v>
      </c>
      <c r="X33" s="87">
        <v>8.1</v>
      </c>
      <c r="Y33" s="87">
        <v>6.7</v>
      </c>
      <c r="Z33" s="117">
        <v>12</v>
      </c>
      <c r="AA33" s="87">
        <v>9.61</v>
      </c>
      <c r="AB33" s="68">
        <v>5.5</v>
      </c>
      <c r="AC33" s="68">
        <v>5</v>
      </c>
      <c r="AD33" s="87">
        <v>3</v>
      </c>
      <c r="AE33" s="68">
        <f>ROUND(All_PCC_a[[#This Row],[L (mm)]]*All_PCC_a[[#This Row],[W (mm)]],1)</f>
        <v>27.5</v>
      </c>
      <c r="AF33" s="87" t="str">
        <f>All_PCC_a[[#This Row],[L (mm)]]&amp;"  x  "&amp;All_PCC_a[[#This Row],[W (mm)]]</f>
        <v>5.5  x  5</v>
      </c>
      <c r="AG33" s="91" t="s">
        <v>605</v>
      </c>
      <c r="AH33" s="97" t="str">
        <f>IF(All_PCC_a[[#This Row],[Max Height (mm)]]&lt;=9,"≤ "&amp;ROUNDUP(AD33,0),"≤"&amp;ROUNDUP(AD33,0))</f>
        <v>≤ 3</v>
      </c>
      <c r="AI33" s="68">
        <v>-55</v>
      </c>
      <c r="AJ33" s="68">
        <v>155</v>
      </c>
      <c r="AK33" s="68" t="str">
        <f>All_PCC_a[[#This Row],[Min Temp (deg.C)]]&amp;" to +"&amp;All_PCC_a[[#This Row],[Max Temp (deg.C)]]</f>
        <v>-55 to +155</v>
      </c>
      <c r="AL33" s="68"/>
      <c r="AO33" s="87" t="s">
        <v>138</v>
      </c>
      <c r="AP33" s="97" t="str">
        <f t="shared" si="8"/>
        <v>-</v>
      </c>
      <c r="AQ33" s="87" t="s">
        <v>138</v>
      </c>
      <c r="AR33" s="87" t="s">
        <v>138</v>
      </c>
      <c r="AS33" s="68" t="s">
        <v>900</v>
      </c>
      <c r="AT33" s="95" t="s">
        <v>606</v>
      </c>
      <c r="AU33" s="96" t="e" vm="9">
        <f>_xlfn.IMAGE(All_PCC_a[[#This Row],[Image URL]])</f>
        <v>#VALUE!</v>
      </c>
      <c r="AW33" s="68"/>
      <c r="AX33" s="96"/>
      <c r="AY33" s="96"/>
      <c r="AZ33" s="96" t="str">
        <f>IF(AY33=1,COUNTIF($AY$11:AY33,1),"")</f>
        <v/>
      </c>
      <c r="BA33" s="96"/>
      <c r="BB33" s="96"/>
      <c r="BC33" s="96">
        <f>IF(Z33&lt;('DCDC Ref'!$J$24/'DCDC Ref'!$J$26)*'DCDC Ref'!$J$28/100,0,1)</f>
        <v>1</v>
      </c>
      <c r="BD33" s="360">
        <f>IF(BC33=1000000000,"",('All Data'!Q33-'DCDC Ref'!$J$30)/'DCDC Ref'!$J$30*100)</f>
        <v>137.36263736263737</v>
      </c>
      <c r="BE33" s="295">
        <f t="shared" si="3"/>
        <v>137.36263736263737</v>
      </c>
      <c r="BF33" s="295"/>
      <c r="BG33" s="360"/>
      <c r="BH33" s="361">
        <f t="shared" si="4"/>
        <v>0</v>
      </c>
      <c r="BI33" s="295"/>
      <c r="BJ33" s="96">
        <f>IF(BC33=0,"",('All Data'!Z33-'DCDC Ref'!$J$28*('DCDC Ref'!$J$29/100))/'DCDC Ref'!$J$28*('DCDC Ref'!$J$29/100)*100)</f>
        <v>7.5862068965517127</v>
      </c>
      <c r="BK33" s="361">
        <f t="shared" si="5"/>
        <v>7.5862068965517127</v>
      </c>
      <c r="BL33" s="361"/>
      <c r="BM33" s="361"/>
      <c r="BN33" s="361"/>
      <c r="BO33" s="361"/>
      <c r="BP33" s="96"/>
      <c r="BQ33" s="298">
        <f t="shared" si="6"/>
        <v>686851.11784766964</v>
      </c>
      <c r="BR33" s="298">
        <f>IF(BQ33="","",RANK(BQ33,BQ$11:BQ$9930,1)+COUNTIF(BQ$11:BQ33,BQ33)-1)</f>
        <v>30</v>
      </c>
      <c r="BS33" s="299">
        <f t="shared" si="2"/>
        <v>30</v>
      </c>
      <c r="BT33" s="96" t="str">
        <f>IFERROR(INDEX($O$11:$O$1013,MATCH(ROWS($BS$11:BS33),$BS$11:$BS$1005,0)),"")</f>
        <v>ETQP4M1R0KVC</v>
      </c>
      <c r="BU33" s="299" t="str">
        <f t="shared" si="7"/>
        <v>ETQP4M1R0KVC</v>
      </c>
      <c r="BV33" s="96"/>
    </row>
    <row r="34" spans="1:74" ht="15">
      <c r="A34" s="95">
        <v>68</v>
      </c>
      <c r="B34" s="259" t="s">
        <v>584</v>
      </c>
      <c r="C34" s="95"/>
      <c r="D34" s="95" t="s">
        <v>585</v>
      </c>
      <c r="E34" s="109"/>
      <c r="F34" s="68" t="s">
        <v>153</v>
      </c>
      <c r="G34" s="69" t="s">
        <v>586</v>
      </c>
      <c r="H34" s="68" t="s">
        <v>587</v>
      </c>
      <c r="I34" s="69" t="s">
        <v>588</v>
      </c>
      <c r="J34" s="68" t="s">
        <v>589</v>
      </c>
      <c r="K34" s="68" t="s">
        <v>601</v>
      </c>
      <c r="L34" s="68" t="s">
        <v>620</v>
      </c>
      <c r="M34" s="68" t="s">
        <v>621</v>
      </c>
      <c r="N34" s="68" t="s">
        <v>593</v>
      </c>
      <c r="O34" s="34" t="s">
        <v>49</v>
      </c>
      <c r="P34" s="37" t="str">
        <f>MID(All_PCC_a[[#This Row],[Part Number]],7,3)</f>
        <v>1R5</v>
      </c>
      <c r="Q34" s="87">
        <v>1.5</v>
      </c>
      <c r="R34" s="87" t="str">
        <f>IF(All_PCC_a[[#This Row],[Lo (uH)]]&lt;1,"&lt;1",IF(All_PCC_a[[#This Row],[Lo (uH)]]&lt;10,"&lt;10",IF(All_PCC_a[[#This Row],[Lo (uH)]]&lt;100,"&lt;100",IF(All_PCC_a[[#This Row],[Lo (uH)]]&lt;2000,"&lt;2000",""))))</f>
        <v>&lt;10</v>
      </c>
      <c r="S34" s="87" t="str">
        <f>IFERROR(VLOOKUP(All_PCC_a[[#This Row],[Lo (uH)]],Utility!$D$5:$E$43,2,1),"-")</f>
        <v>≤   2</v>
      </c>
      <c r="T34" s="88">
        <v>0.2</v>
      </c>
      <c r="U34" s="126">
        <v>11</v>
      </c>
      <c r="V34" s="126">
        <v>12.100000000000001</v>
      </c>
      <c r="W34" s="87">
        <v>10</v>
      </c>
      <c r="X34" s="87">
        <v>9.1</v>
      </c>
      <c r="Y34" s="87">
        <v>7.4</v>
      </c>
      <c r="Z34" s="117">
        <v>14.2</v>
      </c>
      <c r="AA34" s="87">
        <v>10.37</v>
      </c>
      <c r="AB34" s="68">
        <v>6.4</v>
      </c>
      <c r="AC34" s="68">
        <v>6</v>
      </c>
      <c r="AD34" s="87">
        <v>3</v>
      </c>
      <c r="AE34" s="68">
        <f>ROUND(All_PCC_a[[#This Row],[L (mm)]]*All_PCC_a[[#This Row],[W (mm)]],1)</f>
        <v>38.4</v>
      </c>
      <c r="AF34" s="87" t="str">
        <f>All_PCC_a[[#This Row],[L (mm)]]&amp;"  x  "&amp;All_PCC_a[[#This Row],[W (mm)]]</f>
        <v>6.4  x  6</v>
      </c>
      <c r="AG34" s="91" t="s">
        <v>618</v>
      </c>
      <c r="AH34" s="97" t="str">
        <f>IF(All_PCC_a[[#This Row],[Max Height (mm)]]&lt;=9,"≤ "&amp;ROUNDUP(AD34,0),"≤"&amp;ROUNDUP(AD34,0))</f>
        <v>≤ 3</v>
      </c>
      <c r="AI34" s="68">
        <v>-55</v>
      </c>
      <c r="AJ34" s="68">
        <v>155</v>
      </c>
      <c r="AK34" s="68" t="str">
        <f>All_PCC_a[[#This Row],[Min Temp (deg.C)]]&amp;" to +"&amp;All_PCC_a[[#This Row],[Max Temp (deg.C)]]</f>
        <v>-55 to +155</v>
      </c>
      <c r="AL34" s="68"/>
      <c r="AO34" s="87" t="s">
        <v>138</v>
      </c>
      <c r="AP34" s="97" t="str">
        <f t="shared" si="8"/>
        <v>-</v>
      </c>
      <c r="AQ34" s="87" t="s">
        <v>138</v>
      </c>
      <c r="AR34" s="87" t="s">
        <v>138</v>
      </c>
      <c r="AS34" s="68" t="s">
        <v>901</v>
      </c>
      <c r="AT34" s="95" t="s">
        <v>606</v>
      </c>
      <c r="AU34" s="96" t="e" vm="9">
        <f>_xlfn.IMAGE(All_PCC_a[[#This Row],[Image URL]])</f>
        <v>#VALUE!</v>
      </c>
      <c r="AW34" s="68"/>
      <c r="AX34" s="96"/>
      <c r="AY34" s="96"/>
      <c r="AZ34" s="96" t="str">
        <f>IF(AY34=1,COUNTIF($AY$11:AY34,1),"")</f>
        <v/>
      </c>
      <c r="BA34" s="96"/>
      <c r="BB34" s="96"/>
      <c r="BC34" s="96">
        <f>IF(Z34&lt;('DCDC Ref'!$J$24/'DCDC Ref'!$J$26)*'DCDC Ref'!$J$28/100,0,1)</f>
        <v>1</v>
      </c>
      <c r="BD34" s="360">
        <f>IF(BC34=1000000000,"",('All Data'!Q34-'DCDC Ref'!$J$30)/'DCDC Ref'!$J$30*100)</f>
        <v>137.36263736263737</v>
      </c>
      <c r="BE34" s="295">
        <f t="shared" si="3"/>
        <v>137.36263736263737</v>
      </c>
      <c r="BF34" s="295"/>
      <c r="BG34" s="360"/>
      <c r="BH34" s="361">
        <f t="shared" si="4"/>
        <v>0</v>
      </c>
      <c r="BI34" s="295"/>
      <c r="BJ34" s="96">
        <f>IF(BC34=0,"",('All Data'!Z34-'DCDC Ref'!$J$28*('DCDC Ref'!$J$29/100))/'DCDC Ref'!$J$28*('DCDC Ref'!$J$29/100)*100)</f>
        <v>27.310344827586185</v>
      </c>
      <c r="BK34" s="361">
        <f t="shared" si="5"/>
        <v>27.310344827586185</v>
      </c>
      <c r="BL34" s="361"/>
      <c r="BM34" s="361"/>
      <c r="BN34" s="361"/>
      <c r="BO34" s="361"/>
      <c r="BP34" s="96"/>
      <c r="BQ34" s="298">
        <f t="shared" si="6"/>
        <v>686949.73853732483</v>
      </c>
      <c r="BR34" s="298">
        <f>IF(BQ34="","",RANK(BQ34,BQ$11:BQ$9930,1)+COUNTIF(BQ$11:BQ34,BQ34)-1)</f>
        <v>31</v>
      </c>
      <c r="BS34" s="299">
        <f t="shared" si="2"/>
        <v>31</v>
      </c>
      <c r="BT34" s="96" t="str">
        <f>IFERROR(INDEX($O$11:$O$1013,MATCH(ROWS($BS$11:BS34),$BS$11:$BS$1005,0)),"")</f>
        <v>ETQP5M1R0YLC</v>
      </c>
      <c r="BU34" s="299" t="str">
        <f t="shared" si="7"/>
        <v>ETQP5M1R0YLC</v>
      </c>
      <c r="BV34" s="96"/>
    </row>
    <row r="35" spans="1:74" ht="15">
      <c r="A35" s="95">
        <v>79</v>
      </c>
      <c r="B35" s="259" t="s">
        <v>584</v>
      </c>
      <c r="C35" s="95"/>
      <c r="D35" s="95" t="s">
        <v>585</v>
      </c>
      <c r="E35" s="109"/>
      <c r="F35" s="68" t="s">
        <v>153</v>
      </c>
      <c r="G35" s="69" t="s">
        <v>586</v>
      </c>
      <c r="H35" s="68" t="s">
        <v>587</v>
      </c>
      <c r="I35" s="69" t="s">
        <v>588</v>
      </c>
      <c r="J35" s="68" t="s">
        <v>589</v>
      </c>
      <c r="K35" s="68" t="s">
        <v>601</v>
      </c>
      <c r="L35" s="68" t="s">
        <v>622</v>
      </c>
      <c r="M35" s="68" t="s">
        <v>623</v>
      </c>
      <c r="N35" s="68" t="s">
        <v>593</v>
      </c>
      <c r="O35" s="34" t="s">
        <v>50</v>
      </c>
      <c r="P35" s="37" t="str">
        <f>MID(All_PCC_a[[#This Row],[Part Number]],7,3)</f>
        <v>1R5</v>
      </c>
      <c r="Q35" s="87">
        <v>1.5</v>
      </c>
      <c r="R35" s="87" t="str">
        <f>IF(All_PCC_a[[#This Row],[Lo (uH)]]&lt;1,"&lt;1",IF(All_PCC_a[[#This Row],[Lo (uH)]]&lt;10,"&lt;10",IF(All_PCC_a[[#This Row],[Lo (uH)]]&lt;100,"&lt;100",IF(All_PCC_a[[#This Row],[Lo (uH)]]&lt;2000,"&lt;2000",""))))</f>
        <v>&lt;10</v>
      </c>
      <c r="S35" s="87" t="str">
        <f>IFERROR(VLOOKUP(All_PCC_a[[#This Row],[Lo (uH)]],Utility!$D$5:$E$43,2,1),"-")</f>
        <v>≤   2</v>
      </c>
      <c r="T35" s="88">
        <v>0.2</v>
      </c>
      <c r="U35" s="126">
        <v>4.9000000000000004</v>
      </c>
      <c r="V35" s="126">
        <v>5.3900000000000006</v>
      </c>
      <c r="W35" s="87">
        <v>10</v>
      </c>
      <c r="X35" s="87">
        <v>15.1</v>
      </c>
      <c r="Y35" s="87">
        <v>12.8</v>
      </c>
      <c r="Z35" s="117">
        <v>22.5</v>
      </c>
      <c r="AA35" s="87">
        <v>17.559999999999999</v>
      </c>
      <c r="AB35" s="68">
        <v>8.4</v>
      </c>
      <c r="AC35" s="68">
        <v>8</v>
      </c>
      <c r="AD35" s="87">
        <v>4</v>
      </c>
      <c r="AE35" s="68">
        <f>ROUND(All_PCC_a[[#This Row],[L (mm)]]*All_PCC_a[[#This Row],[W (mm)]],1)</f>
        <v>67.2</v>
      </c>
      <c r="AF35" s="87" t="str">
        <f>All_PCC_a[[#This Row],[L (mm)]]&amp;"  x  "&amp;All_PCC_a[[#This Row],[W (mm)]]</f>
        <v>8.4  x  8</v>
      </c>
      <c r="AG35" s="99" t="s">
        <v>624</v>
      </c>
      <c r="AH35" s="97" t="str">
        <f>IF(All_PCC_a[[#This Row],[Max Height (mm)]]&lt;=9,"≤ "&amp;ROUNDUP(AD35,0),"≤"&amp;ROUNDUP(AD35,0))</f>
        <v>≤ 4</v>
      </c>
      <c r="AI35" s="68">
        <v>-55</v>
      </c>
      <c r="AJ35" s="68">
        <v>155</v>
      </c>
      <c r="AK35" s="68" t="str">
        <f>All_PCC_a[[#This Row],[Min Temp (deg.C)]]&amp;" to +"&amp;All_PCC_a[[#This Row],[Max Temp (deg.C)]]</f>
        <v>-55 to +155</v>
      </c>
      <c r="AL35" s="68"/>
      <c r="AO35" s="87" t="s">
        <v>138</v>
      </c>
      <c r="AP35" s="97" t="str">
        <f t="shared" si="8"/>
        <v>-</v>
      </c>
      <c r="AQ35" s="87" t="s">
        <v>138</v>
      </c>
      <c r="AR35" s="87" t="s">
        <v>138</v>
      </c>
      <c r="AS35" s="68" t="s">
        <v>902</v>
      </c>
      <c r="AT35" s="95" t="s">
        <v>606</v>
      </c>
      <c r="AU35" s="96" t="e" vm="9">
        <f>_xlfn.IMAGE(All_PCC_a[[#This Row],[Image URL]])</f>
        <v>#VALUE!</v>
      </c>
      <c r="AW35" s="68"/>
      <c r="AX35" s="96"/>
      <c r="AY35" s="96"/>
      <c r="AZ35" s="96" t="str">
        <f>IF(AY35=1,COUNTIF($AY$11:AY35,1),"")</f>
        <v/>
      </c>
      <c r="BA35" s="96"/>
      <c r="BB35" s="96"/>
      <c r="BC35" s="96">
        <f>IF(Z35&lt;('DCDC Ref'!$J$24/'DCDC Ref'!$J$26)*'DCDC Ref'!$J$28/100,0,1)</f>
        <v>1</v>
      </c>
      <c r="BD35" s="360">
        <f>IF(BC35=1000000000,"",('All Data'!Q35-'DCDC Ref'!$J$30)/'DCDC Ref'!$J$30*100)</f>
        <v>137.36263736263737</v>
      </c>
      <c r="BE35" s="295">
        <f t="shared" si="3"/>
        <v>137.36263736263737</v>
      </c>
      <c r="BF35" s="295"/>
      <c r="BG35" s="360"/>
      <c r="BH35" s="361">
        <f t="shared" si="4"/>
        <v>0</v>
      </c>
      <c r="BI35" s="295"/>
      <c r="BJ35" s="96">
        <f>IF(BC35=0,"",('All Data'!Z35-'DCDC Ref'!$J$28*('DCDC Ref'!$J$29/100))/'DCDC Ref'!$J$28*('DCDC Ref'!$J$29/100)*100)</f>
        <v>101.72413793103445</v>
      </c>
      <c r="BK35" s="361">
        <f t="shared" si="5"/>
        <v>101.72413793103445</v>
      </c>
      <c r="BL35" s="361"/>
      <c r="BM35" s="361"/>
      <c r="BN35" s="361"/>
      <c r="BO35" s="361"/>
      <c r="BP35" s="96"/>
      <c r="BQ35" s="298">
        <f t="shared" si="6"/>
        <v>687321.80750284204</v>
      </c>
      <c r="BR35" s="298">
        <f>IF(BQ35="","",RANK(BQ35,BQ$11:BQ$9930,1)+COUNTIF(BQ$11:BQ35,BQ35)-1)</f>
        <v>33</v>
      </c>
      <c r="BS35" s="299">
        <f t="shared" si="2"/>
        <v>33</v>
      </c>
      <c r="BT35" s="96" t="str">
        <f>IFERROR(INDEX($O$11:$O$1013,MATCH(ROWS($BS$11:BS35),$BS$11:$BS$1005,0)),"")</f>
        <v>ETQP8M1R0JFA</v>
      </c>
      <c r="BU35" s="299" t="str">
        <f t="shared" si="7"/>
        <v>ETQP8M1R0JFA</v>
      </c>
      <c r="BV35" s="96"/>
    </row>
    <row r="36" spans="1:74" ht="15">
      <c r="A36" s="95">
        <v>91</v>
      </c>
      <c r="B36" s="259" t="s">
        <v>584</v>
      </c>
      <c r="C36" s="95"/>
      <c r="D36" s="95" t="s">
        <v>585</v>
      </c>
      <c r="E36" s="109"/>
      <c r="F36" s="68" t="s">
        <v>153</v>
      </c>
      <c r="G36" s="69" t="s">
        <v>586</v>
      </c>
      <c r="H36" s="68" t="s">
        <v>587</v>
      </c>
      <c r="I36" s="69" t="s">
        <v>588</v>
      </c>
      <c r="J36" s="68" t="s">
        <v>589</v>
      </c>
      <c r="K36" s="68" t="s">
        <v>601</v>
      </c>
      <c r="L36" s="68" t="s">
        <v>629</v>
      </c>
      <c r="M36" s="68" t="s">
        <v>630</v>
      </c>
      <c r="N36" s="68" t="s">
        <v>593</v>
      </c>
      <c r="O36" s="34" t="s">
        <v>51</v>
      </c>
      <c r="P36" s="37" t="str">
        <f>MID(All_PCC_a[[#This Row],[Part Number]],7,3)</f>
        <v>1R5</v>
      </c>
      <c r="Q36" s="87">
        <v>1.5</v>
      </c>
      <c r="R36" s="87" t="str">
        <f>IF(All_PCC_a[[#This Row],[Lo (uH)]]&lt;1,"&lt;1",IF(All_PCC_a[[#This Row],[Lo (uH)]]&lt;10,"&lt;10",IF(All_PCC_a[[#This Row],[Lo (uH)]]&lt;100,"&lt;100",IF(All_PCC_a[[#This Row],[Lo (uH)]]&lt;2000,"&lt;2000",""))))</f>
        <v>&lt;10</v>
      </c>
      <c r="S36" s="87" t="str">
        <f>IFERROR(VLOOKUP(All_PCC_a[[#This Row],[Lo (uH)]],Utility!$D$5:$E$43,2,1),"-")</f>
        <v>≤   2</v>
      </c>
      <c r="T36" s="88">
        <v>0.2</v>
      </c>
      <c r="U36" s="126">
        <v>4.9000000000000004</v>
      </c>
      <c r="V36" s="126">
        <v>5.3900000000000006</v>
      </c>
      <c r="W36" s="87">
        <v>10</v>
      </c>
      <c r="X36" s="87">
        <v>17.399999999999999</v>
      </c>
      <c r="Y36" s="121">
        <v>14.3</v>
      </c>
      <c r="Z36" s="122">
        <v>25</v>
      </c>
      <c r="AA36" s="87">
        <v>19.36</v>
      </c>
      <c r="AB36" s="68">
        <v>10.7</v>
      </c>
      <c r="AC36" s="68">
        <v>10</v>
      </c>
      <c r="AD36" s="87">
        <v>4</v>
      </c>
      <c r="AE36" s="68">
        <f>ROUND(All_PCC_a[[#This Row],[L (mm)]]*All_PCC_a[[#This Row],[W (mm)]],1)</f>
        <v>107</v>
      </c>
      <c r="AF36" s="87" t="str">
        <f>All_PCC_a[[#This Row],[L (mm)]]&amp;"  x  "&amp;All_PCC_a[[#This Row],[W (mm)]]</f>
        <v>10.7  x  10</v>
      </c>
      <c r="AG36" s="91" t="s">
        <v>324</v>
      </c>
      <c r="AH36" s="97" t="str">
        <f>IF(All_PCC_a[[#This Row],[Max Height (mm)]]&lt;=9,"≤ "&amp;ROUNDUP(AD36,0),"≤"&amp;ROUNDUP(AD36,0))</f>
        <v>≤ 4</v>
      </c>
      <c r="AI36" s="68">
        <v>-55</v>
      </c>
      <c r="AJ36" s="68">
        <v>155</v>
      </c>
      <c r="AK36" s="68" t="str">
        <f>All_PCC_a[[#This Row],[Min Temp (deg.C)]]&amp;" to +"&amp;All_PCC_a[[#This Row],[Max Temp (deg.C)]]</f>
        <v>-55 to +155</v>
      </c>
      <c r="AL36" s="68"/>
      <c r="AO36" s="87" t="s">
        <v>138</v>
      </c>
      <c r="AP36" s="97" t="str">
        <f t="shared" si="8"/>
        <v>-</v>
      </c>
      <c r="AQ36" s="87" t="s">
        <v>138</v>
      </c>
      <c r="AR36" s="87" t="s">
        <v>138</v>
      </c>
      <c r="AS36" s="68" t="s">
        <v>903</v>
      </c>
      <c r="AT36" s="95" t="s">
        <v>606</v>
      </c>
      <c r="AU36" s="96" t="e" vm="9">
        <f>_xlfn.IMAGE(All_PCC_a[[#This Row],[Image URL]])</f>
        <v>#VALUE!</v>
      </c>
      <c r="AW36" s="68"/>
      <c r="AY36" s="68"/>
      <c r="BC36" s="96">
        <f>IF(Z36&lt;('DCDC Ref'!$J$24/'DCDC Ref'!$J$26)*'DCDC Ref'!$J$28/100,0,1)</f>
        <v>1</v>
      </c>
      <c r="BD36" s="360">
        <f>IF(BC36=1000000000,"",('All Data'!Q36-'DCDC Ref'!$J$30)/'DCDC Ref'!$J$30*100)</f>
        <v>137.36263736263737</v>
      </c>
      <c r="BE36" s="295">
        <f t="shared" si="3"/>
        <v>137.36263736263737</v>
      </c>
      <c r="BF36" s="295"/>
      <c r="BG36" s="360"/>
      <c r="BH36" s="361">
        <f t="shared" si="4"/>
        <v>0</v>
      </c>
      <c r="BI36" s="295"/>
      <c r="BJ36" s="96">
        <f>IF(BC36=0,"",('All Data'!Z36-'DCDC Ref'!$J$28*('DCDC Ref'!$J$29/100))/'DCDC Ref'!$J$28*('DCDC Ref'!$J$29/100)*100)</f>
        <v>124.13793103448273</v>
      </c>
      <c r="BK36" s="361">
        <f t="shared" si="5"/>
        <v>124.13793103448273</v>
      </c>
      <c r="BL36" s="361"/>
      <c r="BM36" s="361"/>
      <c r="BN36" s="361"/>
      <c r="BO36" s="361"/>
      <c r="BP36" s="96"/>
      <c r="BQ36" s="298">
        <f t="shared" si="6"/>
        <v>687433.87646835926</v>
      </c>
      <c r="BR36" s="298">
        <f>IF(BQ36="","",RANK(BQ36,BQ$11:BQ$9930,1)+COUNTIF(BQ$11:BQ36,BQ36)-1)</f>
        <v>34</v>
      </c>
      <c r="BS36" s="299">
        <f t="shared" si="2"/>
        <v>34</v>
      </c>
      <c r="BT36" s="96" t="str">
        <f>IFERROR(INDEX($O$11:$O$1013,MATCH(ROWS($BS$11:BS36),$BS$11:$BS$1005,0)),"")</f>
        <v>ETQPAM1R0JFW</v>
      </c>
      <c r="BU36" s="299" t="str">
        <f t="shared" si="7"/>
        <v>ETQPAM1R0JFW</v>
      </c>
      <c r="BV36" s="96"/>
    </row>
    <row r="37" spans="1:74" ht="15">
      <c r="A37" s="95">
        <v>113</v>
      </c>
      <c r="B37" s="259" t="s">
        <v>584</v>
      </c>
      <c r="C37" s="95" t="s">
        <v>635</v>
      </c>
      <c r="D37" s="133" t="s">
        <v>585</v>
      </c>
      <c r="E37" s="134"/>
      <c r="F37" s="133" t="s">
        <v>153</v>
      </c>
      <c r="G37" s="247" t="s">
        <v>586</v>
      </c>
      <c r="H37" s="133" t="s">
        <v>587</v>
      </c>
      <c r="I37" s="247" t="s">
        <v>588</v>
      </c>
      <c r="J37" s="133" t="s">
        <v>589</v>
      </c>
      <c r="K37" s="133" t="s">
        <v>625</v>
      </c>
      <c r="L37" s="133" t="s">
        <v>626</v>
      </c>
      <c r="M37" s="133" t="s">
        <v>627</v>
      </c>
      <c r="N37" s="133" t="s">
        <v>593</v>
      </c>
      <c r="O37" s="34" t="s">
        <v>636</v>
      </c>
      <c r="P37" s="37" t="str">
        <f>MID(All_PCC_a[[#This Row],[Part Number]],7,3)</f>
        <v>2R0</v>
      </c>
      <c r="Q37" s="239">
        <v>1.9</v>
      </c>
      <c r="R37" s="130" t="str">
        <f>IF(All_PCC_a[[#This Row],[Lo (uH)]]&lt;1,"&lt;1",IF(All_PCC_a[[#This Row],[Lo (uH)]]&lt;10,"&lt;10",IF(All_PCC_a[[#This Row],[Lo (uH)]]&lt;100,"&lt;100",IF(All_PCC_a[[#This Row],[Lo (uH)]]&lt;2000,"&lt;2000",""))))</f>
        <v>&lt;10</v>
      </c>
      <c r="S37" s="97" t="str">
        <f>IFERROR(VLOOKUP(All_PCC_a[[#This Row],[Lo (uH)]],Utility!$D$5:$E$43,2,1),"-")</f>
        <v>≤   2</v>
      </c>
      <c r="T37" s="248">
        <v>0.2</v>
      </c>
      <c r="U37" s="242">
        <v>4.45</v>
      </c>
      <c r="V37" s="245">
        <v>4.9000000000000004</v>
      </c>
      <c r="W37" s="137">
        <v>10</v>
      </c>
      <c r="X37" s="253">
        <v>19.8</v>
      </c>
      <c r="Y37" s="239">
        <v>16.5</v>
      </c>
      <c r="Z37" s="241">
        <v>29.8</v>
      </c>
      <c r="AA37" s="239">
        <v>21</v>
      </c>
      <c r="AB37" s="133">
        <v>10.9</v>
      </c>
      <c r="AC37" s="133">
        <v>10</v>
      </c>
      <c r="AD37" s="239">
        <v>5</v>
      </c>
      <c r="AE37" s="133">
        <f>ROUND(All_PCC_a[[#This Row],[L (mm)]]*All_PCC_a[[#This Row],[W (mm)]],1)</f>
        <v>109</v>
      </c>
      <c r="AF37" s="87" t="str">
        <f>All_PCC_a[[#This Row],[L (mm)]]&amp;"  x  "&amp;All_PCC_a[[#This Row],[W (mm)]]</f>
        <v>10.9  x  10</v>
      </c>
      <c r="AG37" s="141" t="s">
        <v>324</v>
      </c>
      <c r="AH37" s="97" t="str">
        <f>IF(All_PCC_a[[#This Row],[Max Height (mm)]]&lt;=9,"≤ "&amp;ROUNDUP(AD37,0),"≤"&amp;ROUNDUP(AD37,0))</f>
        <v>≤ 5</v>
      </c>
      <c r="AI37" s="133">
        <v>-40</v>
      </c>
      <c r="AJ37" s="133">
        <v>150</v>
      </c>
      <c r="AK37" s="68" t="str">
        <f>All_PCC_a[[#This Row],[Min Temp (deg.C)]]&amp;" to +"&amp;All_PCC_a[[#This Row],[Max Temp (deg.C)]]</f>
        <v>-40 to +150</v>
      </c>
      <c r="AL37" s="95"/>
      <c r="AM37" s="95"/>
      <c r="AN37" s="95"/>
      <c r="AO37" s="87" t="s">
        <v>138</v>
      </c>
      <c r="AP37" s="130" t="str">
        <f t="shared" si="8"/>
        <v>-</v>
      </c>
      <c r="AQ37" s="87" t="s">
        <v>138</v>
      </c>
      <c r="AR37" s="87" t="s">
        <v>138</v>
      </c>
      <c r="AS37" s="95" t="s">
        <v>904</v>
      </c>
      <c r="AT37" s="95" t="s">
        <v>594</v>
      </c>
      <c r="AU37" s="96" t="e" vm="7">
        <f>_xlfn.IMAGE(All_PCC_a[[#This Row],[Image URL]])</f>
        <v>#VALUE!</v>
      </c>
      <c r="AV37" s="95"/>
      <c r="AW37" s="95"/>
      <c r="AX37" s="96"/>
      <c r="AY37" s="96"/>
      <c r="AZ37" s="96" t="str">
        <f>IF(AY37=1,COUNTIF($AY$11:AY37,1),"")</f>
        <v/>
      </c>
      <c r="BA37" s="96"/>
      <c r="BB37" s="96"/>
      <c r="BC37" s="96">
        <f>IF(Z37&lt;('DCDC Ref'!$J$24/'DCDC Ref'!$J$26)*'DCDC Ref'!$J$28/100,0,1)</f>
        <v>1</v>
      </c>
      <c r="BD37" s="360">
        <f>IF(BC37=1000000000,"",('All Data'!Q37-'DCDC Ref'!$J$30)/'DCDC Ref'!$J$30*100)</f>
        <v>200.65934065934067</v>
      </c>
      <c r="BE37" s="295">
        <f t="shared" si="3"/>
        <v>200.65934065934067</v>
      </c>
      <c r="BF37" s="295"/>
      <c r="BG37" s="360"/>
      <c r="BH37" s="361">
        <f t="shared" si="4"/>
        <v>0</v>
      </c>
      <c r="BI37" s="295"/>
      <c r="BJ37" s="96">
        <f>IF(BC37=0,"",('All Data'!Z37-'DCDC Ref'!$J$28*('DCDC Ref'!$J$29/100))/'DCDC Ref'!$J$28*('DCDC Ref'!$J$29/100)*100)</f>
        <v>167.1724137931034</v>
      </c>
      <c r="BK37" s="361">
        <f t="shared" si="5"/>
        <v>167.1724137931034</v>
      </c>
      <c r="BL37" s="361"/>
      <c r="BM37" s="361"/>
      <c r="BN37" s="361"/>
      <c r="BO37" s="361"/>
      <c r="BP37" s="96"/>
      <c r="BQ37" s="298">
        <f t="shared" si="6"/>
        <v>1004132.565365669</v>
      </c>
      <c r="BR37" s="298">
        <f>IF(BQ37="","",RANK(BQ37,BQ$11:BQ$9930,1)+COUNTIF(BQ$11:BQ37,BQ37)-1)</f>
        <v>39</v>
      </c>
      <c r="BS37" s="299">
        <f t="shared" si="2"/>
        <v>39</v>
      </c>
      <c r="BT37" s="96" t="str">
        <f>IFERROR(INDEX($O$11:$O$1013,MATCH(ROWS($BS$11:BS37),$BS$11:$BS$1005,0)),"")</f>
        <v>ETQP5MR22CVM</v>
      </c>
      <c r="BU37" s="299" t="str">
        <f t="shared" si="7"/>
        <v>ETQP5MR22CVM</v>
      </c>
      <c r="BV37" s="96"/>
    </row>
    <row r="38" spans="1:74" ht="15">
      <c r="A38" s="95">
        <v>40</v>
      </c>
      <c r="B38" s="259" t="s">
        <v>584</v>
      </c>
      <c r="C38" s="95"/>
      <c r="D38" s="95" t="s">
        <v>585</v>
      </c>
      <c r="E38" s="109"/>
      <c r="F38" s="68" t="s">
        <v>153</v>
      </c>
      <c r="G38" s="69" t="s">
        <v>586</v>
      </c>
      <c r="H38" s="68" t="s">
        <v>587</v>
      </c>
      <c r="I38" s="69" t="s">
        <v>588</v>
      </c>
      <c r="J38" s="68" t="s">
        <v>589</v>
      </c>
      <c r="K38" s="68" t="s">
        <v>590</v>
      </c>
      <c r="L38" s="68" t="s">
        <v>591</v>
      </c>
      <c r="M38" s="96" t="s">
        <v>592</v>
      </c>
      <c r="N38" s="68" t="s">
        <v>593</v>
      </c>
      <c r="O38" s="34" t="s">
        <v>52</v>
      </c>
      <c r="P38" s="37" t="str">
        <f>MID(All_PCC_a[[#This Row],[Part Number]],7,3)</f>
        <v>2R0</v>
      </c>
      <c r="Q38" s="87">
        <v>2</v>
      </c>
      <c r="R38" s="87" t="str">
        <f>IF(All_PCC_a[[#This Row],[Lo (uH)]]&lt;1,"&lt;1",IF(All_PCC_a[[#This Row],[Lo (uH)]]&lt;10,"&lt;10",IF(All_PCC_a[[#This Row],[Lo (uH)]]&lt;100,"&lt;100",IF(All_PCC_a[[#This Row],[Lo (uH)]]&lt;2000,"&lt;2000",""))))</f>
        <v>&lt;10</v>
      </c>
      <c r="S38" s="87" t="str">
        <f>IFERROR(VLOOKUP(All_PCC_a[[#This Row],[Lo (uH)]],Utility!$D$5:$E$43,2,1),"-")</f>
        <v>≤   2</v>
      </c>
      <c r="T38" s="88">
        <v>0.2</v>
      </c>
      <c r="U38" s="126">
        <v>4.5999999999999996</v>
      </c>
      <c r="V38" s="126">
        <v>5.0599999999999996</v>
      </c>
      <c r="W38" s="87">
        <v>10</v>
      </c>
      <c r="X38" s="87">
        <v>19.399999999999999</v>
      </c>
      <c r="Y38" s="87">
        <v>16.2</v>
      </c>
      <c r="Z38" s="117">
        <v>31.3</v>
      </c>
      <c r="AA38" s="87">
        <v>22.17</v>
      </c>
      <c r="AB38" s="68">
        <v>10.9</v>
      </c>
      <c r="AC38" s="68">
        <v>10</v>
      </c>
      <c r="AD38" s="87">
        <v>5</v>
      </c>
      <c r="AE38" s="68">
        <f>ROUND(All_PCC_a[[#This Row],[L (mm)]]*All_PCC_a[[#This Row],[W (mm)]],1)</f>
        <v>109</v>
      </c>
      <c r="AF38" s="87" t="str">
        <f>All_PCC_a[[#This Row],[L (mm)]]&amp;"  x  "&amp;All_PCC_a[[#This Row],[W (mm)]]</f>
        <v>10.9  x  10</v>
      </c>
      <c r="AG38" s="91" t="s">
        <v>324</v>
      </c>
      <c r="AH38" s="97" t="str">
        <f>IF(All_PCC_a[[#This Row],[Max Height (mm)]]&lt;=9,"≤ "&amp;ROUNDUP(AD38,0),"≤"&amp;ROUNDUP(AD38,0))</f>
        <v>≤ 5</v>
      </c>
      <c r="AI38" s="68">
        <v>-40</v>
      </c>
      <c r="AJ38" s="68">
        <v>150</v>
      </c>
      <c r="AK38" s="68" t="str">
        <f>All_PCC_a[[#This Row],[Min Temp (deg.C)]]&amp;" to +"&amp;All_PCC_a[[#This Row],[Max Temp (deg.C)]]</f>
        <v>-40 to +150</v>
      </c>
      <c r="AL38" s="68"/>
      <c r="AO38" s="87" t="s">
        <v>138</v>
      </c>
      <c r="AP38" s="97" t="str">
        <f t="shared" si="8"/>
        <v>-</v>
      </c>
      <c r="AQ38" s="87" t="s">
        <v>138</v>
      </c>
      <c r="AR38" s="87" t="s">
        <v>138</v>
      </c>
      <c r="AS38" s="68" t="s">
        <v>905</v>
      </c>
      <c r="AT38" s="68" t="s">
        <v>594</v>
      </c>
      <c r="AU38" s="96" t="e" vm="7">
        <f>_xlfn.IMAGE(All_PCC_a[[#This Row],[Image URL]])</f>
        <v>#VALUE!</v>
      </c>
      <c r="AW38" s="68"/>
      <c r="AX38" s="96"/>
      <c r="AY38" s="96"/>
      <c r="AZ38" s="96" t="str">
        <f>IF(AY38=1,COUNTIF($AY$11:AY38,1),"")</f>
        <v/>
      </c>
      <c r="BA38" s="96"/>
      <c r="BB38" s="96"/>
      <c r="BC38" s="96">
        <f>IF(Z38&lt;('DCDC Ref'!$J$24/'DCDC Ref'!$J$26)*'DCDC Ref'!$J$28/100,0,1)</f>
        <v>1</v>
      </c>
      <c r="BD38" s="360">
        <f>IF(BC38=1000000000,"",('All Data'!Q38-'DCDC Ref'!$J$30)/'DCDC Ref'!$J$30*100)</f>
        <v>216.48351648351652</v>
      </c>
      <c r="BE38" s="295">
        <f t="shared" si="3"/>
        <v>216.48351648351652</v>
      </c>
      <c r="BF38" s="295"/>
      <c r="BG38" s="360"/>
      <c r="BH38" s="361">
        <f t="shared" si="4"/>
        <v>0</v>
      </c>
      <c r="BI38" s="295"/>
      <c r="BJ38" s="96">
        <f>IF(BC38=0,"",('All Data'!Z38-'DCDC Ref'!$J$28*('DCDC Ref'!$J$29/100))/'DCDC Ref'!$J$28*('DCDC Ref'!$J$29/100)*100)</f>
        <v>180.62068965517238</v>
      </c>
      <c r="BK38" s="361">
        <f t="shared" si="5"/>
        <v>180.62068965517238</v>
      </c>
      <c r="BL38" s="361"/>
      <c r="BM38" s="361"/>
      <c r="BN38" s="361"/>
      <c r="BO38" s="361"/>
      <c r="BP38" s="96"/>
      <c r="BQ38" s="298">
        <f t="shared" si="6"/>
        <v>1083320.6858658586</v>
      </c>
      <c r="BR38" s="298">
        <f>IF(BQ38="","",RANK(BQ38,BQ$11:BQ$9930,1)+COUNTIF(BQ$11:BQ38,BQ38)-1)</f>
        <v>40</v>
      </c>
      <c r="BS38" s="299">
        <f t="shared" si="2"/>
        <v>40</v>
      </c>
      <c r="BT38" s="96" t="str">
        <f>IFERROR(INDEX($O$11:$O$1013,MATCH(ROWS($BS$11:BS38),$BS$11:$BS$1005,0)),"")</f>
        <v>ETQP3MR10KVP</v>
      </c>
      <c r="BU38" s="299" t="str">
        <f t="shared" si="7"/>
        <v>ETQP3MR10KVP</v>
      </c>
      <c r="BV38" s="96"/>
    </row>
    <row r="39" spans="1:74">
      <c r="A39" s="95">
        <v>9</v>
      </c>
      <c r="B39" s="259" t="s">
        <v>584</v>
      </c>
      <c r="C39" s="95"/>
      <c r="D39" s="95" t="s">
        <v>585</v>
      </c>
      <c r="E39" s="110"/>
      <c r="F39" s="68" t="s">
        <v>153</v>
      </c>
      <c r="G39" s="69" t="s">
        <v>586</v>
      </c>
      <c r="H39" s="68" t="s">
        <v>587</v>
      </c>
      <c r="I39" s="69" t="s">
        <v>588</v>
      </c>
      <c r="J39" s="68" t="s">
        <v>589</v>
      </c>
      <c r="K39" s="68" t="s">
        <v>590</v>
      </c>
      <c r="L39" s="68" t="s">
        <v>637</v>
      </c>
      <c r="M39" s="68" t="s">
        <v>638</v>
      </c>
      <c r="N39" s="68" t="s">
        <v>22</v>
      </c>
      <c r="O39" s="34" t="s">
        <v>639</v>
      </c>
      <c r="P39" s="37" t="str">
        <f>MID(All_PCC_a[[#This Row],[Part Number]],7,3)</f>
        <v>2R2</v>
      </c>
      <c r="Q39" s="90">
        <v>2.2000000000000002</v>
      </c>
      <c r="R39" s="87" t="str">
        <f>IF(All_PCC_a[[#This Row],[Lo (uH)]]&lt;1,"&lt;1",IF(All_PCC_a[[#This Row],[Lo (uH)]]&lt;10,"&lt;10",IF(All_PCC_a[[#This Row],[Lo (uH)]]&lt;100,"&lt;100",IF(All_PCC_a[[#This Row],[Lo (uH)]]&lt;2000,"&lt;2000",""))))</f>
        <v>&lt;10</v>
      </c>
      <c r="S39" s="87" t="str">
        <f>IFERROR(VLOOKUP(All_PCC_a[[#This Row],[Lo (uH)]],Utility!$D$5:$E$43,2,1),"-")</f>
        <v>≤   3</v>
      </c>
      <c r="T39" s="88">
        <v>0.2</v>
      </c>
      <c r="U39" s="125">
        <v>22.6</v>
      </c>
      <c r="V39" s="125">
        <v>24.8</v>
      </c>
      <c r="W39" s="87">
        <v>10</v>
      </c>
      <c r="X39" s="87">
        <v>5.8</v>
      </c>
      <c r="Y39" s="87">
        <v>4.8</v>
      </c>
      <c r="Z39" s="117">
        <v>10.9</v>
      </c>
      <c r="AA39" s="87">
        <f>ROUND(7.95610619469026,2)</f>
        <v>7.96</v>
      </c>
      <c r="AB39" s="68">
        <v>5.5</v>
      </c>
      <c r="AC39" s="68">
        <v>5</v>
      </c>
      <c r="AD39" s="87">
        <v>3</v>
      </c>
      <c r="AE39" s="68">
        <f>ROUND(All_PCC_a[[#This Row],[L (mm)]]*All_PCC_a[[#This Row],[W (mm)]],1)</f>
        <v>27.5</v>
      </c>
      <c r="AF39" s="87" t="str">
        <f>All_PCC_a[[#This Row],[L (mm)]]&amp;"  x  "&amp;All_PCC_a[[#This Row],[W (mm)]]</f>
        <v>5.5  x  5</v>
      </c>
      <c r="AG39" s="91" t="s">
        <v>605</v>
      </c>
      <c r="AH39" s="87" t="str">
        <f>IF(All_PCC_a[[#This Row],[Max Height (mm)]]&lt;=9,"≤ "&amp;ROUNDUP(AD39,0),"≤"&amp;ROUNDUP(AD39,0))</f>
        <v>≤ 3</v>
      </c>
      <c r="AI39" s="72">
        <v>-40</v>
      </c>
      <c r="AJ39" s="72">
        <v>150</v>
      </c>
      <c r="AK39" s="68" t="str">
        <f>All_PCC_a[[#This Row],[Min Temp (deg.C)]]&amp;" to +"&amp;All_PCC_a[[#This Row],[Max Temp (deg.C)]]</f>
        <v>-40 to +150</v>
      </c>
      <c r="AL39" s="68"/>
      <c r="AO39" s="87" t="s">
        <v>124</v>
      </c>
      <c r="AP39" s="87" t="str">
        <f t="shared" si="8"/>
        <v>-</v>
      </c>
      <c r="AQ39" s="88" t="s">
        <v>138</v>
      </c>
      <c r="AR39" s="87" t="s">
        <v>138</v>
      </c>
      <c r="AS39" s="68" t="s">
        <v>906</v>
      </c>
      <c r="AT39" s="68" t="s">
        <v>594</v>
      </c>
      <c r="AU39" s="96" t="e" vm="7">
        <f>_xlfn.IMAGE(All_PCC_a[[#This Row],[Image URL]])</f>
        <v>#VALUE!</v>
      </c>
      <c r="AW39" s="68"/>
      <c r="AX39" s="96"/>
      <c r="AY39" s="96"/>
      <c r="AZ39" s="96" t="str">
        <f>IF(AY39=1,COUNTIF($AY$11:AY39,1),"")</f>
        <v/>
      </c>
      <c r="BA39" s="96"/>
      <c r="BB39" s="96"/>
      <c r="BC39" s="96">
        <f>IF(Z39&lt;('DCDC Ref'!$J$24/'DCDC Ref'!$J$26)*'DCDC Ref'!$J$28/100,0,1)</f>
        <v>1</v>
      </c>
      <c r="BD39" s="360">
        <f>IF(BC39=1000000000,"",('All Data'!Q39-'DCDC Ref'!$J$30)/'DCDC Ref'!$J$30*100)</f>
        <v>248.13186813186817</v>
      </c>
      <c r="BE39" s="295">
        <f t="shared" si="3"/>
        <v>248.13186813186817</v>
      </c>
      <c r="BF39" s="295"/>
      <c r="BG39" s="360"/>
      <c r="BH39" s="361">
        <f t="shared" si="4"/>
        <v>0</v>
      </c>
      <c r="BI39" s="295"/>
      <c r="BJ39" s="96">
        <f>IF(BC39=0,"",('All Data'!Z39-'DCDC Ref'!$J$28*('DCDC Ref'!$J$29/100))/'DCDC Ref'!$J$28*('DCDC Ref'!$J$29/100)*100)</f>
        <v>-2.2758620689655249</v>
      </c>
      <c r="BK39" s="361">
        <f t="shared" si="5"/>
        <v>10000</v>
      </c>
      <c r="BL39" s="361"/>
      <c r="BM39" s="361"/>
      <c r="BN39" s="361"/>
      <c r="BO39" s="361"/>
      <c r="BP39" s="96"/>
      <c r="BQ39" s="298">
        <f t="shared" si="6"/>
        <v>1290659.3406593408</v>
      </c>
      <c r="BR39" s="298">
        <f>IF(BQ39="","",RANK(BQ39,BQ$11:BQ$9930,1)+COUNTIF(BQ$11:BQ39,BQ39)-1)</f>
        <v>46</v>
      </c>
      <c r="BS39" s="299">
        <f t="shared" si="2"/>
        <v>46</v>
      </c>
      <c r="BT39" s="96" t="str">
        <f>IFERROR(INDEX($O$11:$O$1013,MATCH(ROWS($BS$11:BS39),$BS$11:$BS$1005,0)),"")</f>
        <v>ETQP4M1R2KFM</v>
      </c>
      <c r="BU39" s="299" t="str">
        <f t="shared" si="7"/>
        <v>ETQP4M1R2KFM</v>
      </c>
      <c r="BV39" s="96"/>
    </row>
    <row r="40" spans="1:74" ht="15">
      <c r="A40" s="95">
        <v>56</v>
      </c>
      <c r="B40" s="259" t="s">
        <v>584</v>
      </c>
      <c r="C40" s="95"/>
      <c r="D40" s="95" t="s">
        <v>585</v>
      </c>
      <c r="E40" s="109"/>
      <c r="F40" s="68" t="s">
        <v>153</v>
      </c>
      <c r="G40" s="69" t="s">
        <v>586</v>
      </c>
      <c r="H40" s="68" t="s">
        <v>587</v>
      </c>
      <c r="I40" s="69" t="s">
        <v>588</v>
      </c>
      <c r="J40" s="68" t="s">
        <v>589</v>
      </c>
      <c r="K40" s="68" t="s">
        <v>601</v>
      </c>
      <c r="L40" s="68" t="s">
        <v>602</v>
      </c>
      <c r="M40" s="68" t="s">
        <v>603</v>
      </c>
      <c r="N40" s="68" t="s">
        <v>593</v>
      </c>
      <c r="O40" s="34" t="s">
        <v>53</v>
      </c>
      <c r="P40" s="37" t="str">
        <f>MID(All_PCC_a[[#This Row],[Part Number]],7,3)</f>
        <v>2R2</v>
      </c>
      <c r="Q40" s="87">
        <v>2.2000000000000002</v>
      </c>
      <c r="R40" s="87" t="str">
        <f>IF(All_PCC_a[[#This Row],[Lo (uH)]]&lt;1,"&lt;1",IF(All_PCC_a[[#This Row],[Lo (uH)]]&lt;10,"&lt;10",IF(All_PCC_a[[#This Row],[Lo (uH)]]&lt;100,"&lt;100",IF(All_PCC_a[[#This Row],[Lo (uH)]]&lt;2000,"&lt;2000",""))))</f>
        <v>&lt;10</v>
      </c>
      <c r="S40" s="87" t="str">
        <f>IFERROR(VLOOKUP(All_PCC_a[[#This Row],[Lo (uH)]],Utility!$D$5:$E$43,2,1),"-")</f>
        <v>≤   3</v>
      </c>
      <c r="T40" s="88">
        <v>0.2</v>
      </c>
      <c r="U40" s="126">
        <v>20</v>
      </c>
      <c r="V40" s="126">
        <v>22</v>
      </c>
      <c r="W40" s="87">
        <v>10</v>
      </c>
      <c r="X40" s="87">
        <v>6.3</v>
      </c>
      <c r="Y40" s="87">
        <v>5.2</v>
      </c>
      <c r="Z40" s="117">
        <v>10.1</v>
      </c>
      <c r="AA40" s="87">
        <v>7.38</v>
      </c>
      <c r="AB40" s="68">
        <v>5.5</v>
      </c>
      <c r="AC40" s="68">
        <v>5</v>
      </c>
      <c r="AD40" s="87">
        <v>3</v>
      </c>
      <c r="AE40" s="68">
        <f>ROUND(All_PCC_a[[#This Row],[L (mm)]]*All_PCC_a[[#This Row],[W (mm)]],1)</f>
        <v>27.5</v>
      </c>
      <c r="AF40" s="87" t="str">
        <f>All_PCC_a[[#This Row],[L (mm)]]&amp;"  x  "&amp;All_PCC_a[[#This Row],[W (mm)]]</f>
        <v>5.5  x  5</v>
      </c>
      <c r="AG40" s="91" t="s">
        <v>605</v>
      </c>
      <c r="AH40" s="97" t="str">
        <f>IF(All_PCC_a[[#This Row],[Max Height (mm)]]&lt;=9,"≤ "&amp;ROUNDUP(AD40,0),"≤"&amp;ROUNDUP(AD40,0))</f>
        <v>≤ 3</v>
      </c>
      <c r="AI40" s="68">
        <v>-55</v>
      </c>
      <c r="AJ40" s="68">
        <v>155</v>
      </c>
      <c r="AK40" s="68" t="str">
        <f>All_PCC_a[[#This Row],[Min Temp (deg.C)]]&amp;" to +"&amp;All_PCC_a[[#This Row],[Max Temp (deg.C)]]</f>
        <v>-55 to +155</v>
      </c>
      <c r="AL40" s="68"/>
      <c r="AO40" s="87" t="s">
        <v>138</v>
      </c>
      <c r="AP40" s="97" t="str">
        <f t="shared" si="8"/>
        <v>-</v>
      </c>
      <c r="AQ40" s="87" t="s">
        <v>138</v>
      </c>
      <c r="AR40" s="87" t="s">
        <v>138</v>
      </c>
      <c r="AS40" s="68" t="s">
        <v>907</v>
      </c>
      <c r="AT40" s="95" t="s">
        <v>606</v>
      </c>
      <c r="AU40" s="96" t="e" vm="9">
        <f>_xlfn.IMAGE(All_PCC_a[[#This Row],[Image URL]])</f>
        <v>#VALUE!</v>
      </c>
      <c r="AW40" s="68"/>
      <c r="AY40" s="68"/>
      <c r="BC40" s="96">
        <f>IF(Z40&lt;('DCDC Ref'!$J$24/'DCDC Ref'!$J$26)*'DCDC Ref'!$J$28/100,0,1)</f>
        <v>1</v>
      </c>
      <c r="BD40" s="360">
        <f>IF(BC40=1000000000,"",('All Data'!Q40-'DCDC Ref'!$J$30)/'DCDC Ref'!$J$30*100)</f>
        <v>248.13186813186817</v>
      </c>
      <c r="BE40" s="295">
        <f t="shared" si="3"/>
        <v>248.13186813186817</v>
      </c>
      <c r="BF40" s="295"/>
      <c r="BG40" s="360"/>
      <c r="BH40" s="361">
        <f t="shared" si="4"/>
        <v>0</v>
      </c>
      <c r="BI40" s="295"/>
      <c r="BJ40" s="96">
        <f>IF(BC40=0,"",('All Data'!Z40-'DCDC Ref'!$J$28*('DCDC Ref'!$J$29/100))/'DCDC Ref'!$J$28*('DCDC Ref'!$J$29/100)*100)</f>
        <v>-9.4482758620689786</v>
      </c>
      <c r="BK40" s="361">
        <f t="shared" si="5"/>
        <v>10000</v>
      </c>
      <c r="BL40" s="361"/>
      <c r="BM40" s="361"/>
      <c r="BN40" s="361"/>
      <c r="BO40" s="361"/>
      <c r="BP40" s="96"/>
      <c r="BQ40" s="298">
        <f t="shared" si="6"/>
        <v>1290659.3406593408</v>
      </c>
      <c r="BR40" s="298">
        <f>IF(BQ40="","",RANK(BQ40,BQ$11:BQ$9930,1)+COUNTIF(BQ$11:BQ40,BQ40)-1)</f>
        <v>47</v>
      </c>
      <c r="BS40" s="299">
        <f t="shared" si="2"/>
        <v>47</v>
      </c>
      <c r="BT40" s="96" t="str">
        <f>IFERROR(INDEX($O$11:$O$1013,MATCH(ROWS($BS$11:BS40),$BS$11:$BS$1005,0)),"")</f>
        <v>ETQP3M1R5KVP</v>
      </c>
      <c r="BU40" s="299" t="str">
        <f t="shared" si="7"/>
        <v>ETQP3M1R5KVP</v>
      </c>
      <c r="BV40" s="96"/>
    </row>
    <row r="41" spans="1:74" ht="15">
      <c r="A41" s="95">
        <v>67</v>
      </c>
      <c r="B41" s="259" t="s">
        <v>584</v>
      </c>
      <c r="C41" s="95"/>
      <c r="D41" s="95" t="s">
        <v>585</v>
      </c>
      <c r="E41" s="109"/>
      <c r="F41" s="68" t="s">
        <v>153</v>
      </c>
      <c r="G41" s="69" t="s">
        <v>586</v>
      </c>
      <c r="H41" s="68" t="s">
        <v>587</v>
      </c>
      <c r="I41" s="69" t="s">
        <v>588</v>
      </c>
      <c r="J41" s="68" t="s">
        <v>589</v>
      </c>
      <c r="K41" s="68" t="s">
        <v>601</v>
      </c>
      <c r="L41" s="68" t="s">
        <v>620</v>
      </c>
      <c r="M41" s="68" t="s">
        <v>621</v>
      </c>
      <c r="N41" s="68" t="s">
        <v>593</v>
      </c>
      <c r="O41" s="34" t="s">
        <v>54</v>
      </c>
      <c r="P41" s="37" t="str">
        <f>MID(All_PCC_a[[#This Row],[Part Number]],7,3)</f>
        <v>2R2</v>
      </c>
      <c r="Q41" s="87">
        <v>2.2000000000000002</v>
      </c>
      <c r="R41" s="87" t="str">
        <f>IF(All_PCC_a[[#This Row],[Lo (uH)]]&lt;1,"&lt;1",IF(All_PCC_a[[#This Row],[Lo (uH)]]&lt;10,"&lt;10",IF(All_PCC_a[[#This Row],[Lo (uH)]]&lt;100,"&lt;100",IF(All_PCC_a[[#This Row],[Lo (uH)]]&lt;2000,"&lt;2000",""))))</f>
        <v>&lt;10</v>
      </c>
      <c r="S41" s="87" t="str">
        <f>IFERROR(VLOOKUP(All_PCC_a[[#This Row],[Lo (uH)]],Utility!$D$5:$E$43,2,1),"-")</f>
        <v>≤   3</v>
      </c>
      <c r="T41" s="88">
        <v>0.2</v>
      </c>
      <c r="U41" s="126">
        <v>14.5</v>
      </c>
      <c r="V41" s="126">
        <v>15.950000000000001</v>
      </c>
      <c r="W41" s="87">
        <v>10</v>
      </c>
      <c r="X41" s="87">
        <v>7.9</v>
      </c>
      <c r="Y41" s="87">
        <v>6.5</v>
      </c>
      <c r="Z41" s="117">
        <v>12.8</v>
      </c>
      <c r="AA41" s="87">
        <v>8.9</v>
      </c>
      <c r="AB41" s="68">
        <v>6.4</v>
      </c>
      <c r="AC41" s="68">
        <v>6</v>
      </c>
      <c r="AD41" s="87">
        <v>3</v>
      </c>
      <c r="AE41" s="68">
        <f>ROUND(All_PCC_a[[#This Row],[L (mm)]]*All_PCC_a[[#This Row],[W (mm)]],1)</f>
        <v>38.4</v>
      </c>
      <c r="AF41" s="87" t="str">
        <f>All_PCC_a[[#This Row],[L (mm)]]&amp;"  x  "&amp;All_PCC_a[[#This Row],[W (mm)]]</f>
        <v>6.4  x  6</v>
      </c>
      <c r="AG41" s="91" t="s">
        <v>618</v>
      </c>
      <c r="AH41" s="97" t="str">
        <f>IF(All_PCC_a[[#This Row],[Max Height (mm)]]&lt;=9,"≤ "&amp;ROUNDUP(AD41,0),"≤"&amp;ROUNDUP(AD41,0))</f>
        <v>≤ 3</v>
      </c>
      <c r="AI41" s="68">
        <v>-55</v>
      </c>
      <c r="AJ41" s="68">
        <v>155</v>
      </c>
      <c r="AK41" s="68" t="str">
        <f>All_PCC_a[[#This Row],[Min Temp (deg.C)]]&amp;" to +"&amp;All_PCC_a[[#This Row],[Max Temp (deg.C)]]</f>
        <v>-55 to +155</v>
      </c>
      <c r="AL41" s="68"/>
      <c r="AO41" s="87" t="s">
        <v>138</v>
      </c>
      <c r="AP41" s="97" t="str">
        <f t="shared" si="8"/>
        <v>-</v>
      </c>
      <c r="AQ41" s="87" t="s">
        <v>138</v>
      </c>
      <c r="AR41" s="87" t="s">
        <v>138</v>
      </c>
      <c r="AS41" s="68" t="s">
        <v>908</v>
      </c>
      <c r="AT41" s="95" t="s">
        <v>606</v>
      </c>
      <c r="AU41" s="96" t="e" vm="9">
        <f>_xlfn.IMAGE(All_PCC_a[[#This Row],[Image URL]])</f>
        <v>#VALUE!</v>
      </c>
      <c r="AW41" s="68"/>
      <c r="AX41" s="96"/>
      <c r="AY41" s="96"/>
      <c r="AZ41" s="96" t="str">
        <f>IF(AY41=1,COUNTIF($AY$11:AY41,1),"")</f>
        <v/>
      </c>
      <c r="BA41" s="96"/>
      <c r="BB41" s="96"/>
      <c r="BC41" s="96">
        <f>IF(Z41&lt;('DCDC Ref'!$J$24/'DCDC Ref'!$J$26)*'DCDC Ref'!$J$28/100,0,1)</f>
        <v>1</v>
      </c>
      <c r="BD41" s="360">
        <f>IF(BC41=1000000000,"",('All Data'!Q41-'DCDC Ref'!$J$30)/'DCDC Ref'!$J$30*100)</f>
        <v>248.13186813186817</v>
      </c>
      <c r="BE41" s="295">
        <f t="shared" si="3"/>
        <v>248.13186813186817</v>
      </c>
      <c r="BF41" s="295"/>
      <c r="BG41" s="360"/>
      <c r="BH41" s="361">
        <f t="shared" si="4"/>
        <v>0</v>
      </c>
      <c r="BI41" s="295"/>
      <c r="BJ41" s="96">
        <f>IF(BC41=0,"",('All Data'!Z41-'DCDC Ref'!$J$28*('DCDC Ref'!$J$29/100))/'DCDC Ref'!$J$28*('DCDC Ref'!$J$29/100)*100)</f>
        <v>14.758620689655167</v>
      </c>
      <c r="BK41" s="361">
        <f t="shared" si="5"/>
        <v>14.758620689655167</v>
      </c>
      <c r="BL41" s="361"/>
      <c r="BM41" s="361"/>
      <c r="BN41" s="361"/>
      <c r="BO41" s="361"/>
      <c r="BP41" s="96"/>
      <c r="BQ41" s="298">
        <f t="shared" si="6"/>
        <v>1240733.1337627892</v>
      </c>
      <c r="BR41" s="298">
        <f>IF(BQ41="","",RANK(BQ41,BQ$11:BQ$9930,1)+COUNTIF(BQ$11:BQ41,BQ41)-1)</f>
        <v>41</v>
      </c>
      <c r="BS41" s="299">
        <f t="shared" si="2"/>
        <v>41</v>
      </c>
      <c r="BT41" s="96" t="str">
        <f>IFERROR(INDEX($O$11:$O$1013,MATCH(ROWS($BS$11:BS41),$BS$11:$BS$1005,0)),"")</f>
        <v>ETQP3M1R5KVN</v>
      </c>
      <c r="BU41" s="299" t="str">
        <f t="shared" si="7"/>
        <v>ETQP3M1R5KVN</v>
      </c>
      <c r="BV41" s="96"/>
    </row>
    <row r="42" spans="1:74" ht="15">
      <c r="A42" s="95">
        <v>78</v>
      </c>
      <c r="B42" s="259" t="s">
        <v>584</v>
      </c>
      <c r="C42" s="95"/>
      <c r="D42" s="95" t="s">
        <v>585</v>
      </c>
      <c r="E42" s="109"/>
      <c r="F42" s="68" t="s">
        <v>153</v>
      </c>
      <c r="G42" s="69" t="s">
        <v>586</v>
      </c>
      <c r="H42" s="68" t="s">
        <v>587</v>
      </c>
      <c r="I42" s="69" t="s">
        <v>588</v>
      </c>
      <c r="J42" s="68" t="s">
        <v>589</v>
      </c>
      <c r="K42" s="68" t="s">
        <v>601</v>
      </c>
      <c r="L42" s="68" t="s">
        <v>622</v>
      </c>
      <c r="M42" s="68" t="s">
        <v>623</v>
      </c>
      <c r="N42" s="68" t="s">
        <v>593</v>
      </c>
      <c r="O42" s="34" t="s">
        <v>55</v>
      </c>
      <c r="P42" s="37" t="str">
        <f>MID(All_PCC_a[[#This Row],[Part Number]],7,3)</f>
        <v>2R2</v>
      </c>
      <c r="Q42" s="87">
        <v>2.2000000000000002</v>
      </c>
      <c r="R42" s="87" t="str">
        <f>IF(All_PCC_a[[#This Row],[Lo (uH)]]&lt;1,"&lt;1",IF(All_PCC_a[[#This Row],[Lo (uH)]]&lt;10,"&lt;10",IF(All_PCC_a[[#This Row],[Lo (uH)]]&lt;100,"&lt;100",IF(All_PCC_a[[#This Row],[Lo (uH)]]&lt;2000,"&lt;2000",""))))</f>
        <v>&lt;10</v>
      </c>
      <c r="S42" s="87" t="str">
        <f>IFERROR(VLOOKUP(All_PCC_a[[#This Row],[Lo (uH)]],Utility!$D$5:$E$43,2,1),"-")</f>
        <v>≤   3</v>
      </c>
      <c r="T42" s="88">
        <v>0.2</v>
      </c>
      <c r="U42" s="126">
        <v>8.5</v>
      </c>
      <c r="V42" s="126">
        <v>9.3500000000000014</v>
      </c>
      <c r="W42" s="87">
        <v>10</v>
      </c>
      <c r="X42" s="87">
        <v>11.4</v>
      </c>
      <c r="Y42" s="87">
        <v>9.8000000000000007</v>
      </c>
      <c r="Z42" s="117">
        <v>20.399999999999999</v>
      </c>
      <c r="AA42" s="87">
        <v>15.16</v>
      </c>
      <c r="AB42" s="68">
        <v>8.4</v>
      </c>
      <c r="AC42" s="68">
        <v>8</v>
      </c>
      <c r="AD42" s="87">
        <v>4</v>
      </c>
      <c r="AE42" s="68">
        <f>ROUND(All_PCC_a[[#This Row],[L (mm)]]*All_PCC_a[[#This Row],[W (mm)]],1)</f>
        <v>67.2</v>
      </c>
      <c r="AF42" s="87" t="str">
        <f>All_PCC_a[[#This Row],[L (mm)]]&amp;"  x  "&amp;All_PCC_a[[#This Row],[W (mm)]]</f>
        <v>8.4  x  8</v>
      </c>
      <c r="AG42" s="99" t="s">
        <v>624</v>
      </c>
      <c r="AH42" s="97" t="str">
        <f>IF(All_PCC_a[[#This Row],[Max Height (mm)]]&lt;=9,"≤ "&amp;ROUNDUP(AD42,0),"≤"&amp;ROUNDUP(AD42,0))</f>
        <v>≤ 4</v>
      </c>
      <c r="AI42" s="68">
        <v>-55</v>
      </c>
      <c r="AJ42" s="68">
        <v>155</v>
      </c>
      <c r="AK42" s="68" t="str">
        <f>All_PCC_a[[#This Row],[Min Temp (deg.C)]]&amp;" to +"&amp;All_PCC_a[[#This Row],[Max Temp (deg.C)]]</f>
        <v>-55 to +155</v>
      </c>
      <c r="AL42" s="68"/>
      <c r="AO42" s="87" t="s">
        <v>138</v>
      </c>
      <c r="AP42" s="97" t="str">
        <f t="shared" si="8"/>
        <v>-</v>
      </c>
      <c r="AQ42" s="87" t="s">
        <v>138</v>
      </c>
      <c r="AR42" s="87" t="s">
        <v>138</v>
      </c>
      <c r="AS42" s="68" t="s">
        <v>909</v>
      </c>
      <c r="AT42" s="95" t="s">
        <v>606</v>
      </c>
      <c r="AU42" s="96" t="e" vm="9">
        <f>_xlfn.IMAGE(All_PCC_a[[#This Row],[Image URL]])</f>
        <v>#VALUE!</v>
      </c>
      <c r="AW42" s="68"/>
      <c r="AX42" s="96"/>
      <c r="AY42" s="96"/>
      <c r="AZ42" s="96" t="str">
        <f>IF(AY42=1,COUNTIF($AY$11:AY42,1),"")</f>
        <v/>
      </c>
      <c r="BA42" s="96"/>
      <c r="BB42" s="96"/>
      <c r="BC42" s="96">
        <f>IF(Z42&lt;('DCDC Ref'!$J$24/'DCDC Ref'!$J$26)*'DCDC Ref'!$J$28/100,0,1)</f>
        <v>1</v>
      </c>
      <c r="BD42" s="360">
        <f>IF(BC42=1000000000,"",('All Data'!Q42-'DCDC Ref'!$J$30)/'DCDC Ref'!$J$30*100)</f>
        <v>248.13186813186817</v>
      </c>
      <c r="BE42" s="295">
        <f t="shared" si="3"/>
        <v>248.13186813186817</v>
      </c>
      <c r="BF42" s="295"/>
      <c r="BG42" s="360"/>
      <c r="BH42" s="361">
        <f t="shared" si="4"/>
        <v>0</v>
      </c>
      <c r="BI42" s="295"/>
      <c r="BJ42" s="96">
        <f>IF(BC42=0,"",('All Data'!Z42-'DCDC Ref'!$J$28*('DCDC Ref'!$J$29/100))/'DCDC Ref'!$J$28*('DCDC Ref'!$J$29/100)*100)</f>
        <v>82.896551724137908</v>
      </c>
      <c r="BK42" s="361">
        <f t="shared" si="5"/>
        <v>82.896551724137908</v>
      </c>
      <c r="BL42" s="361"/>
      <c r="BM42" s="361"/>
      <c r="BN42" s="361"/>
      <c r="BO42" s="361"/>
      <c r="BP42" s="96"/>
      <c r="BQ42" s="298">
        <f t="shared" si="6"/>
        <v>1241073.8234179616</v>
      </c>
      <c r="BR42" s="298">
        <f>IF(BQ42="","",RANK(BQ42,BQ$11:BQ$9930,1)+COUNTIF(BQ$11:BQ42,BQ42)-1)</f>
        <v>44</v>
      </c>
      <c r="BS42" s="299">
        <f t="shared" si="2"/>
        <v>44</v>
      </c>
      <c r="BT42" s="96" t="str">
        <f>IFERROR(INDEX($O$11:$O$1013,MATCH(ROWS($BS$11:BS42),$BS$11:$BS$1005,0)),"")</f>
        <v>ETQP4M1R5KFM</v>
      </c>
      <c r="BU42" s="299" t="str">
        <f t="shared" si="7"/>
        <v>ETQP4M1R5KFM</v>
      </c>
      <c r="BV42" s="96"/>
    </row>
    <row r="43" spans="1:74" ht="15">
      <c r="A43" s="95">
        <v>90</v>
      </c>
      <c r="B43" s="259" t="s">
        <v>584</v>
      </c>
      <c r="C43" s="95"/>
      <c r="D43" s="95" t="s">
        <v>585</v>
      </c>
      <c r="E43" s="109"/>
      <c r="F43" s="68" t="s">
        <v>153</v>
      </c>
      <c r="G43" s="69" t="s">
        <v>586</v>
      </c>
      <c r="H43" s="68" t="s">
        <v>587</v>
      </c>
      <c r="I43" s="69" t="s">
        <v>588</v>
      </c>
      <c r="J43" s="68" t="s">
        <v>589</v>
      </c>
      <c r="K43" s="68" t="s">
        <v>601</v>
      </c>
      <c r="L43" s="68" t="s">
        <v>629</v>
      </c>
      <c r="M43" s="68" t="s">
        <v>630</v>
      </c>
      <c r="N43" s="68" t="s">
        <v>593</v>
      </c>
      <c r="O43" s="34" t="s">
        <v>56</v>
      </c>
      <c r="P43" s="37" t="str">
        <f>MID(All_PCC_a[[#This Row],[Part Number]],7,3)</f>
        <v>2R2</v>
      </c>
      <c r="Q43" s="87">
        <v>2.2000000000000002</v>
      </c>
      <c r="R43" s="87" t="str">
        <f>IF(All_PCC_a[[#This Row],[Lo (uH)]]&lt;1,"&lt;1",IF(All_PCC_a[[#This Row],[Lo (uH)]]&lt;10,"&lt;10",IF(All_PCC_a[[#This Row],[Lo (uH)]]&lt;100,"&lt;100",IF(All_PCC_a[[#This Row],[Lo (uH)]]&lt;2000,"&lt;2000",""))))</f>
        <v>&lt;10</v>
      </c>
      <c r="S43" s="87" t="str">
        <f>IFERROR(VLOOKUP(All_PCC_a[[#This Row],[Lo (uH)]],Utility!$D$5:$E$43,2,1),"-")</f>
        <v>≤   3</v>
      </c>
      <c r="T43" s="88">
        <v>0.2</v>
      </c>
      <c r="U43" s="126">
        <v>6.8</v>
      </c>
      <c r="V43" s="126">
        <v>7.48</v>
      </c>
      <c r="W43" s="87">
        <v>10</v>
      </c>
      <c r="X43" s="87">
        <v>14.8</v>
      </c>
      <c r="Y43" s="121">
        <v>12.1</v>
      </c>
      <c r="Z43" s="122">
        <v>21</v>
      </c>
      <c r="AA43" s="87">
        <v>16.920000000000002</v>
      </c>
      <c r="AB43" s="68">
        <v>10.7</v>
      </c>
      <c r="AC43" s="68">
        <v>10</v>
      </c>
      <c r="AD43" s="87">
        <v>4</v>
      </c>
      <c r="AE43" s="68">
        <f>ROUND(All_PCC_a[[#This Row],[L (mm)]]*All_PCC_a[[#This Row],[W (mm)]],1)</f>
        <v>107</v>
      </c>
      <c r="AF43" s="87" t="str">
        <f>All_PCC_a[[#This Row],[L (mm)]]&amp;"  x  "&amp;All_PCC_a[[#This Row],[W (mm)]]</f>
        <v>10.7  x  10</v>
      </c>
      <c r="AG43" s="91" t="s">
        <v>324</v>
      </c>
      <c r="AH43" s="97" t="str">
        <f>IF(All_PCC_a[[#This Row],[Max Height (mm)]]&lt;=9,"≤ "&amp;ROUNDUP(AD43,0),"≤"&amp;ROUNDUP(AD43,0))</f>
        <v>≤ 4</v>
      </c>
      <c r="AI43" s="68">
        <v>-55</v>
      </c>
      <c r="AJ43" s="68">
        <v>155</v>
      </c>
      <c r="AK43" s="68" t="str">
        <f>All_PCC_a[[#This Row],[Min Temp (deg.C)]]&amp;" to +"&amp;All_PCC_a[[#This Row],[Max Temp (deg.C)]]</f>
        <v>-55 to +155</v>
      </c>
      <c r="AL43" s="68"/>
      <c r="AO43" s="87" t="s">
        <v>138</v>
      </c>
      <c r="AP43" s="97" t="str">
        <f t="shared" si="8"/>
        <v>-</v>
      </c>
      <c r="AQ43" s="87" t="s">
        <v>138</v>
      </c>
      <c r="AR43" s="87" t="s">
        <v>138</v>
      </c>
      <c r="AS43" s="68" t="s">
        <v>910</v>
      </c>
      <c r="AT43" s="95" t="s">
        <v>606</v>
      </c>
      <c r="AU43" s="96" t="e" vm="9">
        <f>_xlfn.IMAGE(All_PCC_a[[#This Row],[Image URL]])</f>
        <v>#VALUE!</v>
      </c>
      <c r="AW43" s="68"/>
      <c r="AX43" s="96"/>
      <c r="AY43" s="96"/>
      <c r="AZ43" s="96" t="str">
        <f>IF(AY43=1,COUNTIF($AY$11:AY43,1),"")</f>
        <v/>
      </c>
      <c r="BA43" s="96"/>
      <c r="BB43" s="96"/>
      <c r="BC43" s="96">
        <f>IF(Z43&lt;('DCDC Ref'!$J$24/'DCDC Ref'!$J$26)*'DCDC Ref'!$J$28/100,0,1)</f>
        <v>1</v>
      </c>
      <c r="BD43" s="360">
        <f>IF(BC43=1000000000,"",('All Data'!Q43-'DCDC Ref'!$J$30)/'DCDC Ref'!$J$30*100)</f>
        <v>248.13186813186817</v>
      </c>
      <c r="BE43" s="295">
        <f t="shared" si="3"/>
        <v>248.13186813186817</v>
      </c>
      <c r="BF43" s="295"/>
      <c r="BG43" s="360"/>
      <c r="BH43" s="361">
        <f t="shared" si="4"/>
        <v>0</v>
      </c>
      <c r="BI43" s="295"/>
      <c r="BJ43" s="96">
        <f>IF(BC43=0,"",('All Data'!Z43-'DCDC Ref'!$J$28*('DCDC Ref'!$J$29/100))/'DCDC Ref'!$J$28*('DCDC Ref'!$J$29/100)*100)</f>
        <v>88.275862068965495</v>
      </c>
      <c r="BK43" s="361">
        <f t="shared" si="5"/>
        <v>88.275862068965495</v>
      </c>
      <c r="BL43" s="361"/>
      <c r="BM43" s="361"/>
      <c r="BN43" s="361"/>
      <c r="BO43" s="361"/>
      <c r="BP43" s="96"/>
      <c r="BQ43" s="298">
        <f t="shared" si="6"/>
        <v>1241100.7199696857</v>
      </c>
      <c r="BR43" s="298">
        <f>IF(BQ43="","",RANK(BQ43,BQ$11:BQ$9930,1)+COUNTIF(BQ$11:BQ43,BQ43)-1)</f>
        <v>45</v>
      </c>
      <c r="BS43" s="299">
        <f t="shared" ref="BS43:BS74" si="9">RANK(BR43,BR$11:BR$9930,1)</f>
        <v>45</v>
      </c>
      <c r="BT43" s="96" t="str">
        <f>IFERROR(INDEX($O$11:$O$1013,MATCH(ROWS($BS$11:BS43),$BS$11:$BS$1005,0)),"")</f>
        <v>ETQP4M1R5KVK</v>
      </c>
      <c r="BU43" s="299" t="str">
        <f t="shared" si="7"/>
        <v>ETQP4M1R5KVK</v>
      </c>
      <c r="BV43" s="96"/>
    </row>
    <row r="44" spans="1:74" ht="15">
      <c r="A44" s="95">
        <v>93</v>
      </c>
      <c r="B44" s="259" t="s">
        <v>584</v>
      </c>
      <c r="C44" s="95"/>
      <c r="D44" s="95" t="s">
        <v>585</v>
      </c>
      <c r="E44" s="109"/>
      <c r="F44" s="68" t="s">
        <v>153</v>
      </c>
      <c r="G44" s="69" t="s">
        <v>586</v>
      </c>
      <c r="H44" s="68" t="s">
        <v>587</v>
      </c>
      <c r="I44" s="69" t="s">
        <v>588</v>
      </c>
      <c r="J44" s="68" t="s">
        <v>589</v>
      </c>
      <c r="K44" s="68" t="s">
        <v>640</v>
      </c>
      <c r="L44" s="68" t="s">
        <v>641</v>
      </c>
      <c r="M44" s="68" t="s">
        <v>642</v>
      </c>
      <c r="N44" s="68" t="s">
        <v>593</v>
      </c>
      <c r="O44" s="34" t="s">
        <v>643</v>
      </c>
      <c r="P44" s="37" t="str">
        <f>MID(All_PCC_a[[#This Row],[Part Number]],7,3)</f>
        <v>2R2</v>
      </c>
      <c r="Q44" s="87">
        <v>2.2000000000000002</v>
      </c>
      <c r="R44" s="87" t="str">
        <f>IF(All_PCC_a[[#This Row],[Lo (uH)]]&lt;1,"&lt;1",IF(All_PCC_a[[#This Row],[Lo (uH)]]&lt;10,"&lt;10",IF(All_PCC_a[[#This Row],[Lo (uH)]]&lt;100,"&lt;100",IF(All_PCC_a[[#This Row],[Lo (uH)]]&lt;2000,"&lt;2000",""))))</f>
        <v>&lt;10</v>
      </c>
      <c r="S44" s="87" t="str">
        <f>IFERROR(VLOOKUP(All_PCC_a[[#This Row],[Lo (uH)]],Utility!$D$5:$E$43,2,1),"-")</f>
        <v>≤   3</v>
      </c>
      <c r="T44" s="88">
        <v>0.2</v>
      </c>
      <c r="U44" s="126">
        <v>19.5</v>
      </c>
      <c r="V44" s="126">
        <v>21.45</v>
      </c>
      <c r="W44" s="87">
        <v>20</v>
      </c>
      <c r="X44" s="87">
        <v>6.3</v>
      </c>
      <c r="Y44" s="121">
        <v>5.2</v>
      </c>
      <c r="Z44" s="122">
        <v>9</v>
      </c>
      <c r="AA44" s="87">
        <v>6.4</v>
      </c>
      <c r="AB44" s="68">
        <v>5.5</v>
      </c>
      <c r="AC44" s="68">
        <v>5</v>
      </c>
      <c r="AD44" s="87">
        <v>3</v>
      </c>
      <c r="AE44" s="68">
        <f>ROUND(All_PCC_a[[#This Row],[L (mm)]]*All_PCC_a[[#This Row],[W (mm)]],1)</f>
        <v>27.5</v>
      </c>
      <c r="AF44" s="87" t="str">
        <f>All_PCC_a[[#This Row],[L (mm)]]&amp;"  x  "&amp;All_PCC_a[[#This Row],[W (mm)]]</f>
        <v>5.5  x  5</v>
      </c>
      <c r="AG44" s="91" t="s">
        <v>605</v>
      </c>
      <c r="AH44" s="97" t="str">
        <f>IF(All_PCC_a[[#This Row],[Max Height (mm)]]&lt;=9,"≤ "&amp;ROUNDUP(AD44,0),"≤"&amp;ROUNDUP(AD44,0))</f>
        <v>≤ 3</v>
      </c>
      <c r="AI44" s="68">
        <v>-40</v>
      </c>
      <c r="AJ44" s="68">
        <v>150</v>
      </c>
      <c r="AK44" s="68" t="str">
        <f>All_PCC_a[[#This Row],[Min Temp (deg.C)]]&amp;" to +"&amp;All_PCC_a[[#This Row],[Max Temp (deg.C)]]</f>
        <v>-40 to +150</v>
      </c>
      <c r="AL44" s="68"/>
      <c r="AO44" s="87" t="s">
        <v>138</v>
      </c>
      <c r="AP44" s="97" t="str">
        <f t="shared" si="8"/>
        <v>-</v>
      </c>
      <c r="AQ44" s="87" t="s">
        <v>138</v>
      </c>
      <c r="AR44" s="87" t="s">
        <v>138</v>
      </c>
      <c r="AS44" s="68" t="s">
        <v>911</v>
      </c>
      <c r="AT44" s="68" t="s">
        <v>644</v>
      </c>
      <c r="AU44" s="96" t="e" vm="11">
        <f>_xlfn.IMAGE(All_PCC_a[[#This Row],[Image URL]])</f>
        <v>#VALUE!</v>
      </c>
      <c r="AW44" s="68"/>
      <c r="AX44" s="96"/>
      <c r="AY44" s="96"/>
      <c r="AZ44" s="96" t="str">
        <f>IF(AY44=1,COUNTIF($AY$11:AY44,1),"")</f>
        <v/>
      </c>
      <c r="BA44" s="96"/>
      <c r="BB44" s="96"/>
      <c r="BC44" s="96">
        <f>IF(Z44&lt;('DCDC Ref'!$J$24/'DCDC Ref'!$J$26)*'DCDC Ref'!$J$28/100,0,1)</f>
        <v>1</v>
      </c>
      <c r="BD44" s="360">
        <f>IF(BC44=1000000000,"",('All Data'!Q44-'DCDC Ref'!$J$30)/'DCDC Ref'!$J$30*100)</f>
        <v>248.13186813186817</v>
      </c>
      <c r="BE44" s="295">
        <f t="shared" si="3"/>
        <v>248.13186813186817</v>
      </c>
      <c r="BF44" s="295"/>
      <c r="BG44" s="360"/>
      <c r="BH44" s="361">
        <f t="shared" si="4"/>
        <v>0</v>
      </c>
      <c r="BI44" s="295"/>
      <c r="BJ44" s="96">
        <f>IF(BC44=0,"",('All Data'!Z44-'DCDC Ref'!$J$28*('DCDC Ref'!$J$29/100))/'DCDC Ref'!$J$28*('DCDC Ref'!$J$29/100)*100)</f>
        <v>-19.310344827586214</v>
      </c>
      <c r="BK44" s="361">
        <f t="shared" si="5"/>
        <v>10000</v>
      </c>
      <c r="BL44" s="361"/>
      <c r="BM44" s="361"/>
      <c r="BN44" s="361"/>
      <c r="BO44" s="361"/>
      <c r="BP44" s="96"/>
      <c r="BQ44" s="298">
        <f t="shared" si="6"/>
        <v>1290659.3406593408</v>
      </c>
      <c r="BR44" s="298">
        <f>IF(BQ44="","",RANK(BQ44,BQ$11:BQ$9930,1)+COUNTIF(BQ$11:BQ44,BQ44)-1)</f>
        <v>48</v>
      </c>
      <c r="BS44" s="299">
        <f t="shared" si="9"/>
        <v>48</v>
      </c>
      <c r="BT44" s="96" t="str">
        <f>IFERROR(INDEX($O$11:$O$1013,MATCH(ROWS($BS$11:BS44),$BS$11:$BS$1005,0)),"")</f>
        <v>ETQP4M1R5KVC</v>
      </c>
      <c r="BU44" s="299" t="str">
        <f t="shared" si="7"/>
        <v>ETQP4M1R5KVC</v>
      </c>
      <c r="BV44" s="96"/>
    </row>
    <row r="45" spans="1:74" ht="15">
      <c r="A45" s="95">
        <v>107</v>
      </c>
      <c r="B45" s="259" t="s">
        <v>584</v>
      </c>
      <c r="C45" s="95"/>
      <c r="D45" s="133" t="s">
        <v>585</v>
      </c>
      <c r="E45" s="237"/>
      <c r="F45" s="238" t="s">
        <v>153</v>
      </c>
      <c r="G45" s="156" t="s">
        <v>586</v>
      </c>
      <c r="H45" s="132" t="s">
        <v>587</v>
      </c>
      <c r="I45" s="156" t="s">
        <v>588</v>
      </c>
      <c r="J45" s="132" t="s">
        <v>589</v>
      </c>
      <c r="K45" s="133" t="s">
        <v>590</v>
      </c>
      <c r="L45" s="133" t="s">
        <v>645</v>
      </c>
      <c r="M45" s="133" t="s">
        <v>646</v>
      </c>
      <c r="N45" s="133" t="s">
        <v>593</v>
      </c>
      <c r="O45" s="34" t="s">
        <v>647</v>
      </c>
      <c r="P45" s="37" t="str">
        <f>MID(All_PCC_a[[#This Row],[Part Number]],7,3)</f>
        <v>2R2</v>
      </c>
      <c r="Q45" s="239">
        <v>2.2000000000000002</v>
      </c>
      <c r="R45" s="135" t="str">
        <f>IF(All_PCC_a[[#This Row],[Lo (uH)]]&lt;1,"&lt;1",IF(All_PCC_a[[#This Row],[Lo (uH)]]&lt;10,"&lt;10",IF(All_PCC_a[[#This Row],[Lo (uH)]]&lt;100,"&lt;100",IF(All_PCC_a[[#This Row],[Lo (uH)]]&lt;2000,"&lt;2000",""))))</f>
        <v>&lt;10</v>
      </c>
      <c r="S45" s="135" t="str">
        <f>IFERROR(VLOOKUP(All_PCC_a[[#This Row],[Lo (uH)]],Utility!$D$5:$E$43,2,1),"-")</f>
        <v>≤   3</v>
      </c>
      <c r="T45" s="136">
        <v>0.2</v>
      </c>
      <c r="U45" s="242">
        <v>10.4</v>
      </c>
      <c r="V45" s="245">
        <f>All_PCC_a[[#This Row],[DCR Typ (mOhm)]]*1.1</f>
        <v>11.440000000000001</v>
      </c>
      <c r="W45" s="135">
        <v>10</v>
      </c>
      <c r="X45" s="240">
        <v>10.199999999999999</v>
      </c>
      <c r="Y45" s="239">
        <v>8</v>
      </c>
      <c r="Z45" s="241">
        <v>14.4</v>
      </c>
      <c r="AA45" s="135">
        <v>10.41</v>
      </c>
      <c r="AB45" s="133">
        <v>6.5</v>
      </c>
      <c r="AC45" s="133">
        <v>6</v>
      </c>
      <c r="AD45" s="239">
        <v>4.5</v>
      </c>
      <c r="AE45" s="133">
        <f>ROUND(All_PCC_a[[#This Row],[L (mm)]]*All_PCC_a[[#This Row],[W (mm)]],1)</f>
        <v>39</v>
      </c>
      <c r="AF45" s="87" t="str">
        <f>All_PCC_a[[#This Row],[L (mm)]]&amp;"  x  "&amp;All_PCC_a[[#This Row],[W (mm)]]</f>
        <v>6.5  x  6</v>
      </c>
      <c r="AG45" s="91" t="s">
        <v>618</v>
      </c>
      <c r="AH45" s="97" t="str">
        <f>IF(All_PCC_a[[#This Row],[Max Height (mm)]]&lt;=9,"≤ "&amp;ROUNDUP(AD45,0),"≤"&amp;ROUNDUP(AD45,0))</f>
        <v>≤ 5</v>
      </c>
      <c r="AI45" s="243">
        <v>-40</v>
      </c>
      <c r="AJ45" s="133">
        <v>150</v>
      </c>
      <c r="AK45" s="68" t="str">
        <f>All_PCC_a[[#This Row],[Min Temp (deg.C)]]&amp;" to +"&amp;All_PCC_a[[#This Row],[Max Temp (deg.C)]]</f>
        <v>-40 to +150</v>
      </c>
      <c r="AL45" s="133"/>
      <c r="AM45" s="133"/>
      <c r="AN45" s="133"/>
      <c r="AO45" s="135" t="s">
        <v>138</v>
      </c>
      <c r="AP45" s="240" t="str">
        <f t="shared" si="8"/>
        <v>-</v>
      </c>
      <c r="AQ45" s="135" t="s">
        <v>138</v>
      </c>
      <c r="AR45" s="135" t="s">
        <v>138</v>
      </c>
      <c r="AS45" s="132" t="s">
        <v>912</v>
      </c>
      <c r="AT45" s="95" t="s">
        <v>594</v>
      </c>
      <c r="AU45" s="96" t="e" vm="7">
        <f>_xlfn.IMAGE(All_PCC_a[[#This Row],[Image URL]])</f>
        <v>#VALUE!</v>
      </c>
      <c r="AV45" s="133"/>
      <c r="AW45" s="133"/>
      <c r="AY45" s="68"/>
      <c r="BC45" s="96">
        <f>IF(Z45&lt;('DCDC Ref'!$J$24/'DCDC Ref'!$J$26)*'DCDC Ref'!$J$28/100,0,1)</f>
        <v>1</v>
      </c>
      <c r="BD45" s="360">
        <f>IF(BC45=1000000000,"",('All Data'!Q45-'DCDC Ref'!$J$30)/'DCDC Ref'!$J$30*100)</f>
        <v>248.13186813186817</v>
      </c>
      <c r="BE45" s="295">
        <f t="shared" si="3"/>
        <v>248.13186813186817</v>
      </c>
      <c r="BF45" s="295"/>
      <c r="BG45" s="360"/>
      <c r="BH45" s="361">
        <f t="shared" si="4"/>
        <v>0</v>
      </c>
      <c r="BI45" s="295"/>
      <c r="BJ45" s="96">
        <f>IF(BC45=0,"",('All Data'!Z45-'DCDC Ref'!$J$28*('DCDC Ref'!$J$29/100))/'DCDC Ref'!$J$28*('DCDC Ref'!$J$29/100)*100)</f>
        <v>29.103448275862061</v>
      </c>
      <c r="BK45" s="361">
        <f t="shared" si="5"/>
        <v>29.103448275862061</v>
      </c>
      <c r="BL45" s="361"/>
      <c r="BM45" s="361"/>
      <c r="BN45" s="361"/>
      <c r="BO45" s="361"/>
      <c r="BP45" s="96"/>
      <c r="BQ45" s="298">
        <f t="shared" si="6"/>
        <v>1240804.8579007201</v>
      </c>
      <c r="BR45" s="298">
        <f>IF(BQ45="","",RANK(BQ45,BQ$11:BQ$9930,1)+COUNTIF(BQ$11:BQ45,BQ45)-1)</f>
        <v>42</v>
      </c>
      <c r="BS45" s="299">
        <f t="shared" si="9"/>
        <v>42</v>
      </c>
      <c r="BT45" s="96" t="str">
        <f>IFERROR(INDEX($O$11:$O$1013,MATCH(ROWS($BS$11:BS45),$BS$11:$BS$1005,0)),"")</f>
        <v>ETQP8M1R5JFA</v>
      </c>
      <c r="BU45" s="299" t="str">
        <f t="shared" si="7"/>
        <v>ETQP8M1R5JFA</v>
      </c>
      <c r="BV45" s="96"/>
    </row>
    <row r="46" spans="1:74" ht="15">
      <c r="A46" s="95">
        <v>105</v>
      </c>
      <c r="B46" s="259" t="s">
        <v>584</v>
      </c>
      <c r="C46" s="95"/>
      <c r="D46" s="95" t="s">
        <v>585</v>
      </c>
      <c r="E46" s="110"/>
      <c r="F46" s="68" t="s">
        <v>153</v>
      </c>
      <c r="G46" s="69" t="s">
        <v>586</v>
      </c>
      <c r="H46" s="68" t="s">
        <v>587</v>
      </c>
      <c r="I46" s="69" t="s">
        <v>588</v>
      </c>
      <c r="J46" s="68" t="s">
        <v>589</v>
      </c>
      <c r="K46" s="95" t="s">
        <v>625</v>
      </c>
      <c r="L46" s="133" t="s">
        <v>648</v>
      </c>
      <c r="M46" s="95" t="s">
        <v>649</v>
      </c>
      <c r="N46" s="95" t="s">
        <v>593</v>
      </c>
      <c r="O46" s="34" t="s">
        <v>650</v>
      </c>
      <c r="P46" s="37" t="str">
        <f>MID(All_PCC_a[[#This Row],[Part Number]],7,3)</f>
        <v>2R5</v>
      </c>
      <c r="Q46" s="129">
        <v>2.4500000000000002</v>
      </c>
      <c r="R46" s="87" t="str">
        <f>IF(All_PCC_a[[#This Row],[Lo (uH)]]&lt;1,"&lt;1",IF(All_PCC_a[[#This Row],[Lo (uH)]]&lt;10,"&lt;10",IF(All_PCC_a[[#This Row],[Lo (uH)]]&lt;100,"&lt;100",IF(All_PCC_a[[#This Row],[Lo (uH)]]&lt;2000,"&lt;2000",""))))</f>
        <v>&lt;10</v>
      </c>
      <c r="S46" s="87" t="str">
        <f>IFERROR(VLOOKUP(All_PCC_a[[#This Row],[Lo (uH)]],Utility!$D$5:$E$43,2,1),"-")</f>
        <v>≤   3</v>
      </c>
      <c r="T46" s="88">
        <v>0.2</v>
      </c>
      <c r="U46" s="126">
        <v>7.4</v>
      </c>
      <c r="V46" s="126">
        <v>8.14</v>
      </c>
      <c r="W46" s="87">
        <v>10</v>
      </c>
      <c r="X46" s="130">
        <v>14.1</v>
      </c>
      <c r="Y46" s="129">
        <v>12</v>
      </c>
      <c r="Z46" s="122">
        <v>19.3</v>
      </c>
      <c r="AA46" s="87">
        <v>13.7</v>
      </c>
      <c r="AB46" s="95">
        <v>8.5</v>
      </c>
      <c r="AC46" s="95">
        <v>8</v>
      </c>
      <c r="AD46" s="129">
        <v>5.4</v>
      </c>
      <c r="AE46" s="95">
        <f>ROUND(All_PCC_a[[#This Row],[L (mm)]]*All_PCC_a[[#This Row],[W (mm)]],1)</f>
        <v>68</v>
      </c>
      <c r="AF46" s="87" t="str">
        <f>All_PCC_a[[#This Row],[L (mm)]]&amp;"  x  "&amp;All_PCC_a[[#This Row],[W (mm)]]</f>
        <v>8.5  x  8</v>
      </c>
      <c r="AG46" s="91" t="s">
        <v>624</v>
      </c>
      <c r="AH46" s="97" t="str">
        <f>IF(All_PCC_a[[#This Row],[Max Height (mm)]]&lt;=9,"≤ "&amp;ROUNDUP(AD46,0),"≤"&amp;ROUNDUP(AD46,0))</f>
        <v>≤ 6</v>
      </c>
      <c r="AI46" s="95">
        <v>-40</v>
      </c>
      <c r="AJ46" s="95">
        <v>150</v>
      </c>
      <c r="AK46" s="68" t="str">
        <f>All_PCC_a[[#This Row],[Min Temp (deg.C)]]&amp;" to +"&amp;All_PCC_a[[#This Row],[Max Temp (deg.C)]]</f>
        <v>-40 to +150</v>
      </c>
      <c r="AL46" s="95"/>
      <c r="AM46" s="144"/>
      <c r="AN46" s="132"/>
      <c r="AO46" s="87" t="s">
        <v>138</v>
      </c>
      <c r="AP46" s="130" t="str">
        <f t="shared" ref="AP46:AP77" si="10">IFERROR(IF(L1Round&gt;1,ROUND(L1Round,1),L1Round),"-")</f>
        <v>-</v>
      </c>
      <c r="AQ46" s="87" t="s">
        <v>138</v>
      </c>
      <c r="AR46" s="87" t="s">
        <v>138</v>
      </c>
      <c r="AS46" s="68" t="s">
        <v>913</v>
      </c>
      <c r="AT46" s="133" t="s">
        <v>628</v>
      </c>
      <c r="AU46" s="96" t="e" vm="10">
        <f>_xlfn.IMAGE(All_PCC_a[[#This Row],[Image URL]])</f>
        <v>#VALUE!</v>
      </c>
      <c r="AV46" s="95"/>
      <c r="AW46" s="95"/>
      <c r="AY46" s="68"/>
      <c r="BC46" s="96">
        <f>IF(Z46&lt;('DCDC Ref'!$J$24/'DCDC Ref'!$J$26)*'DCDC Ref'!$J$28/100,0,1)</f>
        <v>1</v>
      </c>
      <c r="BD46" s="360">
        <f>IF(BC46=1000000000,"",('All Data'!Q46-'DCDC Ref'!$J$30)/'DCDC Ref'!$J$30*100)</f>
        <v>287.69230769230774</v>
      </c>
      <c r="BE46" s="295">
        <f t="shared" si="3"/>
        <v>287.69230769230774</v>
      </c>
      <c r="BF46" s="295"/>
      <c r="BG46" s="360"/>
      <c r="BH46" s="361">
        <f t="shared" si="4"/>
        <v>0</v>
      </c>
      <c r="BI46" s="295"/>
      <c r="BJ46" s="96">
        <f>IF(BC46=0,"",('All Data'!Z46-'DCDC Ref'!$J$28*('DCDC Ref'!$J$29/100))/'DCDC Ref'!$J$28*('DCDC Ref'!$J$29/100)*100)</f>
        <v>73.034482758620683</v>
      </c>
      <c r="BK46" s="361">
        <f t="shared" si="5"/>
        <v>73.034482758620683</v>
      </c>
      <c r="BL46" s="361"/>
      <c r="BM46" s="361"/>
      <c r="BN46" s="361"/>
      <c r="BO46" s="361"/>
      <c r="BP46" s="96"/>
      <c r="BQ46" s="298">
        <f t="shared" si="6"/>
        <v>1438826.7108753319</v>
      </c>
      <c r="BR46" s="298">
        <f>IF(BQ46="","",RANK(BQ46,BQ$11:BQ$9930,1)+COUNTIF(BQ$11:BQ46,BQ46)-1)</f>
        <v>49</v>
      </c>
      <c r="BS46" s="299">
        <f t="shared" si="9"/>
        <v>49</v>
      </c>
      <c r="BT46" s="96" t="str">
        <f>IFERROR(INDEX($O$11:$O$1013,MATCH(ROWS($BS$11:BS46),$BS$11:$BS$1005,0)),"")</f>
        <v>ETQP6M1R5YLC</v>
      </c>
      <c r="BU46" s="299" t="str">
        <f t="shared" si="7"/>
        <v>ETQP6M1R5YLC</v>
      </c>
      <c r="BV46" s="96"/>
    </row>
    <row r="47" spans="1:74" ht="15">
      <c r="A47" s="95">
        <v>14</v>
      </c>
      <c r="B47" s="259" t="s">
        <v>584</v>
      </c>
      <c r="C47" s="95"/>
      <c r="D47" s="95" t="s">
        <v>585</v>
      </c>
      <c r="E47" s="109"/>
      <c r="F47" s="68" t="s">
        <v>153</v>
      </c>
      <c r="G47" s="69" t="s">
        <v>586</v>
      </c>
      <c r="H47" s="68" t="s">
        <v>587</v>
      </c>
      <c r="I47" s="69" t="s">
        <v>588</v>
      </c>
      <c r="J47" s="68" t="s">
        <v>589</v>
      </c>
      <c r="K47" s="68" t="s">
        <v>590</v>
      </c>
      <c r="L47" s="68" t="s">
        <v>631</v>
      </c>
      <c r="M47" s="68" t="s">
        <v>632</v>
      </c>
      <c r="N47" s="68" t="s">
        <v>593</v>
      </c>
      <c r="O47" s="34" t="s">
        <v>57</v>
      </c>
      <c r="P47" s="37" t="str">
        <f>MID(All_PCC_a[[#This Row],[Part Number]],7,3)</f>
        <v>2R5</v>
      </c>
      <c r="Q47" s="87">
        <v>2.5</v>
      </c>
      <c r="R47" s="87" t="str">
        <f>IF(All_PCC_a[[#This Row],[Lo (uH)]]&lt;1,"&lt;1",IF(All_PCC_a[[#This Row],[Lo (uH)]]&lt;10,"&lt;10",IF(All_PCC_a[[#This Row],[Lo (uH)]]&lt;100,"&lt;100",IF(All_PCC_a[[#This Row],[Lo (uH)]]&lt;2000,"&lt;2000",""))))</f>
        <v>&lt;10</v>
      </c>
      <c r="S47" s="87" t="str">
        <f>IFERROR(VLOOKUP(All_PCC_a[[#This Row],[Lo (uH)]],Utility!$D$5:$E$43,2,1),"-")</f>
        <v>≤   3</v>
      </c>
      <c r="T47" s="88">
        <v>0.2</v>
      </c>
      <c r="U47" s="126">
        <v>5.3</v>
      </c>
      <c r="V47" s="126">
        <v>5.9</v>
      </c>
      <c r="W47" s="87">
        <v>10</v>
      </c>
      <c r="X47" s="87">
        <v>18.100000000000001</v>
      </c>
      <c r="Y47" s="87">
        <v>15.1</v>
      </c>
      <c r="Z47" s="117">
        <v>27.2</v>
      </c>
      <c r="AA47" s="87">
        <v>19.739999999999998</v>
      </c>
      <c r="AB47" s="68">
        <v>10.7</v>
      </c>
      <c r="AC47" s="68">
        <v>10</v>
      </c>
      <c r="AD47" s="87">
        <v>5.4</v>
      </c>
      <c r="AE47" s="68">
        <f>ROUND(All_PCC_a[[#This Row],[L (mm)]]*All_PCC_a[[#This Row],[W (mm)]],1)</f>
        <v>107</v>
      </c>
      <c r="AF47" s="87" t="str">
        <f>All_PCC_a[[#This Row],[L (mm)]]&amp;"  x  "&amp;All_PCC_a[[#This Row],[W (mm)]]</f>
        <v>10.7  x  10</v>
      </c>
      <c r="AG47" s="91" t="s">
        <v>324</v>
      </c>
      <c r="AH47" s="97" t="str">
        <f>IF(All_PCC_a[[#This Row],[Max Height (mm)]]&lt;=9,"≤ "&amp;ROUNDUP(AD47,0),"≤"&amp;ROUNDUP(AD47,0))</f>
        <v>≤ 6</v>
      </c>
      <c r="AI47" s="68">
        <v>-40</v>
      </c>
      <c r="AJ47" s="68">
        <v>150</v>
      </c>
      <c r="AK47" s="68" t="str">
        <f>All_PCC_a[[#This Row],[Min Temp (deg.C)]]&amp;" to +"&amp;All_PCC_a[[#This Row],[Max Temp (deg.C)]]</f>
        <v>-40 to +150</v>
      </c>
      <c r="AL47" s="68"/>
      <c r="AO47" s="87" t="s">
        <v>138</v>
      </c>
      <c r="AP47" s="97" t="str">
        <f t="shared" si="10"/>
        <v>-</v>
      </c>
      <c r="AQ47" s="87" t="s">
        <v>138</v>
      </c>
      <c r="AR47" s="87" t="s">
        <v>138</v>
      </c>
      <c r="AS47" s="68" t="s">
        <v>914</v>
      </c>
      <c r="AT47" s="68" t="s">
        <v>594</v>
      </c>
      <c r="AU47" s="96" t="e" vm="7">
        <f>_xlfn.IMAGE(All_PCC_a[[#This Row],[Image URL]])</f>
        <v>#VALUE!</v>
      </c>
      <c r="AW47" s="68"/>
      <c r="AX47" s="96"/>
      <c r="AY47" s="96"/>
      <c r="AZ47" s="96" t="str">
        <f>IF(AY47=1,COUNTIF($AY$11:AY47,1),"")</f>
        <v/>
      </c>
      <c r="BA47" s="96"/>
      <c r="BB47" s="96"/>
      <c r="BC47" s="96">
        <f>IF(Z47&lt;('DCDC Ref'!$J$24/'DCDC Ref'!$J$26)*'DCDC Ref'!$J$28/100,0,1)</f>
        <v>1</v>
      </c>
      <c r="BD47" s="360">
        <f>IF(BC47=1000000000,"",('All Data'!Q47-'DCDC Ref'!$J$30)/'DCDC Ref'!$J$30*100)</f>
        <v>295.60439560439562</v>
      </c>
      <c r="BE47" s="295">
        <f t="shared" si="3"/>
        <v>295.60439560439562</v>
      </c>
      <c r="BF47" s="295"/>
      <c r="BG47" s="360"/>
      <c r="BH47" s="361">
        <f t="shared" si="4"/>
        <v>0</v>
      </c>
      <c r="BI47" s="295"/>
      <c r="BJ47" s="96">
        <f>IF(BC47=0,"",('All Data'!Z47-'DCDC Ref'!$J$28*('DCDC Ref'!$J$29/100))/'DCDC Ref'!$J$28*('DCDC Ref'!$J$29/100)*100)</f>
        <v>143.86206896551718</v>
      </c>
      <c r="BK47" s="361">
        <f t="shared" si="5"/>
        <v>143.86206896551718</v>
      </c>
      <c r="BL47" s="361"/>
      <c r="BM47" s="361"/>
      <c r="BN47" s="361"/>
      <c r="BO47" s="361"/>
      <c r="BP47" s="96"/>
      <c r="BQ47" s="298">
        <f t="shared" si="6"/>
        <v>1478741.2883668058</v>
      </c>
      <c r="BR47" s="298">
        <f>IF(BQ47="","",RANK(BQ47,BQ$11:BQ$9930,1)+COUNTIF(BQ$11:BQ47,BQ47)-1)</f>
        <v>53</v>
      </c>
      <c r="BS47" s="299">
        <f t="shared" si="9"/>
        <v>53</v>
      </c>
      <c r="BT47" s="96" t="str">
        <f>IFERROR(INDEX($O$11:$O$1013,MATCH(ROWS($BS$11:BS47),$BS$11:$BS$1005,0)),"")</f>
        <v>ETQP5M1R5YFC</v>
      </c>
      <c r="BU47" s="299" t="str">
        <f t="shared" si="7"/>
        <v>ETQP5M1R5YFC</v>
      </c>
      <c r="BV47" s="96"/>
    </row>
    <row r="48" spans="1:74" ht="15">
      <c r="A48" s="95">
        <v>24</v>
      </c>
      <c r="B48" s="259" t="s">
        <v>584</v>
      </c>
      <c r="C48" s="95"/>
      <c r="D48" s="95" t="s">
        <v>585</v>
      </c>
      <c r="E48" s="110"/>
      <c r="F48" s="68" t="s">
        <v>153</v>
      </c>
      <c r="G48" s="154" t="s">
        <v>586</v>
      </c>
      <c r="H48" s="96" t="s">
        <v>587</v>
      </c>
      <c r="I48" s="154" t="s">
        <v>588</v>
      </c>
      <c r="J48" s="96" t="s">
        <v>589</v>
      </c>
      <c r="K48" s="96" t="s">
        <v>590</v>
      </c>
      <c r="L48" s="96" t="s">
        <v>651</v>
      </c>
      <c r="M48" s="96" t="s">
        <v>652</v>
      </c>
      <c r="N48" s="96" t="s">
        <v>22</v>
      </c>
      <c r="O48" s="34" t="s">
        <v>58</v>
      </c>
      <c r="P48" s="37" t="str">
        <f>MID(All_PCC_a[[#This Row],[Part Number]],7,3)</f>
        <v>2R5</v>
      </c>
      <c r="Q48" s="97">
        <v>2.5</v>
      </c>
      <c r="R48" s="87" t="str">
        <f>IF(All_PCC_a[[#This Row],[Lo (uH)]]&lt;1,"&lt;1",IF(All_PCC_a[[#This Row],[Lo (uH)]]&lt;10,"&lt;10",IF(All_PCC_a[[#This Row],[Lo (uH)]]&lt;100,"&lt;100",IF(All_PCC_a[[#This Row],[Lo (uH)]]&lt;2000,"&lt;2000",""))))</f>
        <v>&lt;10</v>
      </c>
      <c r="S48" s="87" t="str">
        <f>IFERROR(VLOOKUP(All_PCC_a[[#This Row],[Lo (uH)]],Utility!$D$5:$E$43,2,1),"-")</f>
        <v>≤   3</v>
      </c>
      <c r="T48" s="98">
        <v>0.2</v>
      </c>
      <c r="U48" s="127">
        <v>7.6</v>
      </c>
      <c r="V48" s="127">
        <v>8.36</v>
      </c>
      <c r="W48" s="97">
        <v>10</v>
      </c>
      <c r="X48" s="87">
        <v>14</v>
      </c>
      <c r="Y48" s="97">
        <v>11.9</v>
      </c>
      <c r="Z48" s="118">
        <v>20.100000000000001</v>
      </c>
      <c r="AA48" s="87">
        <v>14.54</v>
      </c>
      <c r="AB48" s="96">
        <v>8.5</v>
      </c>
      <c r="AC48" s="96">
        <v>8</v>
      </c>
      <c r="AD48" s="97">
        <v>5.4</v>
      </c>
      <c r="AE48" s="96">
        <f>ROUND(All_PCC_a[[#This Row],[L (mm)]]*All_PCC_a[[#This Row],[W (mm)]],1)</f>
        <v>68</v>
      </c>
      <c r="AF48" s="87" t="str">
        <f>All_PCC_a[[#This Row],[L (mm)]]&amp;"  x  "&amp;All_PCC_a[[#This Row],[W (mm)]]</f>
        <v>8.5  x  8</v>
      </c>
      <c r="AG48" s="99" t="s">
        <v>624</v>
      </c>
      <c r="AH48" s="97" t="str">
        <f>IF(All_PCC_a[[#This Row],[Max Height (mm)]]&lt;=9,"≤ "&amp;ROUNDUP(AD48,0),"≤"&amp;ROUNDUP(AD48,0))</f>
        <v>≤ 6</v>
      </c>
      <c r="AI48" s="100">
        <v>-40</v>
      </c>
      <c r="AJ48" s="100">
        <v>150</v>
      </c>
      <c r="AK48" s="68" t="str">
        <f>All_PCC_a[[#This Row],[Min Temp (deg.C)]]&amp;" to +"&amp;All_PCC_a[[#This Row],[Max Temp (deg.C)]]</f>
        <v>-40 to +150</v>
      </c>
      <c r="AL48" s="96"/>
      <c r="AM48" s="96"/>
      <c r="AN48" s="96"/>
      <c r="AO48" s="97" t="s">
        <v>124</v>
      </c>
      <c r="AP48" s="97" t="str">
        <f t="shared" si="10"/>
        <v>-</v>
      </c>
      <c r="AQ48" s="97" t="s">
        <v>138</v>
      </c>
      <c r="AR48" s="87" t="s">
        <v>138</v>
      </c>
      <c r="AS48" s="68" t="s">
        <v>915</v>
      </c>
      <c r="AT48" s="96" t="s">
        <v>594</v>
      </c>
      <c r="AU48" s="96" t="e" vm="7">
        <f>_xlfn.IMAGE(All_PCC_a[[#This Row],[Image URL]])</f>
        <v>#VALUE!</v>
      </c>
      <c r="AV48" s="96"/>
      <c r="AW48" s="96"/>
      <c r="AX48" s="96"/>
      <c r="AY48" s="96"/>
      <c r="AZ48" s="96" t="str">
        <f>IF(AY48=1,COUNTIF($AY$11:AY48,1),"")</f>
        <v/>
      </c>
      <c r="BA48" s="96"/>
      <c r="BB48" s="96"/>
      <c r="BC48" s="96">
        <f>IF(Z48&lt;('DCDC Ref'!$J$24/'DCDC Ref'!$J$26)*'DCDC Ref'!$J$28/100,0,1)</f>
        <v>1</v>
      </c>
      <c r="BD48" s="360">
        <f>IF(BC48=1000000000,"",('All Data'!Q48-'DCDC Ref'!$J$30)/'DCDC Ref'!$J$30*100)</f>
        <v>295.60439560439562</v>
      </c>
      <c r="BE48" s="295">
        <f t="shared" si="3"/>
        <v>295.60439560439562</v>
      </c>
      <c r="BF48" s="295"/>
      <c r="BG48" s="360"/>
      <c r="BH48" s="361">
        <f t="shared" si="4"/>
        <v>0</v>
      </c>
      <c r="BI48" s="295"/>
      <c r="BJ48" s="96">
        <f>IF(BC48=0,"",('All Data'!Z48-'DCDC Ref'!$J$28*('DCDC Ref'!$J$29/100))/'DCDC Ref'!$J$28*('DCDC Ref'!$J$29/100)*100)</f>
        <v>80.206896551724128</v>
      </c>
      <c r="BK48" s="361">
        <f t="shared" si="5"/>
        <v>80.206896551724128</v>
      </c>
      <c r="BL48" s="361"/>
      <c r="BM48" s="361"/>
      <c r="BN48" s="361"/>
      <c r="BO48" s="361"/>
      <c r="BP48" s="96"/>
      <c r="BQ48" s="298">
        <f t="shared" si="6"/>
        <v>1478423.0125047369</v>
      </c>
      <c r="BR48" s="298">
        <f>IF(BQ48="","",RANK(BQ48,BQ$11:BQ$9930,1)+COUNTIF(BQ$11:BQ48,BQ48)-1)</f>
        <v>50</v>
      </c>
      <c r="BS48" s="299">
        <f t="shared" si="9"/>
        <v>50</v>
      </c>
      <c r="BT48" s="96" t="str">
        <f>IFERROR(INDEX($O$11:$O$1013,MATCH(ROWS($BS$11:BS48),$BS$11:$BS$1005,0)),"")</f>
        <v>ETQPAM1R5JFW</v>
      </c>
      <c r="BU48" s="299" t="str">
        <f t="shared" si="7"/>
        <v>ETQPAM1R5JFW</v>
      </c>
      <c r="BV48" s="96"/>
    </row>
    <row r="49" spans="1:74" ht="15">
      <c r="A49" s="95">
        <v>42</v>
      </c>
      <c r="B49" s="259" t="s">
        <v>584</v>
      </c>
      <c r="C49" s="95"/>
      <c r="D49" s="95" t="s">
        <v>585</v>
      </c>
      <c r="E49" s="110"/>
      <c r="F49" s="68" t="s">
        <v>153</v>
      </c>
      <c r="G49" s="154" t="s">
        <v>586</v>
      </c>
      <c r="H49" s="96" t="s">
        <v>587</v>
      </c>
      <c r="I49" s="154" t="s">
        <v>588</v>
      </c>
      <c r="J49" s="96" t="s">
        <v>589</v>
      </c>
      <c r="K49" s="96" t="s">
        <v>590</v>
      </c>
      <c r="L49" s="68" t="s">
        <v>633</v>
      </c>
      <c r="M49" s="68" t="s">
        <v>634</v>
      </c>
      <c r="N49" s="96" t="s">
        <v>22</v>
      </c>
      <c r="O49" s="34" t="s">
        <v>59</v>
      </c>
      <c r="P49" s="37" t="str">
        <f>MID(All_PCC_a[[#This Row],[Part Number]],7,3)</f>
        <v>2R5</v>
      </c>
      <c r="Q49" s="103">
        <v>2.5</v>
      </c>
      <c r="R49" s="87" t="str">
        <f>IF(All_PCC_a[[#This Row],[Lo (uH)]]&lt;1,"&lt;1",IF(All_PCC_a[[#This Row],[Lo (uH)]]&lt;10,"&lt;10",IF(All_PCC_a[[#This Row],[Lo (uH)]]&lt;100,"&lt;100",IF(All_PCC_a[[#This Row],[Lo (uH)]]&lt;2000,"&lt;2000",""))))</f>
        <v>&lt;10</v>
      </c>
      <c r="S49" s="87" t="str">
        <f>IFERROR(VLOOKUP(All_PCC_a[[#This Row],[Lo (uH)]],Utility!$D$5:$E$43,2,1),"-")</f>
        <v>≤   3</v>
      </c>
      <c r="T49" s="98">
        <v>0.2</v>
      </c>
      <c r="U49" s="127">
        <v>4.55</v>
      </c>
      <c r="V49" s="127">
        <v>5</v>
      </c>
      <c r="W49" s="97">
        <v>10</v>
      </c>
      <c r="X49" s="87">
        <v>19.600000000000001</v>
      </c>
      <c r="Y49" s="97">
        <v>16.3</v>
      </c>
      <c r="Z49" s="118">
        <v>25.8</v>
      </c>
      <c r="AA49" s="87">
        <v>17.2</v>
      </c>
      <c r="AB49" s="96">
        <v>10.9</v>
      </c>
      <c r="AC49" s="96">
        <v>10</v>
      </c>
      <c r="AD49" s="97">
        <v>6</v>
      </c>
      <c r="AE49" s="96">
        <f>ROUND(All_PCC_a[[#This Row],[L (mm)]]*All_PCC_a[[#This Row],[W (mm)]],1)</f>
        <v>109</v>
      </c>
      <c r="AF49" s="87" t="str">
        <f>All_PCC_a[[#This Row],[L (mm)]]&amp;"  x  "&amp;All_PCC_a[[#This Row],[W (mm)]]</f>
        <v>10.9  x  10</v>
      </c>
      <c r="AG49" s="99" t="s">
        <v>324</v>
      </c>
      <c r="AH49" s="97" t="str">
        <f>IF(All_PCC_a[[#This Row],[Max Height (mm)]]&lt;=9,"≤ "&amp;ROUNDUP(AD49,0),"≤"&amp;ROUNDUP(AD49,0))</f>
        <v>≤ 6</v>
      </c>
      <c r="AI49" s="100">
        <v>-40</v>
      </c>
      <c r="AJ49" s="100">
        <v>150</v>
      </c>
      <c r="AK49" s="68" t="str">
        <f>All_PCC_a[[#This Row],[Min Temp (deg.C)]]&amp;" to +"&amp;All_PCC_a[[#This Row],[Max Temp (deg.C)]]</f>
        <v>-40 to +150</v>
      </c>
      <c r="AL49" s="96"/>
      <c r="AM49" s="96"/>
      <c r="AN49" s="96"/>
      <c r="AO49" s="97" t="s">
        <v>124</v>
      </c>
      <c r="AP49" s="97" t="str">
        <f t="shared" si="10"/>
        <v>-</v>
      </c>
      <c r="AQ49" s="98" t="s">
        <v>138</v>
      </c>
      <c r="AR49" s="87" t="s">
        <v>138</v>
      </c>
      <c r="AS49" s="68" t="s">
        <v>916</v>
      </c>
      <c r="AT49" s="96" t="s">
        <v>594</v>
      </c>
      <c r="AU49" s="96" t="e" vm="7">
        <f>_xlfn.IMAGE(All_PCC_a[[#This Row],[Image URL]])</f>
        <v>#VALUE!</v>
      </c>
      <c r="AV49" s="96"/>
      <c r="AW49" s="96"/>
      <c r="AY49" s="68"/>
      <c r="BC49" s="96">
        <f>IF(Z49&lt;('DCDC Ref'!$J$24/'DCDC Ref'!$J$26)*'DCDC Ref'!$J$28/100,0,1)</f>
        <v>1</v>
      </c>
      <c r="BD49" s="360">
        <f>IF(BC49=1000000000,"",('All Data'!Q49-'DCDC Ref'!$J$30)/'DCDC Ref'!$J$30*100)</f>
        <v>295.60439560439562</v>
      </c>
      <c r="BE49" s="295">
        <f t="shared" si="3"/>
        <v>295.60439560439562</v>
      </c>
      <c r="BF49" s="295"/>
      <c r="BG49" s="360"/>
      <c r="BH49" s="361">
        <f t="shared" si="4"/>
        <v>0</v>
      </c>
      <c r="BI49" s="295"/>
      <c r="BJ49" s="96">
        <f>IF(BC49=0,"",('All Data'!Z49-'DCDC Ref'!$J$28*('DCDC Ref'!$J$29/100))/'DCDC Ref'!$J$28*('DCDC Ref'!$J$29/100)*100)</f>
        <v>131.31034482758619</v>
      </c>
      <c r="BK49" s="361">
        <f t="shared" si="5"/>
        <v>131.31034482758619</v>
      </c>
      <c r="BL49" s="361"/>
      <c r="BM49" s="361"/>
      <c r="BN49" s="361"/>
      <c r="BO49" s="361"/>
      <c r="BP49" s="96"/>
      <c r="BQ49" s="298">
        <f t="shared" si="6"/>
        <v>1478678.5297461161</v>
      </c>
      <c r="BR49" s="298">
        <f>IF(BQ49="","",RANK(BQ49,BQ$11:BQ$9930,1)+COUNTIF(BQ$11:BQ49,BQ49)-1)</f>
        <v>52</v>
      </c>
      <c r="BS49" s="299">
        <f t="shared" si="9"/>
        <v>52</v>
      </c>
      <c r="BT49" s="96" t="str">
        <f>IFERROR(INDEX($O$11:$O$1013,MATCH(ROWS($BS$11:BS49),$BS$11:$BS$1005,0)),"")</f>
        <v>ETQP5M2R0YSC</v>
      </c>
      <c r="BU49" s="299" t="str">
        <f t="shared" si="7"/>
        <v>ETQP5M2R0YSC</v>
      </c>
      <c r="BV49" s="96"/>
    </row>
    <row r="50" spans="1:74" ht="15">
      <c r="A50" s="95">
        <v>49</v>
      </c>
      <c r="B50" s="259" t="s">
        <v>584</v>
      </c>
      <c r="C50" s="95"/>
      <c r="D50" s="95" t="s">
        <v>585</v>
      </c>
      <c r="E50" s="109"/>
      <c r="F50" s="68" t="s">
        <v>153</v>
      </c>
      <c r="G50" s="69" t="s">
        <v>586</v>
      </c>
      <c r="H50" s="68" t="s">
        <v>587</v>
      </c>
      <c r="I50" s="69" t="s">
        <v>588</v>
      </c>
      <c r="J50" s="68" t="s">
        <v>589</v>
      </c>
      <c r="K50" s="68" t="s">
        <v>596</v>
      </c>
      <c r="L50" s="68" t="s">
        <v>597</v>
      </c>
      <c r="M50" s="68" t="s">
        <v>598</v>
      </c>
      <c r="N50" s="68" t="s">
        <v>593</v>
      </c>
      <c r="O50" s="34" t="s">
        <v>60</v>
      </c>
      <c r="P50" s="37" t="str">
        <f>MID(All_PCC_a[[#This Row],[Part Number]],7,3)</f>
        <v>2R5</v>
      </c>
      <c r="Q50" s="87">
        <v>2.5</v>
      </c>
      <c r="R50" s="87" t="str">
        <f>IF(All_PCC_a[[#This Row],[Lo (uH)]]&lt;1,"&lt;1",IF(All_PCC_a[[#This Row],[Lo (uH)]]&lt;10,"&lt;10",IF(All_PCC_a[[#This Row],[Lo (uH)]]&lt;100,"&lt;100",IF(All_PCC_a[[#This Row],[Lo (uH)]]&lt;2000,"&lt;2000",""))))</f>
        <v>&lt;10</v>
      </c>
      <c r="S50" s="87" t="str">
        <f>IFERROR(VLOOKUP(All_PCC_a[[#This Row],[Lo (uH)]],Utility!$D$5:$E$43,2,1),"-")</f>
        <v>≤   3</v>
      </c>
      <c r="T50" s="88">
        <v>0.2</v>
      </c>
      <c r="U50" s="126">
        <v>2.6</v>
      </c>
      <c r="V50" s="126">
        <v>2.8600000000000003</v>
      </c>
      <c r="W50" s="87">
        <v>10</v>
      </c>
      <c r="X50" s="87">
        <v>27.7</v>
      </c>
      <c r="Y50" s="87">
        <v>23</v>
      </c>
      <c r="Z50" s="117">
        <v>32.1</v>
      </c>
      <c r="AA50" s="87">
        <f>ROUND(23.0676691729323,2)</f>
        <v>23.07</v>
      </c>
      <c r="AB50" s="68">
        <v>12.6</v>
      </c>
      <c r="AC50" s="68">
        <v>13.2</v>
      </c>
      <c r="AD50" s="87">
        <v>8</v>
      </c>
      <c r="AE50" s="68">
        <f>ROUND(All_PCC_a[[#This Row],[L (mm)]]*All_PCC_a[[#This Row],[W (mm)]],1)</f>
        <v>166.3</v>
      </c>
      <c r="AF50" s="87" t="str">
        <f>All_PCC_a[[#This Row],[L (mm)]]&amp;"  x  "&amp;All_PCC_a[[#This Row],[W (mm)]]</f>
        <v>12.6  x  13.2</v>
      </c>
      <c r="AG50" s="91" t="s">
        <v>341</v>
      </c>
      <c r="AH50" s="97" t="str">
        <f>IF(All_PCC_a[[#This Row],[Max Height (mm)]]&lt;=9,"≤ "&amp;ROUNDUP(AD50,0),"≤"&amp;ROUNDUP(AD50,0))</f>
        <v>≤ 8</v>
      </c>
      <c r="AI50" s="68">
        <v>-40</v>
      </c>
      <c r="AJ50" s="68">
        <v>160</v>
      </c>
      <c r="AK50" s="68" t="str">
        <f>All_PCC_a[[#This Row],[Min Temp (deg.C)]]&amp;" to +"&amp;All_PCC_a[[#This Row],[Max Temp (deg.C)]]</f>
        <v>-40 to +160</v>
      </c>
      <c r="AL50" s="68"/>
      <c r="AN50" s="68" t="s">
        <v>600</v>
      </c>
      <c r="AO50" s="87" t="s">
        <v>138</v>
      </c>
      <c r="AP50" s="97" t="str">
        <f t="shared" si="10"/>
        <v>-</v>
      </c>
      <c r="AQ50" s="87" t="s">
        <v>138</v>
      </c>
      <c r="AR50" s="87" t="s">
        <v>138</v>
      </c>
      <c r="AS50" s="68" t="s">
        <v>917</v>
      </c>
      <c r="AT50" s="68" t="s">
        <v>619</v>
      </c>
      <c r="AU50" s="96" t="e" vm="8">
        <f>_xlfn.IMAGE(All_PCC_a[[#This Row],[Image URL]])</f>
        <v>#VALUE!</v>
      </c>
      <c r="AW50" s="68"/>
      <c r="AY50" s="68"/>
      <c r="BC50" s="96">
        <f>IF(Z50&lt;('DCDC Ref'!$J$24/'DCDC Ref'!$J$26)*'DCDC Ref'!$J$28/100,0,1)</f>
        <v>1</v>
      </c>
      <c r="BD50" s="360">
        <f>IF(BC50=1000000000,"",('All Data'!Q50-'DCDC Ref'!$J$30)/'DCDC Ref'!$J$30*100)</f>
        <v>295.60439560439562</v>
      </c>
      <c r="BE50" s="295">
        <f t="shared" si="3"/>
        <v>295.60439560439562</v>
      </c>
      <c r="BF50" s="295"/>
      <c r="BG50" s="360"/>
      <c r="BH50" s="361">
        <f t="shared" si="4"/>
        <v>0</v>
      </c>
      <c r="BI50" s="295"/>
      <c r="BJ50" s="96">
        <f>IF(BC50=0,"",('All Data'!Z50-'DCDC Ref'!$J$28*('DCDC Ref'!$J$29/100))/'DCDC Ref'!$J$28*('DCDC Ref'!$J$29/100)*100)</f>
        <v>187.79310344827587</v>
      </c>
      <c r="BK50" s="361">
        <f t="shared" si="5"/>
        <v>187.79310344827587</v>
      </c>
      <c r="BL50" s="361"/>
      <c r="BM50" s="361"/>
      <c r="BN50" s="361"/>
      <c r="BO50" s="361"/>
      <c r="BP50" s="96"/>
      <c r="BQ50" s="298">
        <f t="shared" si="6"/>
        <v>1478960.9435392194</v>
      </c>
      <c r="BR50" s="298">
        <f>IF(BQ50="","",RANK(BQ50,BQ$11:BQ$9930,1)+COUNTIF(BQ$11:BQ50,BQ50)-1)</f>
        <v>55</v>
      </c>
      <c r="BS50" s="299">
        <f t="shared" si="9"/>
        <v>55</v>
      </c>
      <c r="BT50" s="96" t="str">
        <f>IFERROR(INDEX($O$11:$O$1013,MATCH(ROWS($BS$11:BS50),$BS$11:$BS$1005,0)),"")</f>
        <v>ETQP5M2R0YLC</v>
      </c>
      <c r="BU50" s="299" t="str">
        <f t="shared" si="7"/>
        <v>ETQP5M2R0YLC</v>
      </c>
      <c r="BV50" s="96"/>
    </row>
    <row r="51" spans="1:74">
      <c r="A51" s="95">
        <v>3</v>
      </c>
      <c r="B51" s="259" t="s">
        <v>584</v>
      </c>
      <c r="C51" s="95"/>
      <c r="D51" s="95" t="s">
        <v>585</v>
      </c>
      <c r="E51" s="109"/>
      <c r="F51" s="68" t="s">
        <v>153</v>
      </c>
      <c r="G51" s="69" t="s">
        <v>586</v>
      </c>
      <c r="H51" s="68" t="s">
        <v>587</v>
      </c>
      <c r="I51" s="69" t="s">
        <v>588</v>
      </c>
      <c r="J51" s="68" t="s">
        <v>589</v>
      </c>
      <c r="K51" s="68" t="s">
        <v>590</v>
      </c>
      <c r="L51" s="68" t="s">
        <v>645</v>
      </c>
      <c r="M51" s="68" t="s">
        <v>653</v>
      </c>
      <c r="N51" s="68" t="s">
        <v>593</v>
      </c>
      <c r="O51" s="34" t="s">
        <v>61</v>
      </c>
      <c r="P51" s="37" t="str">
        <f>MID(All_PCC_a[[#This Row],[Part Number]],7,3)</f>
        <v>3R3</v>
      </c>
      <c r="Q51" s="87">
        <v>3.3</v>
      </c>
      <c r="R51" s="87" t="str">
        <f>IF(All_PCC_a[[#This Row],[Lo (uH)]]&lt;1,"&lt;1",IF(All_PCC_a[[#This Row],[Lo (uH)]]&lt;10,"&lt;10",IF(All_PCC_a[[#This Row],[Lo (uH)]]&lt;100,"&lt;100",IF(All_PCC_a[[#This Row],[Lo (uH)]]&lt;2000,"&lt;2000",""))))</f>
        <v>&lt;10</v>
      </c>
      <c r="S51" s="87" t="str">
        <f>IFERROR(VLOOKUP(All_PCC_a[[#This Row],[Lo (uH)]],Utility!$D$5:$E$43,2,1),"-")</f>
        <v>≤   4</v>
      </c>
      <c r="T51" s="88">
        <v>0.2</v>
      </c>
      <c r="U51" s="125">
        <v>16.100000000000001</v>
      </c>
      <c r="V51" s="125">
        <v>17.71</v>
      </c>
      <c r="W51" s="87">
        <v>10</v>
      </c>
      <c r="X51" s="87">
        <v>8.1999999999999993</v>
      </c>
      <c r="Y51" s="87">
        <v>6.4</v>
      </c>
      <c r="Z51" s="117">
        <v>13.3</v>
      </c>
      <c r="AA51" s="87">
        <v>9.2799999999999994</v>
      </c>
      <c r="AB51" s="68">
        <v>6.5</v>
      </c>
      <c r="AC51" s="68">
        <v>6</v>
      </c>
      <c r="AD51" s="87">
        <v>4.5</v>
      </c>
      <c r="AE51" s="68">
        <f>ROUND(All_PCC_a[[#This Row],[L (mm)]]*All_PCC_a[[#This Row],[W (mm)]],1)</f>
        <v>39</v>
      </c>
      <c r="AF51" s="87" t="str">
        <f>All_PCC_a[[#This Row],[L (mm)]]&amp;"  x  "&amp;All_PCC_a[[#This Row],[W (mm)]]</f>
        <v>6.5  x  6</v>
      </c>
      <c r="AG51" s="91" t="s">
        <v>618</v>
      </c>
      <c r="AH51" s="97" t="str">
        <f>IF(All_PCC_a[[#This Row],[Max Height (mm)]]&lt;=9,"≤ "&amp;ROUNDUP(AD51,0),"≤"&amp;ROUNDUP(AD51,0))</f>
        <v>≤ 5</v>
      </c>
      <c r="AI51" s="68">
        <v>-40</v>
      </c>
      <c r="AJ51" s="68">
        <v>150</v>
      </c>
      <c r="AK51" s="68" t="str">
        <f>All_PCC_a[[#This Row],[Min Temp (deg.C)]]&amp;" to +"&amp;All_PCC_a[[#This Row],[Max Temp (deg.C)]]</f>
        <v>-40 to +150</v>
      </c>
      <c r="AL51" s="68"/>
      <c r="AO51" s="87" t="s">
        <v>138</v>
      </c>
      <c r="AP51" s="97" t="str">
        <f t="shared" si="10"/>
        <v>-</v>
      </c>
      <c r="AQ51" s="87" t="s">
        <v>138</v>
      </c>
      <c r="AR51" s="87" t="s">
        <v>138</v>
      </c>
      <c r="AS51" s="68" t="s">
        <v>918</v>
      </c>
      <c r="AT51" s="68" t="s">
        <v>594</v>
      </c>
      <c r="AU51" s="96" t="e" vm="7">
        <f>_xlfn.IMAGE(All_PCC_a[[#This Row],[Image URL]])</f>
        <v>#VALUE!</v>
      </c>
      <c r="AV51" s="95"/>
      <c r="AW51" s="95"/>
      <c r="AX51" s="96"/>
      <c r="AY51" s="96"/>
      <c r="AZ51" s="96" t="str">
        <f>IF(AY51=1,COUNTIF($AY$11:AY51,1),"")</f>
        <v/>
      </c>
      <c r="BA51" s="96"/>
      <c r="BB51" s="96"/>
      <c r="BC51" s="96">
        <f>IF(Z51&lt;('DCDC Ref'!$J$24/'DCDC Ref'!$J$26)*'DCDC Ref'!$J$28/100,0,1)</f>
        <v>1</v>
      </c>
      <c r="BD51" s="360">
        <f>IF(BC51=1000000000,"",('All Data'!Q51-'DCDC Ref'!$J$30)/'DCDC Ref'!$J$30*100)</f>
        <v>422.1978021978021</v>
      </c>
      <c r="BE51" s="295">
        <f t="shared" si="3"/>
        <v>422.1978021978021</v>
      </c>
      <c r="BF51" s="295"/>
      <c r="BG51" s="360"/>
      <c r="BH51" s="361">
        <f t="shared" si="4"/>
        <v>0</v>
      </c>
      <c r="BI51" s="295"/>
      <c r="BJ51" s="96">
        <f>IF(BC51=0,"",('All Data'!Z51-'DCDC Ref'!$J$28*('DCDC Ref'!$J$29/100))/'DCDC Ref'!$J$28*('DCDC Ref'!$J$29/100)*100)</f>
        <v>19.241379310344822</v>
      </c>
      <c r="BK51" s="361">
        <f t="shared" si="5"/>
        <v>19.241379310344822</v>
      </c>
      <c r="BL51" s="361"/>
      <c r="BM51" s="361"/>
      <c r="BN51" s="361"/>
      <c r="BO51" s="361"/>
      <c r="BP51" s="96"/>
      <c r="BQ51" s="298">
        <f t="shared" si="6"/>
        <v>2111085.2178855622</v>
      </c>
      <c r="BR51" s="298">
        <f>IF(BQ51="","",RANK(BQ51,BQ$11:BQ$9930,1)+COUNTIF(BQ$11:BQ51,BQ51)-1)</f>
        <v>59</v>
      </c>
      <c r="BS51" s="299">
        <f t="shared" si="9"/>
        <v>59</v>
      </c>
      <c r="BT51" s="96" t="str">
        <f>IFERROR(INDEX($O$11:$O$1013,MATCH(ROWS($BS$11:BS51),$BS$11:$BS$1005,0)),"")</f>
        <v>ETQP3M2R2KVN</v>
      </c>
      <c r="BU51" s="299" t="str">
        <f t="shared" si="7"/>
        <v>ETQP3M2R2KVN</v>
      </c>
      <c r="BV51" s="96"/>
    </row>
    <row r="52" spans="1:74">
      <c r="A52" s="95">
        <v>10</v>
      </c>
      <c r="B52" s="259" t="s">
        <v>584</v>
      </c>
      <c r="C52" s="95"/>
      <c r="D52" s="95" t="s">
        <v>585</v>
      </c>
      <c r="E52" s="110"/>
      <c r="F52" s="68" t="s">
        <v>153</v>
      </c>
      <c r="G52" s="69" t="s">
        <v>586</v>
      </c>
      <c r="H52" s="68" t="s">
        <v>587</v>
      </c>
      <c r="I52" s="69" t="s">
        <v>588</v>
      </c>
      <c r="J52" s="68" t="s">
        <v>589</v>
      </c>
      <c r="K52" s="68" t="s">
        <v>590</v>
      </c>
      <c r="L52" s="68" t="s">
        <v>637</v>
      </c>
      <c r="M52" s="68" t="s">
        <v>638</v>
      </c>
      <c r="N52" s="68" t="s">
        <v>22</v>
      </c>
      <c r="O52" s="34" t="s">
        <v>62</v>
      </c>
      <c r="P52" s="37" t="str">
        <f>MID(All_PCC_a[[#This Row],[Part Number]],7,3)</f>
        <v>3R3</v>
      </c>
      <c r="Q52" s="90">
        <v>3.3</v>
      </c>
      <c r="R52" s="87" t="str">
        <f>IF(All_PCC_a[[#This Row],[Lo (uH)]]&lt;1,"&lt;1",IF(All_PCC_a[[#This Row],[Lo (uH)]]&lt;10,"&lt;10",IF(All_PCC_a[[#This Row],[Lo (uH)]]&lt;100,"&lt;100",IF(All_PCC_a[[#This Row],[Lo (uH)]]&lt;2000,"&lt;2000",""))))</f>
        <v>&lt;10</v>
      </c>
      <c r="S52" s="87" t="str">
        <f>IFERROR(VLOOKUP(All_PCC_a[[#This Row],[Lo (uH)]],Utility!$D$5:$E$43,2,1),"-")</f>
        <v>≤   4</v>
      </c>
      <c r="T52" s="88">
        <v>0.2</v>
      </c>
      <c r="U52" s="125">
        <v>31.3</v>
      </c>
      <c r="V52" s="125">
        <v>34.430000000000007</v>
      </c>
      <c r="W52" s="87">
        <v>10</v>
      </c>
      <c r="X52" s="87">
        <v>5</v>
      </c>
      <c r="Y52" s="87">
        <v>4.0999999999999996</v>
      </c>
      <c r="Z52" s="117">
        <v>8.6</v>
      </c>
      <c r="AA52" s="87">
        <v>6.15</v>
      </c>
      <c r="AB52" s="68">
        <v>5.5</v>
      </c>
      <c r="AC52" s="68">
        <v>5</v>
      </c>
      <c r="AD52" s="87">
        <v>3</v>
      </c>
      <c r="AE52" s="68">
        <f>ROUND(All_PCC_a[[#This Row],[L (mm)]]*All_PCC_a[[#This Row],[W (mm)]],1)</f>
        <v>27.5</v>
      </c>
      <c r="AF52" s="87" t="str">
        <f>All_PCC_a[[#This Row],[L (mm)]]&amp;"  x  "&amp;All_PCC_a[[#This Row],[W (mm)]]</f>
        <v>5.5  x  5</v>
      </c>
      <c r="AG52" s="91" t="s">
        <v>605</v>
      </c>
      <c r="AH52" s="87" t="str">
        <f>IF(All_PCC_a[[#This Row],[Max Height (mm)]]&lt;=9,"≤ "&amp;ROUNDUP(AD52,0),"≤"&amp;ROUNDUP(AD52,0))</f>
        <v>≤ 3</v>
      </c>
      <c r="AI52" s="72">
        <v>-40</v>
      </c>
      <c r="AJ52" s="72">
        <v>150</v>
      </c>
      <c r="AK52" s="68" t="str">
        <f>All_PCC_a[[#This Row],[Min Temp (deg.C)]]&amp;" to +"&amp;All_PCC_a[[#This Row],[Max Temp (deg.C)]]</f>
        <v>-40 to +150</v>
      </c>
      <c r="AL52" s="68"/>
      <c r="AO52" s="87" t="s">
        <v>124</v>
      </c>
      <c r="AP52" s="87" t="str">
        <f t="shared" si="10"/>
        <v>-</v>
      </c>
      <c r="AQ52" s="88" t="s">
        <v>138</v>
      </c>
      <c r="AR52" s="87" t="s">
        <v>138</v>
      </c>
      <c r="AS52" s="68" t="s">
        <v>919</v>
      </c>
      <c r="AT52" s="68" t="s">
        <v>594</v>
      </c>
      <c r="AU52" s="96" t="e" vm="7">
        <f>_xlfn.IMAGE(All_PCC_a[[#This Row],[Image URL]])</f>
        <v>#VALUE!</v>
      </c>
      <c r="AW52" s="68"/>
      <c r="AX52" s="96"/>
      <c r="AY52" s="96"/>
      <c r="AZ52" s="96" t="str">
        <f>IF(AY52=1,COUNTIF($AY$11:AY52,1),"")</f>
        <v/>
      </c>
      <c r="BA52" s="96"/>
      <c r="BB52" s="96"/>
      <c r="BC52" s="96">
        <f>IF(Z52&lt;('DCDC Ref'!$J$24/'DCDC Ref'!$J$26)*'DCDC Ref'!$J$28/100,0,1)</f>
        <v>1</v>
      </c>
      <c r="BD52" s="360">
        <f>IF(BC52=1000000000,"",('All Data'!Q52-'DCDC Ref'!$J$30)/'DCDC Ref'!$J$30*100)</f>
        <v>422.1978021978021</v>
      </c>
      <c r="BE52" s="295">
        <f t="shared" si="3"/>
        <v>422.1978021978021</v>
      </c>
      <c r="BF52" s="295"/>
      <c r="BG52" s="360"/>
      <c r="BH52" s="361">
        <f t="shared" si="4"/>
        <v>0</v>
      </c>
      <c r="BI52" s="295"/>
      <c r="BJ52" s="96">
        <f>IF(BC52=0,"",('All Data'!Z52-'DCDC Ref'!$J$28*('DCDC Ref'!$J$29/100))/'DCDC Ref'!$J$28*('DCDC Ref'!$J$29/100)*100)</f>
        <v>-22.896551724137943</v>
      </c>
      <c r="BK52" s="361">
        <f t="shared" si="5"/>
        <v>10000</v>
      </c>
      <c r="BL52" s="361"/>
      <c r="BM52" s="361"/>
      <c r="BN52" s="361"/>
      <c r="BO52" s="361"/>
      <c r="BP52" s="96"/>
      <c r="BQ52" s="298">
        <f t="shared" si="6"/>
        <v>2160989.0109890103</v>
      </c>
      <c r="BR52" s="298">
        <f>IF(BQ52="","",RANK(BQ52,BQ$11:BQ$9930,1)+COUNTIF(BQ$11:BQ52,BQ52)-1)</f>
        <v>70</v>
      </c>
      <c r="BS52" s="299">
        <f t="shared" si="9"/>
        <v>70</v>
      </c>
      <c r="BT52" s="96" t="str">
        <f>IFERROR(INDEX($O$11:$O$1013,MATCH(ROWS($BS$11:BS52),$BS$11:$BS$1005,0)),"")</f>
        <v>ETQP4M2R2YFN</v>
      </c>
      <c r="BU52" s="299" t="str">
        <f t="shared" si="7"/>
        <v>ETQP4M2R2YFN</v>
      </c>
      <c r="BV52" s="96"/>
    </row>
    <row r="53" spans="1:74" ht="15">
      <c r="A53" s="95">
        <v>15</v>
      </c>
      <c r="B53" s="259" t="s">
        <v>584</v>
      </c>
      <c r="C53" s="95"/>
      <c r="D53" s="95" t="s">
        <v>585</v>
      </c>
      <c r="E53" s="110"/>
      <c r="F53" s="68" t="s">
        <v>153</v>
      </c>
      <c r="G53" s="69" t="s">
        <v>586</v>
      </c>
      <c r="H53" s="68" t="s">
        <v>587</v>
      </c>
      <c r="I53" s="69" t="s">
        <v>588</v>
      </c>
      <c r="J53" s="68" t="s">
        <v>589</v>
      </c>
      <c r="K53" s="68" t="s">
        <v>590</v>
      </c>
      <c r="L53" s="68" t="s">
        <v>631</v>
      </c>
      <c r="M53" s="68" t="s">
        <v>632</v>
      </c>
      <c r="N53" s="68" t="s">
        <v>22</v>
      </c>
      <c r="O53" s="34" t="s">
        <v>63</v>
      </c>
      <c r="P53" s="37" t="str">
        <f>MID(All_PCC_a[[#This Row],[Part Number]],7,3)</f>
        <v>3R3</v>
      </c>
      <c r="Q53" s="87">
        <v>3.3</v>
      </c>
      <c r="R53" s="87" t="str">
        <f>IF(All_PCC_a[[#This Row],[Lo (uH)]]&lt;1,"&lt;1",IF(All_PCC_a[[#This Row],[Lo (uH)]]&lt;10,"&lt;10",IF(All_PCC_a[[#This Row],[Lo (uH)]]&lt;100,"&lt;100",IF(All_PCC_a[[#This Row],[Lo (uH)]]&lt;2000,"&lt;2000",""))))</f>
        <v>&lt;10</v>
      </c>
      <c r="S53" s="87" t="str">
        <f>IFERROR(VLOOKUP(All_PCC_a[[#This Row],[Lo (uH)]],Utility!$D$5:$E$43,2,1),"-")</f>
        <v>≤   4</v>
      </c>
      <c r="T53" s="88">
        <v>0.2</v>
      </c>
      <c r="U53" s="126">
        <v>7.1</v>
      </c>
      <c r="V53" s="561">
        <v>7.81</v>
      </c>
      <c r="W53" s="87">
        <v>10</v>
      </c>
      <c r="X53" s="87">
        <v>15.7</v>
      </c>
      <c r="Y53" s="87">
        <v>13.1</v>
      </c>
      <c r="Z53" s="117">
        <v>22.7</v>
      </c>
      <c r="AA53" s="560">
        <v>16.27</v>
      </c>
      <c r="AB53" s="68">
        <v>10.7</v>
      </c>
      <c r="AC53" s="68">
        <v>10</v>
      </c>
      <c r="AD53" s="87">
        <v>5.4</v>
      </c>
      <c r="AE53" s="68">
        <f>ROUND(All_PCC_a[[#This Row],[L (mm)]]*All_PCC_a[[#This Row],[W (mm)]],1)</f>
        <v>107</v>
      </c>
      <c r="AF53" s="87" t="str">
        <f>All_PCC_a[[#This Row],[L (mm)]]&amp;"  x  "&amp;All_PCC_a[[#This Row],[W (mm)]]</f>
        <v>10.7  x  10</v>
      </c>
      <c r="AG53" s="89" t="s">
        <v>324</v>
      </c>
      <c r="AH53" s="87" t="str">
        <f>IF(All_PCC_a[[#This Row],[Max Height (mm)]]&lt;=9,"≤ "&amp;ROUNDUP(AD53,0),"≤"&amp;ROUNDUP(AD53,0))</f>
        <v>≤ 6</v>
      </c>
      <c r="AI53" s="72">
        <v>-40</v>
      </c>
      <c r="AJ53" s="72">
        <v>150</v>
      </c>
      <c r="AK53" s="68" t="str">
        <f>All_PCC_a[[#This Row],[Min Temp (deg.C)]]&amp;" to +"&amp;All_PCC_a[[#This Row],[Max Temp (deg.C)]]</f>
        <v>-40 to +150</v>
      </c>
      <c r="AL53" s="68"/>
      <c r="AO53" s="87" t="s">
        <v>124</v>
      </c>
      <c r="AP53" s="87" t="str">
        <f t="shared" si="10"/>
        <v>-</v>
      </c>
      <c r="AQ53" s="87" t="s">
        <v>138</v>
      </c>
      <c r="AR53" s="87" t="s">
        <v>138</v>
      </c>
      <c r="AS53" s="68" t="s">
        <v>920</v>
      </c>
      <c r="AT53" s="68" t="s">
        <v>594</v>
      </c>
      <c r="AU53" s="96" t="e" vm="7">
        <f>_xlfn.IMAGE(All_PCC_a[[#This Row],[Image URL]])</f>
        <v>#VALUE!</v>
      </c>
      <c r="AW53" s="68"/>
      <c r="AY53" s="68"/>
      <c r="BC53" s="96">
        <f>IF(Z53&lt;('DCDC Ref'!$J$24/'DCDC Ref'!$J$26)*'DCDC Ref'!$J$28/100,0,1)</f>
        <v>1</v>
      </c>
      <c r="BD53" s="360">
        <f>IF(BC53=1000000000,"",('All Data'!Q53-'DCDC Ref'!$J$30)/'DCDC Ref'!$J$30*100)</f>
        <v>422.1978021978021</v>
      </c>
      <c r="BE53" s="295">
        <f t="shared" si="3"/>
        <v>422.1978021978021</v>
      </c>
      <c r="BF53" s="295"/>
      <c r="BG53" s="360"/>
      <c r="BH53" s="361">
        <f t="shared" si="4"/>
        <v>0</v>
      </c>
      <c r="BI53" s="295"/>
      <c r="BJ53" s="96">
        <f>IF(BC53=0,"",('All Data'!Z53-'DCDC Ref'!$J$28*('DCDC Ref'!$J$29/100))/'DCDC Ref'!$J$28*('DCDC Ref'!$J$29/100)*100)</f>
        <v>103.51724137931031</v>
      </c>
      <c r="BK53" s="361">
        <f t="shared" si="5"/>
        <v>103.51724137931031</v>
      </c>
      <c r="BL53" s="361"/>
      <c r="BM53" s="361"/>
      <c r="BN53" s="361"/>
      <c r="BO53" s="361"/>
      <c r="BP53" s="96"/>
      <c r="BQ53" s="298">
        <f t="shared" si="6"/>
        <v>2111506.597195907</v>
      </c>
      <c r="BR53" s="298">
        <f>IF(BQ53="","",RANK(BQ53,BQ$11:BQ$9930,1)+COUNTIF(BQ$11:BQ53,BQ53)-1)</f>
        <v>64</v>
      </c>
      <c r="BS53" s="299">
        <f t="shared" si="9"/>
        <v>64</v>
      </c>
      <c r="BT53" s="96" t="str">
        <f>IFERROR(INDEX($O$11:$O$1013,MATCH(ROWS($BS$11:BS53),$BS$11:$BS$1005,0)),"")</f>
        <v>ETQP4M2R2KFM</v>
      </c>
      <c r="BU53" s="299" t="str">
        <f t="shared" si="7"/>
        <v>ETQP4M2R2KFM</v>
      </c>
      <c r="BV53" s="96"/>
    </row>
    <row r="54" spans="1:74" ht="15">
      <c r="A54" s="95">
        <v>43</v>
      </c>
      <c r="B54" s="259" t="s">
        <v>584</v>
      </c>
      <c r="C54" s="95"/>
      <c r="D54" s="95" t="s">
        <v>585</v>
      </c>
      <c r="E54" s="110"/>
      <c r="F54" s="68" t="s">
        <v>153</v>
      </c>
      <c r="G54" s="154" t="s">
        <v>586</v>
      </c>
      <c r="H54" s="96" t="s">
        <v>587</v>
      </c>
      <c r="I54" s="154" t="s">
        <v>588</v>
      </c>
      <c r="J54" s="96" t="s">
        <v>589</v>
      </c>
      <c r="K54" s="96" t="s">
        <v>590</v>
      </c>
      <c r="L54" s="68" t="s">
        <v>633</v>
      </c>
      <c r="M54" s="68" t="s">
        <v>634</v>
      </c>
      <c r="N54" s="96" t="s">
        <v>22</v>
      </c>
      <c r="O54" s="34" t="s">
        <v>64</v>
      </c>
      <c r="P54" s="37" t="str">
        <f>MID(All_PCC_a[[#This Row],[Part Number]],7,3)</f>
        <v>3R3</v>
      </c>
      <c r="Q54" s="97">
        <v>3.3</v>
      </c>
      <c r="R54" s="87" t="str">
        <f>IF(All_PCC_a[[#This Row],[Lo (uH)]]&lt;1,"&lt;1",IF(All_PCC_a[[#This Row],[Lo (uH)]]&lt;10,"&lt;10",IF(All_PCC_a[[#This Row],[Lo (uH)]]&lt;100,"&lt;100",IF(All_PCC_a[[#This Row],[Lo (uH)]]&lt;2000,"&lt;2000",""))))</f>
        <v>&lt;10</v>
      </c>
      <c r="S54" s="87" t="str">
        <f>IFERROR(VLOOKUP(All_PCC_a[[#This Row],[Lo (uH)]],Utility!$D$5:$E$43,2,1),"-")</f>
        <v>≤   4</v>
      </c>
      <c r="T54" s="98">
        <v>0.2</v>
      </c>
      <c r="U54" s="127">
        <v>6</v>
      </c>
      <c r="V54" s="127">
        <v>6.6000000000000005</v>
      </c>
      <c r="W54" s="97">
        <v>10</v>
      </c>
      <c r="X54" s="87">
        <v>17</v>
      </c>
      <c r="Y54" s="97">
        <v>14.2</v>
      </c>
      <c r="Z54" s="118">
        <v>26.3</v>
      </c>
      <c r="AA54" s="560">
        <v>19.690000000000001</v>
      </c>
      <c r="AB54" s="96">
        <v>10.9</v>
      </c>
      <c r="AC54" s="96">
        <v>10</v>
      </c>
      <c r="AD54" s="97">
        <v>6</v>
      </c>
      <c r="AE54" s="96">
        <f>ROUND(All_PCC_a[[#This Row],[L (mm)]]*All_PCC_a[[#This Row],[W (mm)]],1)</f>
        <v>109</v>
      </c>
      <c r="AF54" s="87" t="str">
        <f>All_PCC_a[[#This Row],[L (mm)]]&amp;"  x  "&amp;All_PCC_a[[#This Row],[W (mm)]]</f>
        <v>10.9  x  10</v>
      </c>
      <c r="AG54" s="99" t="s">
        <v>324</v>
      </c>
      <c r="AH54" s="97" t="str">
        <f>IF(All_PCC_a[[#This Row],[Max Height (mm)]]&lt;=9,"≤ "&amp;ROUNDUP(AD54,0),"≤"&amp;ROUNDUP(AD54,0))</f>
        <v>≤ 6</v>
      </c>
      <c r="AI54" s="100">
        <v>-40</v>
      </c>
      <c r="AJ54" s="100">
        <v>150</v>
      </c>
      <c r="AK54" s="68" t="str">
        <f>All_PCC_a[[#This Row],[Min Temp (deg.C)]]&amp;" to +"&amp;All_PCC_a[[#This Row],[Max Temp (deg.C)]]</f>
        <v>-40 to +150</v>
      </c>
      <c r="AL54" s="96"/>
      <c r="AM54" s="96"/>
      <c r="AN54" s="96"/>
      <c r="AO54" s="97" t="s">
        <v>124</v>
      </c>
      <c r="AP54" s="97" t="str">
        <f t="shared" si="10"/>
        <v>-</v>
      </c>
      <c r="AQ54" s="98" t="s">
        <v>138</v>
      </c>
      <c r="AR54" s="87" t="s">
        <v>138</v>
      </c>
      <c r="AS54" s="68" t="s">
        <v>921</v>
      </c>
      <c r="AT54" s="96" t="s">
        <v>594</v>
      </c>
      <c r="AU54" s="96" t="e" vm="7">
        <f>_xlfn.IMAGE(All_PCC_a[[#This Row],[Image URL]])</f>
        <v>#VALUE!</v>
      </c>
      <c r="AV54" s="96"/>
      <c r="AW54" s="95"/>
      <c r="AY54" s="68"/>
      <c r="BC54" s="96">
        <f>IF(Z54&lt;('DCDC Ref'!$J$24/'DCDC Ref'!$J$26)*'DCDC Ref'!$J$28/100,0,1)</f>
        <v>1</v>
      </c>
      <c r="BD54" s="360">
        <f>IF(BC54=1000000000,"",('All Data'!Q54-'DCDC Ref'!$J$30)/'DCDC Ref'!$J$30*100)</f>
        <v>422.1978021978021</v>
      </c>
      <c r="BE54" s="295">
        <f t="shared" si="3"/>
        <v>422.1978021978021</v>
      </c>
      <c r="BF54" s="295"/>
      <c r="BG54" s="360"/>
      <c r="BH54" s="361">
        <f t="shared" si="4"/>
        <v>0</v>
      </c>
      <c r="BI54" s="295"/>
      <c r="BJ54" s="96">
        <f>IF(BC54=0,"",('All Data'!Z54-'DCDC Ref'!$J$28*('DCDC Ref'!$J$29/100))/'DCDC Ref'!$J$28*('DCDC Ref'!$J$29/100)*100)</f>
        <v>135.79310344827584</v>
      </c>
      <c r="BK54" s="361">
        <f t="shared" si="5"/>
        <v>135.79310344827584</v>
      </c>
      <c r="BL54" s="361"/>
      <c r="BM54" s="361"/>
      <c r="BN54" s="361"/>
      <c r="BO54" s="361"/>
      <c r="BP54" s="96"/>
      <c r="BQ54" s="298">
        <f t="shared" si="6"/>
        <v>2111667.9765062518</v>
      </c>
      <c r="BR54" s="298">
        <f>IF(BQ54="","",RANK(BQ54,BQ$11:BQ$9930,1)+COUNTIF(BQ$11:BQ54,BQ54)-1)</f>
        <v>67</v>
      </c>
      <c r="BS54" s="299">
        <f t="shared" si="9"/>
        <v>67</v>
      </c>
      <c r="BT54" s="96" t="str">
        <f>IFERROR(INDEX($O$11:$O$1013,MATCH(ROWS($BS$11:BS54),$BS$11:$BS$1005,0)),"")</f>
        <v>ETQP4M2R2KVK</v>
      </c>
      <c r="BU54" s="299" t="str">
        <f t="shared" si="7"/>
        <v>ETQP4M2R2KVK</v>
      </c>
      <c r="BV54" s="96"/>
    </row>
    <row r="55" spans="1:74" ht="15">
      <c r="A55" s="95">
        <v>50</v>
      </c>
      <c r="B55" s="259" t="s">
        <v>584</v>
      </c>
      <c r="C55" s="95"/>
      <c r="D55" s="95" t="s">
        <v>585</v>
      </c>
      <c r="E55" s="109"/>
      <c r="F55" s="68" t="s">
        <v>153</v>
      </c>
      <c r="G55" s="69" t="s">
        <v>586</v>
      </c>
      <c r="H55" s="68" t="s">
        <v>587</v>
      </c>
      <c r="I55" s="69" t="s">
        <v>588</v>
      </c>
      <c r="J55" s="68" t="s">
        <v>589</v>
      </c>
      <c r="K55" s="68" t="s">
        <v>596</v>
      </c>
      <c r="L55" s="68" t="s">
        <v>597</v>
      </c>
      <c r="M55" s="68" t="s">
        <v>598</v>
      </c>
      <c r="N55" s="68" t="s">
        <v>593</v>
      </c>
      <c r="O55" s="34" t="s">
        <v>66</v>
      </c>
      <c r="P55" s="37" t="str">
        <f>MID(All_PCC_a[[#This Row],[Part Number]],7,3)</f>
        <v>3R3</v>
      </c>
      <c r="Q55" s="87">
        <v>3.3</v>
      </c>
      <c r="R55" s="87" t="str">
        <f>IF(All_PCC_a[[#This Row],[Lo (uH)]]&lt;1,"&lt;1",IF(All_PCC_a[[#This Row],[Lo (uH)]]&lt;10,"&lt;10",IF(All_PCC_a[[#This Row],[Lo (uH)]]&lt;100,"&lt;100",IF(All_PCC_a[[#This Row],[Lo (uH)]]&lt;2000,"&lt;2000",""))))</f>
        <v>&lt;10</v>
      </c>
      <c r="S55" s="87" t="str">
        <f>IFERROR(VLOOKUP(All_PCC_a[[#This Row],[Lo (uH)]],Utility!$D$5:$E$43,2,1),"-")</f>
        <v>≤   4</v>
      </c>
      <c r="T55" s="88">
        <v>0.2</v>
      </c>
      <c r="U55" s="126">
        <v>3.6</v>
      </c>
      <c r="V55" s="126">
        <v>3.9600000000000004</v>
      </c>
      <c r="W55" s="87">
        <v>10</v>
      </c>
      <c r="X55" s="87">
        <v>23.6</v>
      </c>
      <c r="Y55" s="87">
        <v>19.600000000000001</v>
      </c>
      <c r="Z55" s="117">
        <v>27.6</v>
      </c>
      <c r="AA55" s="87">
        <f>ROUND(19.7757437070938,2)</f>
        <v>19.78</v>
      </c>
      <c r="AB55" s="68">
        <v>12.6</v>
      </c>
      <c r="AC55" s="68">
        <v>13.1</v>
      </c>
      <c r="AD55" s="87">
        <v>8</v>
      </c>
      <c r="AE55" s="68">
        <f>ROUND(All_PCC_a[[#This Row],[L (mm)]]*All_PCC_a[[#This Row],[W (mm)]],1)</f>
        <v>165.1</v>
      </c>
      <c r="AF55" s="87" t="str">
        <f>All_PCC_a[[#This Row],[L (mm)]]&amp;"  x  "&amp;All_PCC_a[[#This Row],[W (mm)]]</f>
        <v>12.6  x  13.1</v>
      </c>
      <c r="AG55" s="91" t="s">
        <v>341</v>
      </c>
      <c r="AH55" s="97" t="str">
        <f>IF(All_PCC_a[[#This Row],[Max Height (mm)]]&lt;=9,"≤ "&amp;ROUNDUP(AD55,0),"≤"&amp;ROUNDUP(AD55,0))</f>
        <v>≤ 8</v>
      </c>
      <c r="AI55" s="68">
        <v>-40</v>
      </c>
      <c r="AJ55" s="68">
        <v>160</v>
      </c>
      <c r="AK55" s="68" t="str">
        <f>All_PCC_a[[#This Row],[Min Temp (deg.C)]]&amp;" to +"&amp;All_PCC_a[[#This Row],[Max Temp (deg.C)]]</f>
        <v>-40 to +160</v>
      </c>
      <c r="AL55" s="68"/>
      <c r="AN55" s="68" t="s">
        <v>600</v>
      </c>
      <c r="AO55" s="87" t="s">
        <v>138</v>
      </c>
      <c r="AP55" s="97" t="str">
        <f t="shared" si="10"/>
        <v>-</v>
      </c>
      <c r="AQ55" s="87" t="s">
        <v>138</v>
      </c>
      <c r="AR55" s="87" t="s">
        <v>138</v>
      </c>
      <c r="AS55" s="68" t="s">
        <v>922</v>
      </c>
      <c r="AT55" s="68" t="s">
        <v>619</v>
      </c>
      <c r="AU55" s="96" t="e" vm="8">
        <f>_xlfn.IMAGE(All_PCC_a[[#This Row],[Image URL]])</f>
        <v>#VALUE!</v>
      </c>
      <c r="AW55" s="68"/>
      <c r="AY55" s="68"/>
      <c r="BC55" s="96">
        <f>IF(Z55&lt;('DCDC Ref'!$J$24/'DCDC Ref'!$J$26)*'DCDC Ref'!$J$28/100,0,1)</f>
        <v>1</v>
      </c>
      <c r="BD55" s="360">
        <f>IF(BC55=1000000000,"",('All Data'!Q55-'DCDC Ref'!$J$30)/'DCDC Ref'!$J$30*100)</f>
        <v>422.1978021978021</v>
      </c>
      <c r="BE55" s="295">
        <f t="shared" si="3"/>
        <v>422.1978021978021</v>
      </c>
      <c r="BF55" s="295"/>
      <c r="BG55" s="360"/>
      <c r="BH55" s="361">
        <f t="shared" si="4"/>
        <v>0</v>
      </c>
      <c r="BI55" s="295"/>
      <c r="BJ55" s="96">
        <f>IF(BC55=0,"",('All Data'!Z55-'DCDC Ref'!$J$28*('DCDC Ref'!$J$29/100))/'DCDC Ref'!$J$28*('DCDC Ref'!$J$29/100)*100)</f>
        <v>147.44827586206895</v>
      </c>
      <c r="BK55" s="361">
        <f t="shared" si="5"/>
        <v>147.44827586206895</v>
      </c>
      <c r="BL55" s="361"/>
      <c r="BM55" s="361"/>
      <c r="BN55" s="361"/>
      <c r="BO55" s="361"/>
      <c r="BP55" s="96"/>
      <c r="BQ55" s="298">
        <f t="shared" si="6"/>
        <v>2111726.2523683207</v>
      </c>
      <c r="BR55" s="298">
        <f>IF(BQ55="","",RANK(BQ55,BQ$11:BQ$9930,1)+COUNTIF(BQ$11:BQ55,BQ55)-1)</f>
        <v>68</v>
      </c>
      <c r="BS55" s="299">
        <f t="shared" si="9"/>
        <v>68</v>
      </c>
      <c r="BT55" s="96" t="str">
        <f>IFERROR(INDEX($O$11:$O$1013,MATCH(ROWS($BS$11:BS55),$BS$11:$BS$1005,0)),"")</f>
        <v>ETQP4M2R2KVC</v>
      </c>
      <c r="BU55" s="299" t="str">
        <f t="shared" si="7"/>
        <v>ETQP4M2R2KVC</v>
      </c>
      <c r="BV55" s="96"/>
    </row>
    <row r="56" spans="1:74" ht="15">
      <c r="A56" s="95">
        <v>55</v>
      </c>
      <c r="B56" s="259" t="s">
        <v>584</v>
      </c>
      <c r="C56" s="95"/>
      <c r="D56" s="95" t="s">
        <v>585</v>
      </c>
      <c r="E56" s="109"/>
      <c r="F56" s="68" t="s">
        <v>153</v>
      </c>
      <c r="G56" s="69" t="s">
        <v>586</v>
      </c>
      <c r="H56" s="68" t="s">
        <v>587</v>
      </c>
      <c r="I56" s="69" t="s">
        <v>588</v>
      </c>
      <c r="J56" s="68" t="s">
        <v>589</v>
      </c>
      <c r="K56" s="68" t="s">
        <v>601</v>
      </c>
      <c r="L56" s="68" t="s">
        <v>602</v>
      </c>
      <c r="M56" s="68" t="s">
        <v>603</v>
      </c>
      <c r="N56" s="68" t="s">
        <v>593</v>
      </c>
      <c r="O56" s="34" t="s">
        <v>67</v>
      </c>
      <c r="P56" s="37" t="str">
        <f>MID(All_PCC_a[[#This Row],[Part Number]],7,3)</f>
        <v>3R3</v>
      </c>
      <c r="Q56" s="87">
        <v>3.3</v>
      </c>
      <c r="R56" s="87" t="str">
        <f>IF(All_PCC_a[[#This Row],[Lo (uH)]]&lt;1,"&lt;1",IF(All_PCC_a[[#This Row],[Lo (uH)]]&lt;10,"&lt;10",IF(All_PCC_a[[#This Row],[Lo (uH)]]&lt;100,"&lt;100",IF(All_PCC_a[[#This Row],[Lo (uH)]]&lt;2000,"&lt;2000",""))))</f>
        <v>&lt;10</v>
      </c>
      <c r="S56" s="87" t="str">
        <f>IFERROR(VLOOKUP(All_PCC_a[[#This Row],[Lo (uH)]],Utility!$D$5:$E$43,2,1),"-")</f>
        <v>≤   4</v>
      </c>
      <c r="T56" s="88">
        <v>0.2</v>
      </c>
      <c r="U56" s="126">
        <v>27.3</v>
      </c>
      <c r="V56" s="126">
        <v>30.030000000000005</v>
      </c>
      <c r="W56" s="87">
        <v>10</v>
      </c>
      <c r="X56" s="87">
        <v>5.4</v>
      </c>
      <c r="Y56" s="87">
        <v>4.4000000000000004</v>
      </c>
      <c r="Z56" s="117">
        <v>8</v>
      </c>
      <c r="AA56" s="87">
        <v>5.81</v>
      </c>
      <c r="AB56" s="68">
        <v>5.5</v>
      </c>
      <c r="AC56" s="68">
        <v>5</v>
      </c>
      <c r="AD56" s="87">
        <v>3</v>
      </c>
      <c r="AE56" s="68">
        <f>ROUND(All_PCC_a[[#This Row],[L (mm)]]*All_PCC_a[[#This Row],[W (mm)]],1)</f>
        <v>27.5</v>
      </c>
      <c r="AF56" s="87" t="str">
        <f>All_PCC_a[[#This Row],[L (mm)]]&amp;"  x  "&amp;All_PCC_a[[#This Row],[W (mm)]]</f>
        <v>5.5  x  5</v>
      </c>
      <c r="AG56" s="91" t="s">
        <v>605</v>
      </c>
      <c r="AH56" s="97" t="str">
        <f>IF(All_PCC_a[[#This Row],[Max Height (mm)]]&lt;=9,"≤ "&amp;ROUNDUP(AD56,0),"≤"&amp;ROUNDUP(AD56,0))</f>
        <v>≤ 3</v>
      </c>
      <c r="AI56" s="68">
        <v>-55</v>
      </c>
      <c r="AJ56" s="68">
        <v>155</v>
      </c>
      <c r="AK56" s="68" t="str">
        <f>All_PCC_a[[#This Row],[Min Temp (deg.C)]]&amp;" to +"&amp;All_PCC_a[[#This Row],[Max Temp (deg.C)]]</f>
        <v>-55 to +155</v>
      </c>
      <c r="AL56" s="68"/>
      <c r="AO56" s="87" t="s">
        <v>138</v>
      </c>
      <c r="AP56" s="97" t="str">
        <f t="shared" si="10"/>
        <v>-</v>
      </c>
      <c r="AQ56" s="87" t="s">
        <v>138</v>
      </c>
      <c r="AR56" s="87" t="s">
        <v>138</v>
      </c>
      <c r="AS56" s="68" t="s">
        <v>923</v>
      </c>
      <c r="AT56" s="95" t="s">
        <v>606</v>
      </c>
      <c r="AU56" s="96" t="e" vm="9">
        <f>_xlfn.IMAGE(All_PCC_a[[#This Row],[Image URL]])</f>
        <v>#VALUE!</v>
      </c>
      <c r="AW56" s="68"/>
      <c r="AY56" s="68"/>
      <c r="BC56" s="96">
        <f>IF(Z56&lt;('DCDC Ref'!$J$24/'DCDC Ref'!$J$26)*'DCDC Ref'!$J$28/100,0,1)</f>
        <v>1</v>
      </c>
      <c r="BD56" s="360">
        <f>IF(BC56=1000000000,"",('All Data'!Q56-'DCDC Ref'!$J$30)/'DCDC Ref'!$J$30*100)</f>
        <v>422.1978021978021</v>
      </c>
      <c r="BE56" s="295">
        <f t="shared" si="3"/>
        <v>422.1978021978021</v>
      </c>
      <c r="BF56" s="295"/>
      <c r="BG56" s="360"/>
      <c r="BH56" s="361">
        <f t="shared" si="4"/>
        <v>0</v>
      </c>
      <c r="BI56" s="295"/>
      <c r="BJ56" s="96">
        <f>IF(BC56=0,"",('All Data'!Z56-'DCDC Ref'!$J$28*('DCDC Ref'!$J$29/100))/'DCDC Ref'!$J$28*('DCDC Ref'!$J$29/100)*100)</f>
        <v>-28.275862068965523</v>
      </c>
      <c r="BK56" s="361">
        <f t="shared" si="5"/>
        <v>10000</v>
      </c>
      <c r="BL56" s="361"/>
      <c r="BM56" s="361"/>
      <c r="BN56" s="361"/>
      <c r="BO56" s="361"/>
      <c r="BP56" s="96"/>
      <c r="BQ56" s="298">
        <f t="shared" si="6"/>
        <v>2160989.0109890103</v>
      </c>
      <c r="BR56" s="298">
        <f>IF(BQ56="","",RANK(BQ56,BQ$11:BQ$9930,1)+COUNTIF(BQ$11:BQ56,BQ56)-1)</f>
        <v>71</v>
      </c>
      <c r="BS56" s="299">
        <f t="shared" si="9"/>
        <v>71</v>
      </c>
      <c r="BT56" s="96" t="str">
        <f>IFERROR(INDEX($O$11:$O$1013,MATCH(ROWS($BS$11:BS56),$BS$11:$BS$1005,0)),"")</f>
        <v>ETQP3M2R2YFP</v>
      </c>
      <c r="BU56" s="299" t="str">
        <f t="shared" si="7"/>
        <v>ETQP3M2R2YFP</v>
      </c>
      <c r="BV56" s="96"/>
    </row>
    <row r="57" spans="1:74" ht="15">
      <c r="A57" s="95">
        <v>66</v>
      </c>
      <c r="B57" s="259" t="s">
        <v>584</v>
      </c>
      <c r="C57" s="95"/>
      <c r="D57" s="95" t="s">
        <v>585</v>
      </c>
      <c r="E57" s="109"/>
      <c r="F57" s="68" t="s">
        <v>153</v>
      </c>
      <c r="G57" s="69" t="s">
        <v>586</v>
      </c>
      <c r="H57" s="68" t="s">
        <v>587</v>
      </c>
      <c r="I57" s="69" t="s">
        <v>588</v>
      </c>
      <c r="J57" s="68" t="s">
        <v>589</v>
      </c>
      <c r="K57" s="68" t="s">
        <v>601</v>
      </c>
      <c r="L57" s="68" t="s">
        <v>620</v>
      </c>
      <c r="M57" s="68" t="s">
        <v>621</v>
      </c>
      <c r="N57" s="68" t="s">
        <v>593</v>
      </c>
      <c r="O57" s="34" t="s">
        <v>68</v>
      </c>
      <c r="P57" s="37" t="str">
        <f>MID(All_PCC_a[[#This Row],[Part Number]],7,3)</f>
        <v>3R3</v>
      </c>
      <c r="Q57" s="87">
        <v>3.3</v>
      </c>
      <c r="R57" s="87" t="str">
        <f>IF(All_PCC_a[[#This Row],[Lo (uH)]]&lt;1,"&lt;1",IF(All_PCC_a[[#This Row],[Lo (uH)]]&lt;10,"&lt;10",IF(All_PCC_a[[#This Row],[Lo (uH)]]&lt;100,"&lt;100",IF(All_PCC_a[[#This Row],[Lo (uH)]]&lt;2000,"&lt;2000",""))))</f>
        <v>&lt;10</v>
      </c>
      <c r="S57" s="87" t="str">
        <f>IFERROR(VLOOKUP(All_PCC_a[[#This Row],[Lo (uH)]],Utility!$D$5:$E$43,2,1),"-")</f>
        <v>≤   4</v>
      </c>
      <c r="T57" s="88">
        <v>0.2</v>
      </c>
      <c r="U57" s="126">
        <v>24.1</v>
      </c>
      <c r="V57" s="126">
        <v>26.510000000000005</v>
      </c>
      <c r="W57" s="87">
        <v>10</v>
      </c>
      <c r="X57" s="87">
        <v>6.1</v>
      </c>
      <c r="Y57" s="87">
        <v>5</v>
      </c>
      <c r="Z57" s="117">
        <v>11.5</v>
      </c>
      <c r="AA57" s="87">
        <v>7.3</v>
      </c>
      <c r="AB57" s="68">
        <v>6.4</v>
      </c>
      <c r="AC57" s="68">
        <v>6</v>
      </c>
      <c r="AD57" s="87">
        <v>3</v>
      </c>
      <c r="AE57" s="68">
        <f>ROUND(All_PCC_a[[#This Row],[L (mm)]]*All_PCC_a[[#This Row],[W (mm)]],1)</f>
        <v>38.4</v>
      </c>
      <c r="AF57" s="87" t="str">
        <f>All_PCC_a[[#This Row],[L (mm)]]&amp;"  x  "&amp;All_PCC_a[[#This Row],[W (mm)]]</f>
        <v>6.4  x  6</v>
      </c>
      <c r="AG57" s="91" t="s">
        <v>618</v>
      </c>
      <c r="AH57" s="97" t="str">
        <f>IF(All_PCC_a[[#This Row],[Max Height (mm)]]&lt;=9,"≤ "&amp;ROUNDUP(AD57,0),"≤"&amp;ROUNDUP(AD57,0))</f>
        <v>≤ 3</v>
      </c>
      <c r="AI57" s="68">
        <v>-55</v>
      </c>
      <c r="AJ57" s="68">
        <v>155</v>
      </c>
      <c r="AK57" s="68" t="str">
        <f>All_PCC_a[[#This Row],[Min Temp (deg.C)]]&amp;" to +"&amp;All_PCC_a[[#This Row],[Max Temp (deg.C)]]</f>
        <v>-55 to +155</v>
      </c>
      <c r="AL57" s="68"/>
      <c r="AO57" s="87" t="s">
        <v>138</v>
      </c>
      <c r="AP57" s="97" t="str">
        <f t="shared" si="10"/>
        <v>-</v>
      </c>
      <c r="AQ57" s="87" t="s">
        <v>138</v>
      </c>
      <c r="AR57" s="87" t="s">
        <v>138</v>
      </c>
      <c r="AS57" s="68" t="s">
        <v>924</v>
      </c>
      <c r="AT57" s="95" t="s">
        <v>606</v>
      </c>
      <c r="AU57" s="96" t="e" vm="9">
        <f>_xlfn.IMAGE(All_PCC_a[[#This Row],[Image URL]])</f>
        <v>#VALUE!</v>
      </c>
      <c r="AW57" s="68"/>
      <c r="AY57" s="68"/>
      <c r="BC57" s="96">
        <f>IF(Z57&lt;('DCDC Ref'!$J$24/'DCDC Ref'!$J$26)*'DCDC Ref'!$J$28/100,0,1)</f>
        <v>1</v>
      </c>
      <c r="BD57" s="360">
        <f>IF(BC57=1000000000,"",('All Data'!Q57-'DCDC Ref'!$J$30)/'DCDC Ref'!$J$30*100)</f>
        <v>422.1978021978021</v>
      </c>
      <c r="BE57" s="295">
        <f t="shared" si="3"/>
        <v>422.1978021978021</v>
      </c>
      <c r="BF57" s="295"/>
      <c r="BG57" s="360"/>
      <c r="BH57" s="361">
        <f t="shared" si="4"/>
        <v>0</v>
      </c>
      <c r="BI57" s="295"/>
      <c r="BJ57" s="96">
        <f>IF(BC57=0,"",('All Data'!Z57-'DCDC Ref'!$J$28*('DCDC Ref'!$J$29/100))/'DCDC Ref'!$J$28*('DCDC Ref'!$J$29/100)*100)</f>
        <v>3.1034482758620574</v>
      </c>
      <c r="BK57" s="361">
        <f t="shared" si="5"/>
        <v>3.1034482758620574</v>
      </c>
      <c r="BL57" s="361"/>
      <c r="BM57" s="361"/>
      <c r="BN57" s="361"/>
      <c r="BO57" s="361"/>
      <c r="BP57" s="96"/>
      <c r="BQ57" s="298">
        <f t="shared" si="6"/>
        <v>2111004.5282303896</v>
      </c>
      <c r="BR57" s="298">
        <f>IF(BQ57="","",RANK(BQ57,BQ$11:BQ$9930,1)+COUNTIF(BQ$11:BQ57,BQ57)-1)</f>
        <v>57</v>
      </c>
      <c r="BS57" s="299">
        <f t="shared" si="9"/>
        <v>57</v>
      </c>
      <c r="BT57" s="96" t="str">
        <f>IFERROR(INDEX($O$11:$O$1013,MATCH(ROWS($BS$11:BS57),$BS$11:$BS$1005,0)),"")</f>
        <v>ETQP3M2R2KVP</v>
      </c>
      <c r="BU57" s="299" t="str">
        <f t="shared" si="7"/>
        <v>ETQP3M2R2KVP</v>
      </c>
      <c r="BV57" s="96"/>
    </row>
    <row r="58" spans="1:74" ht="15">
      <c r="A58" s="95">
        <v>77</v>
      </c>
      <c r="B58" s="259" t="s">
        <v>584</v>
      </c>
      <c r="C58" s="95"/>
      <c r="D58" s="95" t="s">
        <v>585</v>
      </c>
      <c r="E58" s="109"/>
      <c r="F58" s="68" t="s">
        <v>153</v>
      </c>
      <c r="G58" s="69" t="s">
        <v>586</v>
      </c>
      <c r="H58" s="68" t="s">
        <v>587</v>
      </c>
      <c r="I58" s="69" t="s">
        <v>588</v>
      </c>
      <c r="J58" s="68" t="s">
        <v>589</v>
      </c>
      <c r="K58" s="68" t="s">
        <v>601</v>
      </c>
      <c r="L58" s="68" t="s">
        <v>622</v>
      </c>
      <c r="M58" s="68" t="s">
        <v>623</v>
      </c>
      <c r="N58" s="68" t="s">
        <v>593</v>
      </c>
      <c r="O58" s="34" t="s">
        <v>69</v>
      </c>
      <c r="P58" s="37" t="str">
        <f>MID(All_PCC_a[[#This Row],[Part Number]],7,3)</f>
        <v>3R3</v>
      </c>
      <c r="Q58" s="87">
        <v>3.3</v>
      </c>
      <c r="R58" s="87" t="str">
        <f>IF(All_PCC_a[[#This Row],[Lo (uH)]]&lt;1,"&lt;1",IF(All_PCC_a[[#This Row],[Lo (uH)]]&lt;10,"&lt;10",IF(All_PCC_a[[#This Row],[Lo (uH)]]&lt;100,"&lt;100",IF(All_PCC_a[[#This Row],[Lo (uH)]]&lt;2000,"&lt;2000",""))))</f>
        <v>&lt;10</v>
      </c>
      <c r="S58" s="87" t="str">
        <f>IFERROR(VLOOKUP(All_PCC_a[[#This Row],[Lo (uH)]],Utility!$D$5:$E$43,2,1),"-")</f>
        <v>≤   4</v>
      </c>
      <c r="T58" s="88">
        <v>0.2</v>
      </c>
      <c r="U58" s="126">
        <v>14.1</v>
      </c>
      <c r="V58" s="126">
        <v>15.51</v>
      </c>
      <c r="W58" s="87">
        <v>10</v>
      </c>
      <c r="X58" s="87">
        <v>8.9</v>
      </c>
      <c r="Y58" s="87">
        <v>7.6</v>
      </c>
      <c r="Z58" s="117">
        <v>17.399999999999999</v>
      </c>
      <c r="AA58" s="87">
        <v>11.71</v>
      </c>
      <c r="AB58" s="68">
        <v>8.4</v>
      </c>
      <c r="AC58" s="68">
        <v>8</v>
      </c>
      <c r="AD58" s="87">
        <v>4</v>
      </c>
      <c r="AE58" s="68">
        <f>ROUND(All_PCC_a[[#This Row],[L (mm)]]*All_PCC_a[[#This Row],[W (mm)]],1)</f>
        <v>67.2</v>
      </c>
      <c r="AF58" s="87" t="str">
        <f>All_PCC_a[[#This Row],[L (mm)]]&amp;"  x  "&amp;All_PCC_a[[#This Row],[W (mm)]]</f>
        <v>8.4  x  8</v>
      </c>
      <c r="AG58" s="99" t="s">
        <v>624</v>
      </c>
      <c r="AH58" s="97" t="str">
        <f>IF(All_PCC_a[[#This Row],[Max Height (mm)]]&lt;=9,"≤ "&amp;ROUNDUP(AD58,0),"≤"&amp;ROUNDUP(AD58,0))</f>
        <v>≤ 4</v>
      </c>
      <c r="AI58" s="68">
        <v>-55</v>
      </c>
      <c r="AJ58" s="68">
        <v>155</v>
      </c>
      <c r="AK58" s="68" t="str">
        <f>All_PCC_a[[#This Row],[Min Temp (deg.C)]]&amp;" to +"&amp;All_PCC_a[[#This Row],[Max Temp (deg.C)]]</f>
        <v>-55 to +155</v>
      </c>
      <c r="AL58" s="68"/>
      <c r="AO58" s="87" t="s">
        <v>138</v>
      </c>
      <c r="AP58" s="97" t="str">
        <f t="shared" si="10"/>
        <v>-</v>
      </c>
      <c r="AQ58" s="87" t="s">
        <v>138</v>
      </c>
      <c r="AR58" s="87" t="s">
        <v>138</v>
      </c>
      <c r="AS58" s="68" t="s">
        <v>925</v>
      </c>
      <c r="AT58" s="95" t="s">
        <v>606</v>
      </c>
      <c r="AU58" s="96" t="e" vm="9">
        <f>_xlfn.IMAGE(All_PCC_a[[#This Row],[Image URL]])</f>
        <v>#VALUE!</v>
      </c>
      <c r="AW58" s="68"/>
      <c r="AY58" s="68"/>
      <c r="BC58" s="96">
        <f>IF(Z58&lt;('DCDC Ref'!$J$24/'DCDC Ref'!$J$26)*'DCDC Ref'!$J$28/100,0,1)</f>
        <v>1</v>
      </c>
      <c r="BD58" s="360">
        <f>IF(BC58=1000000000,"",('All Data'!Q58-'DCDC Ref'!$J$30)/'DCDC Ref'!$J$30*100)</f>
        <v>422.1978021978021</v>
      </c>
      <c r="BE58" s="295">
        <f t="shared" si="3"/>
        <v>422.1978021978021</v>
      </c>
      <c r="BF58" s="295"/>
      <c r="BG58" s="360"/>
      <c r="BH58" s="361">
        <f t="shared" si="4"/>
        <v>0</v>
      </c>
      <c r="BI58" s="295"/>
      <c r="BJ58" s="96">
        <f>IF(BC58=0,"",('All Data'!Z58-'DCDC Ref'!$J$28*('DCDC Ref'!$J$29/100))/'DCDC Ref'!$J$28*('DCDC Ref'!$J$29/100)*100)</f>
        <v>55.999999999999972</v>
      </c>
      <c r="BK58" s="361">
        <f t="shared" si="5"/>
        <v>55.999999999999972</v>
      </c>
      <c r="BL58" s="361"/>
      <c r="BM58" s="361"/>
      <c r="BN58" s="361"/>
      <c r="BO58" s="361"/>
      <c r="BP58" s="96"/>
      <c r="BQ58" s="298">
        <f t="shared" si="6"/>
        <v>2111269.0109890103</v>
      </c>
      <c r="BR58" s="298">
        <f>IF(BQ58="","",RANK(BQ58,BQ$11:BQ$9930,1)+COUNTIF(BQ$11:BQ58,BQ58)-1)</f>
        <v>62</v>
      </c>
      <c r="BS58" s="299">
        <f t="shared" si="9"/>
        <v>62</v>
      </c>
      <c r="BT58" s="96" t="str">
        <f>IFERROR(INDEX($O$11:$O$1013,MATCH(ROWS($BS$11:BS58),$BS$11:$BS$1005,0)),"")</f>
        <v>ETQP3M2R2HFP</v>
      </c>
      <c r="BU58" s="299" t="str">
        <f t="shared" si="7"/>
        <v>ETQP3M2R2HFP</v>
      </c>
      <c r="BV58" s="96"/>
    </row>
    <row r="59" spans="1:74" ht="15">
      <c r="A59" s="95">
        <v>89</v>
      </c>
      <c r="B59" s="259" t="s">
        <v>584</v>
      </c>
      <c r="C59" s="95"/>
      <c r="D59" s="95" t="s">
        <v>585</v>
      </c>
      <c r="E59" s="109"/>
      <c r="F59" s="68" t="s">
        <v>153</v>
      </c>
      <c r="G59" s="69" t="s">
        <v>586</v>
      </c>
      <c r="H59" s="68" t="s">
        <v>587</v>
      </c>
      <c r="I59" s="69" t="s">
        <v>588</v>
      </c>
      <c r="J59" s="68" t="s">
        <v>589</v>
      </c>
      <c r="K59" s="68" t="s">
        <v>601</v>
      </c>
      <c r="L59" s="68" t="s">
        <v>629</v>
      </c>
      <c r="M59" s="68" t="s">
        <v>630</v>
      </c>
      <c r="N59" s="68" t="s">
        <v>593</v>
      </c>
      <c r="O59" s="34" t="s">
        <v>70</v>
      </c>
      <c r="P59" s="37" t="str">
        <f>MID(All_PCC_a[[#This Row],[Part Number]],7,3)</f>
        <v>3R3</v>
      </c>
      <c r="Q59" s="87">
        <v>3.3</v>
      </c>
      <c r="R59" s="87" t="str">
        <f>IF(All_PCC_a[[#This Row],[Lo (uH)]]&lt;1,"&lt;1",IF(All_PCC_a[[#This Row],[Lo (uH)]]&lt;10,"&lt;10",IF(All_PCC_a[[#This Row],[Lo (uH)]]&lt;100,"&lt;100",IF(All_PCC_a[[#This Row],[Lo (uH)]]&lt;2000,"&lt;2000",""))))</f>
        <v>&lt;10</v>
      </c>
      <c r="S59" s="87" t="str">
        <f>IFERROR(VLOOKUP(All_PCC_a[[#This Row],[Lo (uH)]],Utility!$D$5:$E$43,2,1),"-")</f>
        <v>≤   4</v>
      </c>
      <c r="T59" s="88">
        <v>0.2</v>
      </c>
      <c r="U59" s="126">
        <v>9.4</v>
      </c>
      <c r="V59" s="126">
        <v>10.340000000000002</v>
      </c>
      <c r="W59" s="87">
        <v>10</v>
      </c>
      <c r="X59" s="87">
        <v>12.6</v>
      </c>
      <c r="Y59" s="121">
        <v>10.3</v>
      </c>
      <c r="Z59" s="122">
        <v>17.100000000000001</v>
      </c>
      <c r="AA59" s="87">
        <v>12.66</v>
      </c>
      <c r="AB59" s="68">
        <v>10.7</v>
      </c>
      <c r="AC59" s="68">
        <v>10</v>
      </c>
      <c r="AD59" s="87">
        <v>4</v>
      </c>
      <c r="AE59" s="68">
        <f>ROUND(All_PCC_a[[#This Row],[L (mm)]]*All_PCC_a[[#This Row],[W (mm)]],1)</f>
        <v>107</v>
      </c>
      <c r="AF59" s="87" t="str">
        <f>All_PCC_a[[#This Row],[L (mm)]]&amp;"  x  "&amp;All_PCC_a[[#This Row],[W (mm)]]</f>
        <v>10.7  x  10</v>
      </c>
      <c r="AG59" s="91" t="s">
        <v>324</v>
      </c>
      <c r="AH59" s="97" t="str">
        <f>IF(All_PCC_a[[#This Row],[Max Height (mm)]]&lt;=9,"≤ "&amp;ROUNDUP(AD59,0),"≤"&amp;ROUNDUP(AD59,0))</f>
        <v>≤ 4</v>
      </c>
      <c r="AI59" s="68">
        <v>-55</v>
      </c>
      <c r="AJ59" s="68">
        <v>155</v>
      </c>
      <c r="AK59" s="68" t="str">
        <f>All_PCC_a[[#This Row],[Min Temp (deg.C)]]&amp;" to +"&amp;All_PCC_a[[#This Row],[Max Temp (deg.C)]]</f>
        <v>-55 to +155</v>
      </c>
      <c r="AL59" s="68"/>
      <c r="AO59" s="87" t="s">
        <v>138</v>
      </c>
      <c r="AP59" s="97" t="str">
        <f t="shared" si="10"/>
        <v>-</v>
      </c>
      <c r="AQ59" s="87" t="s">
        <v>138</v>
      </c>
      <c r="AR59" s="87" t="s">
        <v>138</v>
      </c>
      <c r="AS59" s="68" t="s">
        <v>926</v>
      </c>
      <c r="AT59" s="95" t="s">
        <v>606</v>
      </c>
      <c r="AU59" s="96" t="e" vm="9">
        <f>_xlfn.IMAGE(All_PCC_a[[#This Row],[Image URL]])</f>
        <v>#VALUE!</v>
      </c>
      <c r="AW59" s="68"/>
      <c r="AY59" s="68"/>
      <c r="BC59" s="96">
        <f>IF(Z59&lt;('DCDC Ref'!$J$24/'DCDC Ref'!$J$26)*'DCDC Ref'!$J$28/100,0,1)</f>
        <v>1</v>
      </c>
      <c r="BD59" s="360">
        <f>IF(BC59=1000000000,"",('All Data'!Q59-'DCDC Ref'!$J$30)/'DCDC Ref'!$J$30*100)</f>
        <v>422.1978021978021</v>
      </c>
      <c r="BE59" s="295">
        <f t="shared" si="3"/>
        <v>422.1978021978021</v>
      </c>
      <c r="BF59" s="295"/>
      <c r="BG59" s="360"/>
      <c r="BH59" s="361">
        <f t="shared" si="4"/>
        <v>0</v>
      </c>
      <c r="BI59" s="295"/>
      <c r="BJ59" s="96">
        <f>IF(BC59=0,"",('All Data'!Z59-'DCDC Ref'!$J$28*('DCDC Ref'!$J$29/100))/'DCDC Ref'!$J$28*('DCDC Ref'!$J$29/100)*100)</f>
        <v>53.310344827586199</v>
      </c>
      <c r="BK59" s="361">
        <f t="shared" si="5"/>
        <v>53.310344827586199</v>
      </c>
      <c r="BL59" s="361"/>
      <c r="BM59" s="361"/>
      <c r="BN59" s="361"/>
      <c r="BO59" s="361"/>
      <c r="BP59" s="96"/>
      <c r="BQ59" s="298">
        <f t="shared" si="6"/>
        <v>2111255.5627131481</v>
      </c>
      <c r="BR59" s="298">
        <f>IF(BQ59="","",RANK(BQ59,BQ$11:BQ$9930,1)+COUNTIF(BQ$11:BQ59,BQ59)-1)</f>
        <v>61</v>
      </c>
      <c r="BS59" s="299">
        <f t="shared" si="9"/>
        <v>61</v>
      </c>
      <c r="BT59" s="96" t="str">
        <f>IFERROR(INDEX($O$11:$O$1013,MATCH(ROWS($BS$11:BS59),$BS$11:$BS$1005,0)),"")</f>
        <v>ETQP5M2R5YSK</v>
      </c>
      <c r="BU59" s="299" t="str">
        <f t="shared" si="7"/>
        <v>ETQP5M2R5YSK</v>
      </c>
      <c r="BV59" s="96"/>
    </row>
    <row r="60" spans="1:74" ht="15">
      <c r="A60" s="95">
        <v>97</v>
      </c>
      <c r="B60" s="259" t="s">
        <v>584</v>
      </c>
      <c r="C60" s="95"/>
      <c r="D60" s="95" t="s">
        <v>585</v>
      </c>
      <c r="E60" s="109"/>
      <c r="F60" s="68" t="s">
        <v>153</v>
      </c>
      <c r="G60" s="69" t="s">
        <v>586</v>
      </c>
      <c r="H60" s="68" t="s">
        <v>587</v>
      </c>
      <c r="I60" s="69" t="s">
        <v>588</v>
      </c>
      <c r="J60" s="68" t="s">
        <v>589</v>
      </c>
      <c r="K60" s="68" t="s">
        <v>654</v>
      </c>
      <c r="L60" s="68" t="s">
        <v>655</v>
      </c>
      <c r="M60" s="68" t="s">
        <v>656</v>
      </c>
      <c r="N60" s="68" t="s">
        <v>593</v>
      </c>
      <c r="O60" s="34" t="s">
        <v>71</v>
      </c>
      <c r="P60" s="37" t="str">
        <f>MID(All_PCC_a[[#This Row],[Part Number]],7,3)</f>
        <v>3R3</v>
      </c>
      <c r="Q60" s="87">
        <v>3.3</v>
      </c>
      <c r="R60" s="87" t="str">
        <f>IF(All_PCC_a[[#This Row],[Lo (uH)]]&lt;1,"&lt;1",IF(All_PCC_a[[#This Row],[Lo (uH)]]&lt;10,"&lt;10",IF(All_PCC_a[[#This Row],[Lo (uH)]]&lt;100,"&lt;100",IF(All_PCC_a[[#This Row],[Lo (uH)]]&lt;2000,"&lt;2000",""))))</f>
        <v>&lt;10</v>
      </c>
      <c r="S60" s="87" t="str">
        <f>IFERROR(VLOOKUP(All_PCC_a[[#This Row],[Lo (uH)]],Utility!$D$5:$E$43,2,1),"-")</f>
        <v>≤   4</v>
      </c>
      <c r="T60" s="88">
        <v>0.2</v>
      </c>
      <c r="U60" s="126">
        <v>13.1</v>
      </c>
      <c r="V60" s="126">
        <v>14.41</v>
      </c>
      <c r="W60" s="87">
        <v>10</v>
      </c>
      <c r="X60" s="87">
        <v>9.1999999999999993</v>
      </c>
      <c r="Y60" s="121">
        <v>7.2</v>
      </c>
      <c r="Z60" s="122">
        <v>12</v>
      </c>
      <c r="AA60" s="87">
        <v>8.9</v>
      </c>
      <c r="AB60" s="68">
        <v>6.4</v>
      </c>
      <c r="AC60" s="68">
        <v>6</v>
      </c>
      <c r="AD60" s="87">
        <v>4.8</v>
      </c>
      <c r="AE60" s="68">
        <f>ROUND(All_PCC_a[[#This Row],[L (mm)]]*All_PCC_a[[#This Row],[W (mm)]],1)</f>
        <v>38.4</v>
      </c>
      <c r="AF60" s="87" t="str">
        <f>All_PCC_a[[#This Row],[L (mm)]]&amp;"  x  "&amp;All_PCC_a[[#This Row],[W (mm)]]</f>
        <v>6.4  x  6</v>
      </c>
      <c r="AG60" s="91" t="s">
        <v>618</v>
      </c>
      <c r="AH60" s="97" t="str">
        <f>IF(All_PCC_a[[#This Row],[Max Height (mm)]]&lt;=9,"≤ "&amp;ROUNDUP(AD60,0),"≤"&amp;ROUNDUP(AD60,0))</f>
        <v>≤ 5</v>
      </c>
      <c r="AI60" s="68">
        <v>-40</v>
      </c>
      <c r="AJ60" s="68">
        <v>150</v>
      </c>
      <c r="AK60" s="68" t="str">
        <f>All_PCC_a[[#This Row],[Min Temp (deg.C)]]&amp;" to +"&amp;All_PCC_a[[#This Row],[Max Temp (deg.C)]]</f>
        <v>-40 to +150</v>
      </c>
      <c r="AL60" s="68"/>
      <c r="AO60" s="87" t="s">
        <v>138</v>
      </c>
      <c r="AP60" s="97" t="str">
        <f t="shared" si="10"/>
        <v>-</v>
      </c>
      <c r="AQ60" s="87" t="s">
        <v>138</v>
      </c>
      <c r="AR60" s="87" t="s">
        <v>138</v>
      </c>
      <c r="AS60" s="68" t="s">
        <v>927</v>
      </c>
      <c r="AT60" s="68" t="s">
        <v>657</v>
      </c>
      <c r="AU60" s="96" t="e" vm="12">
        <f>_xlfn.IMAGE(All_PCC_a[[#This Row],[Image URL]])</f>
        <v>#VALUE!</v>
      </c>
      <c r="AV60" s="95"/>
      <c r="AW60" s="95"/>
      <c r="AY60" s="68"/>
      <c r="BC60" s="96">
        <f>IF(Z60&lt;('DCDC Ref'!$J$24/'DCDC Ref'!$J$26)*'DCDC Ref'!$J$28/100,0,1)</f>
        <v>1</v>
      </c>
      <c r="BD60" s="360">
        <f>IF(BC60=1000000000,"",('All Data'!Q60-'DCDC Ref'!$J$30)/'DCDC Ref'!$J$30*100)</f>
        <v>422.1978021978021</v>
      </c>
      <c r="BE60" s="295">
        <f t="shared" si="3"/>
        <v>422.1978021978021</v>
      </c>
      <c r="BF60" s="295"/>
      <c r="BG60" s="360"/>
      <c r="BH60" s="361">
        <f t="shared" si="4"/>
        <v>0</v>
      </c>
      <c r="BI60" s="295"/>
      <c r="BJ60" s="96">
        <f>IF(BC60=0,"",('All Data'!Z60-'DCDC Ref'!$J$28*('DCDC Ref'!$J$29/100))/'DCDC Ref'!$J$28*('DCDC Ref'!$J$29/100)*100)</f>
        <v>7.5862068965517127</v>
      </c>
      <c r="BK60" s="361">
        <f t="shared" si="5"/>
        <v>7.5862068965517127</v>
      </c>
      <c r="BL60" s="361"/>
      <c r="BM60" s="361"/>
      <c r="BN60" s="361"/>
      <c r="BO60" s="361"/>
      <c r="BP60" s="96"/>
      <c r="BQ60" s="298">
        <f t="shared" si="6"/>
        <v>2111026.9420234929</v>
      </c>
      <c r="BR60" s="298">
        <f>IF(BQ60="","",RANK(BQ60,BQ$11:BQ$9930,1)+COUNTIF(BQ$11:BQ60,BQ60)-1)</f>
        <v>58</v>
      </c>
      <c r="BS60" s="299">
        <f t="shared" si="9"/>
        <v>58</v>
      </c>
      <c r="BT60" s="96" t="str">
        <f>IFERROR(INDEX($O$11:$O$1013,MATCH(ROWS($BS$11:BS60),$BS$11:$BS$1005,0)),"")</f>
        <v>ETQP5M2R5YFK</v>
      </c>
      <c r="BU60" s="299" t="str">
        <f t="shared" si="7"/>
        <v>ETQP5M2R5YFK</v>
      </c>
      <c r="BV60" s="96"/>
    </row>
    <row r="61" spans="1:74" ht="15">
      <c r="A61" s="95">
        <v>109</v>
      </c>
      <c r="B61" s="259" t="s">
        <v>584</v>
      </c>
      <c r="C61" s="95"/>
      <c r="D61" s="133" t="s">
        <v>585</v>
      </c>
      <c r="E61" s="237"/>
      <c r="F61" s="238" t="s">
        <v>153</v>
      </c>
      <c r="G61" s="156" t="s">
        <v>586</v>
      </c>
      <c r="H61" s="132" t="s">
        <v>587</v>
      </c>
      <c r="I61" s="156" t="s">
        <v>588</v>
      </c>
      <c r="J61" s="132" t="s">
        <v>589</v>
      </c>
      <c r="K61" s="133" t="s">
        <v>590</v>
      </c>
      <c r="L61" s="133" t="s">
        <v>658</v>
      </c>
      <c r="M61" s="133" t="s">
        <v>659</v>
      </c>
      <c r="N61" s="133" t="s">
        <v>593</v>
      </c>
      <c r="O61" s="34" t="s">
        <v>660</v>
      </c>
      <c r="P61" s="37" t="str">
        <f>MID(All_PCC_a[[#This Row],[Part Number]],7,3)</f>
        <v>3R3</v>
      </c>
      <c r="Q61" s="239">
        <v>3.3</v>
      </c>
      <c r="R61" s="135" t="str">
        <f>IF(All_PCC_a[[#This Row],[Lo (uH)]]&lt;1,"&lt;1",IF(All_PCC_a[[#This Row],[Lo (uH)]]&lt;10,"&lt;10",IF(All_PCC_a[[#This Row],[Lo (uH)]]&lt;100,"&lt;100",IF(All_PCC_a[[#This Row],[Lo (uH)]]&lt;2000,"&lt;2000",""))))</f>
        <v>&lt;10</v>
      </c>
      <c r="S61" s="135" t="str">
        <f>IFERROR(VLOOKUP(All_PCC_a[[#This Row],[Lo (uH)]],Utility!$D$5:$E$43,2,1),"-")</f>
        <v>≤   4</v>
      </c>
      <c r="T61" s="136">
        <v>0.2</v>
      </c>
      <c r="U61" s="242">
        <v>11.9</v>
      </c>
      <c r="V61" s="245">
        <f>All_PCC_a[[#This Row],[DCR Typ (mOhm)]]*1.1</f>
        <v>13.090000000000002</v>
      </c>
      <c r="W61" s="135">
        <v>10</v>
      </c>
      <c r="X61" s="240">
        <v>10.4</v>
      </c>
      <c r="Y61" s="239">
        <v>8.3000000000000007</v>
      </c>
      <c r="Z61" s="241">
        <v>14.4</v>
      </c>
      <c r="AA61" s="135">
        <v>10.34</v>
      </c>
      <c r="AB61" s="133">
        <v>7.5</v>
      </c>
      <c r="AC61" s="133">
        <v>7</v>
      </c>
      <c r="AD61" s="239">
        <v>5.4</v>
      </c>
      <c r="AE61" s="133">
        <f>ROUND(All_PCC_a[[#This Row],[L (mm)]]*All_PCC_a[[#This Row],[W (mm)]],1)</f>
        <v>52.5</v>
      </c>
      <c r="AF61" s="87" t="str">
        <f>All_PCC_a[[#This Row],[L (mm)]]&amp;"  x  "&amp;All_PCC_a[[#This Row],[W (mm)]]</f>
        <v>7.5  x  7</v>
      </c>
      <c r="AG61" s="141" t="s">
        <v>661</v>
      </c>
      <c r="AH61" s="97" t="str">
        <f>IF(All_PCC_a[[#This Row],[Max Height (mm)]]&lt;=9,"≤ "&amp;ROUNDUP(AD61,0),"≤"&amp;ROUNDUP(AD61,0))</f>
        <v>≤ 6</v>
      </c>
      <c r="AI61" s="244">
        <v>-40</v>
      </c>
      <c r="AJ61" s="133">
        <v>150</v>
      </c>
      <c r="AK61" s="68" t="str">
        <f>All_PCC_a[[#This Row],[Min Temp (deg.C)]]&amp;" to +"&amp;All_PCC_a[[#This Row],[Max Temp (deg.C)]]</f>
        <v>-40 to +150</v>
      </c>
      <c r="AL61" s="133"/>
      <c r="AM61" s="133"/>
      <c r="AN61" s="133"/>
      <c r="AO61" s="135" t="s">
        <v>138</v>
      </c>
      <c r="AP61" s="240" t="str">
        <f t="shared" si="10"/>
        <v>-</v>
      </c>
      <c r="AQ61" s="135" t="s">
        <v>138</v>
      </c>
      <c r="AR61" s="135" t="s">
        <v>138</v>
      </c>
      <c r="AS61" s="132" t="s">
        <v>928</v>
      </c>
      <c r="AT61" s="95" t="s">
        <v>594</v>
      </c>
      <c r="AU61" s="96" t="e" vm="7">
        <f>_xlfn.IMAGE(All_PCC_a[[#This Row],[Image URL]])</f>
        <v>#VALUE!</v>
      </c>
      <c r="AV61" s="133"/>
      <c r="AW61" s="133"/>
      <c r="AY61" s="68"/>
      <c r="BC61" s="96">
        <f>IF(Z61&lt;('DCDC Ref'!$J$24/'DCDC Ref'!$J$26)*'DCDC Ref'!$J$28/100,0,1)</f>
        <v>1</v>
      </c>
      <c r="BD61" s="360">
        <f>IF(BC61=1000000000,"",('All Data'!Q61-'DCDC Ref'!$J$30)/'DCDC Ref'!$J$30*100)</f>
        <v>422.1978021978021</v>
      </c>
      <c r="BE61" s="295">
        <f t="shared" si="3"/>
        <v>422.1978021978021</v>
      </c>
      <c r="BF61" s="295"/>
      <c r="BG61" s="360"/>
      <c r="BH61" s="361">
        <f t="shared" si="4"/>
        <v>0</v>
      </c>
      <c r="BI61" s="295"/>
      <c r="BJ61" s="96">
        <f>IF(BC61=0,"",('All Data'!Z61-'DCDC Ref'!$J$28*('DCDC Ref'!$J$29/100))/'DCDC Ref'!$J$28*('DCDC Ref'!$J$29/100)*100)</f>
        <v>29.103448275862061</v>
      </c>
      <c r="BK61" s="361">
        <f t="shared" si="5"/>
        <v>29.103448275862061</v>
      </c>
      <c r="BL61" s="361"/>
      <c r="BM61" s="361"/>
      <c r="BN61" s="361"/>
      <c r="BO61" s="361"/>
      <c r="BP61" s="96"/>
      <c r="BQ61" s="298">
        <f t="shared" si="6"/>
        <v>2111134.5282303896</v>
      </c>
      <c r="BR61" s="298">
        <f>IF(BQ61="","",RANK(BQ61,BQ$11:BQ$9930,1)+COUNTIF(BQ$11:BQ61,BQ61)-1)</f>
        <v>60</v>
      </c>
      <c r="BS61" s="299">
        <f t="shared" si="9"/>
        <v>60</v>
      </c>
      <c r="BT61" s="96" t="str">
        <f>IFERROR(INDEX($O$11:$O$1013,MATCH(ROWS($BS$11:BS61),$BS$11:$BS$1005,0)),"")</f>
        <v>ETQP6M2R5YSC</v>
      </c>
      <c r="BU61" s="299" t="str">
        <f t="shared" si="7"/>
        <v>ETQP6M2R5YSC</v>
      </c>
      <c r="BV61" s="96"/>
    </row>
    <row r="62" spans="1:74" ht="15">
      <c r="A62" s="95">
        <v>110</v>
      </c>
      <c r="B62" s="259" t="s">
        <v>584</v>
      </c>
      <c r="C62" s="95"/>
      <c r="D62" s="133" t="s">
        <v>585</v>
      </c>
      <c r="E62" s="237"/>
      <c r="F62" s="238" t="s">
        <v>153</v>
      </c>
      <c r="G62" s="156" t="s">
        <v>586</v>
      </c>
      <c r="H62" s="132" t="s">
        <v>587</v>
      </c>
      <c r="I62" s="156" t="s">
        <v>588</v>
      </c>
      <c r="J62" s="132" t="s">
        <v>589</v>
      </c>
      <c r="K62" s="133" t="s">
        <v>590</v>
      </c>
      <c r="L62" s="133" t="s">
        <v>651</v>
      </c>
      <c r="M62" s="133" t="s">
        <v>662</v>
      </c>
      <c r="N62" s="133" t="s">
        <v>593</v>
      </c>
      <c r="O62" s="34" t="s">
        <v>663</v>
      </c>
      <c r="P62" s="37" t="str">
        <f>MID(All_PCC_a[[#This Row],[Part Number]],7,3)</f>
        <v>3R3</v>
      </c>
      <c r="Q62" s="239">
        <v>3.3</v>
      </c>
      <c r="R62" s="135" t="str">
        <f>IF(All_PCC_a[[#This Row],[Lo (uH)]]&lt;1,"&lt;1",IF(All_PCC_a[[#This Row],[Lo (uH)]]&lt;10,"&lt;10",IF(All_PCC_a[[#This Row],[Lo (uH)]]&lt;100,"&lt;100",IF(All_PCC_a[[#This Row],[Lo (uH)]]&lt;2000,"&lt;2000",""))))</f>
        <v>&lt;10</v>
      </c>
      <c r="S62" s="135" t="str">
        <f>IFERROR(VLOOKUP(All_PCC_a[[#This Row],[Lo (uH)]],Utility!$D$5:$E$43,2,1),"-")</f>
        <v>≤   4</v>
      </c>
      <c r="T62" s="136">
        <v>0.2</v>
      </c>
      <c r="U62" s="242">
        <v>9.5</v>
      </c>
      <c r="V62" s="245">
        <f>All_PCC_a[[#This Row],[DCR Typ (mOhm)]]*1.1</f>
        <v>10.450000000000001</v>
      </c>
      <c r="W62" s="135">
        <v>10</v>
      </c>
      <c r="X62" s="240">
        <v>12.5</v>
      </c>
      <c r="Y62" s="239">
        <v>10.7</v>
      </c>
      <c r="Z62" s="241">
        <v>17.899999999999999</v>
      </c>
      <c r="AA62" s="135">
        <v>12.96</v>
      </c>
      <c r="AB62" s="133">
        <v>8.5</v>
      </c>
      <c r="AC62" s="133">
        <v>8</v>
      </c>
      <c r="AD62" s="239">
        <v>5.4</v>
      </c>
      <c r="AE62" s="133">
        <f>ROUND(All_PCC_a[[#This Row],[L (mm)]]*All_PCC_a[[#This Row],[W (mm)]],1)</f>
        <v>68</v>
      </c>
      <c r="AF62" s="87" t="str">
        <f>All_PCC_a[[#This Row],[L (mm)]]&amp;"  x  "&amp;All_PCC_a[[#This Row],[W (mm)]]</f>
        <v>8.5  x  8</v>
      </c>
      <c r="AG62" s="91" t="s">
        <v>624</v>
      </c>
      <c r="AH62" s="97" t="str">
        <f>IF(All_PCC_a[[#This Row],[Max Height (mm)]]&lt;=9,"≤ "&amp;ROUNDUP(AD62,0),"≤"&amp;ROUNDUP(AD62,0))</f>
        <v>≤ 6</v>
      </c>
      <c r="AI62" s="244">
        <v>-40</v>
      </c>
      <c r="AJ62" s="133">
        <v>150</v>
      </c>
      <c r="AK62" s="68" t="str">
        <f>All_PCC_a[[#This Row],[Min Temp (deg.C)]]&amp;" to +"&amp;All_PCC_a[[#This Row],[Max Temp (deg.C)]]</f>
        <v>-40 to +150</v>
      </c>
      <c r="AL62" s="133"/>
      <c r="AM62" s="133"/>
      <c r="AN62" s="133"/>
      <c r="AO62" s="135" t="s">
        <v>138</v>
      </c>
      <c r="AP62" s="240" t="str">
        <f t="shared" si="10"/>
        <v>-</v>
      </c>
      <c r="AQ62" s="135" t="s">
        <v>138</v>
      </c>
      <c r="AR62" s="135" t="s">
        <v>138</v>
      </c>
      <c r="AS62" s="132" t="s">
        <v>929</v>
      </c>
      <c r="AT62" s="95" t="s">
        <v>594</v>
      </c>
      <c r="AU62" s="96" t="e" vm="7">
        <f>_xlfn.IMAGE(All_PCC_a[[#This Row],[Image URL]])</f>
        <v>#VALUE!</v>
      </c>
      <c r="AV62" s="133"/>
      <c r="AW62" s="133"/>
      <c r="AY62" s="68"/>
      <c r="BC62" s="96">
        <f>IF(Z62&lt;('DCDC Ref'!$J$24/'DCDC Ref'!$J$26)*'DCDC Ref'!$J$28/100,0,1)</f>
        <v>1</v>
      </c>
      <c r="BD62" s="360">
        <f>IF(BC62=1000000000,"",('All Data'!Q62-'DCDC Ref'!$J$30)/'DCDC Ref'!$J$30*100)</f>
        <v>422.1978021978021</v>
      </c>
      <c r="BE62" s="295">
        <f t="shared" si="3"/>
        <v>422.1978021978021</v>
      </c>
      <c r="BF62" s="295"/>
      <c r="BG62" s="360"/>
      <c r="BH62" s="361">
        <f t="shared" si="4"/>
        <v>0</v>
      </c>
      <c r="BI62" s="295"/>
      <c r="BJ62" s="96">
        <f>IF(BC62=0,"",('All Data'!Z62-'DCDC Ref'!$J$28*('DCDC Ref'!$J$29/100))/'DCDC Ref'!$J$28*('DCDC Ref'!$J$29/100)*100)</f>
        <v>60.482758620689623</v>
      </c>
      <c r="BK62" s="361">
        <f t="shared" si="5"/>
        <v>60.482758620689623</v>
      </c>
      <c r="BL62" s="361"/>
      <c r="BM62" s="361"/>
      <c r="BN62" s="361"/>
      <c r="BO62" s="361"/>
      <c r="BP62" s="96"/>
      <c r="BQ62" s="298">
        <f t="shared" si="6"/>
        <v>2111291.4247821136</v>
      </c>
      <c r="BR62" s="298">
        <f>IF(BQ62="","",RANK(BQ62,BQ$11:BQ$9930,1)+COUNTIF(BQ$11:BQ62,BQ62)-1)</f>
        <v>63</v>
      </c>
      <c r="BS62" s="299">
        <f t="shared" si="9"/>
        <v>63</v>
      </c>
      <c r="BT62" s="96" t="str">
        <f>IFERROR(INDEX($O$11:$O$1013,MATCH(ROWS($BS$11:BS62),$BS$11:$BS$1005,0)),"")</f>
        <v>ETQP6M2R5YLC</v>
      </c>
      <c r="BU62" s="299" t="str">
        <f t="shared" si="7"/>
        <v>ETQP6M2R5YLC</v>
      </c>
      <c r="BV62" s="96"/>
    </row>
    <row r="63" spans="1:74" ht="15">
      <c r="A63" s="95">
        <v>111</v>
      </c>
      <c r="B63" s="259" t="s">
        <v>584</v>
      </c>
      <c r="C63" s="95"/>
      <c r="D63" s="133" t="s">
        <v>585</v>
      </c>
      <c r="E63" s="237"/>
      <c r="F63" s="238" t="s">
        <v>153</v>
      </c>
      <c r="G63" s="156" t="s">
        <v>586</v>
      </c>
      <c r="H63" s="132" t="s">
        <v>587</v>
      </c>
      <c r="I63" s="156" t="s">
        <v>588</v>
      </c>
      <c r="J63" s="132" t="s">
        <v>589</v>
      </c>
      <c r="K63" s="133" t="s">
        <v>590</v>
      </c>
      <c r="L63" s="133" t="s">
        <v>664</v>
      </c>
      <c r="M63" s="133" t="s">
        <v>665</v>
      </c>
      <c r="N63" s="133" t="s">
        <v>593</v>
      </c>
      <c r="O63" s="34" t="s">
        <v>666</v>
      </c>
      <c r="P63" s="37" t="str">
        <f>MID(All_PCC_a[[#This Row],[Part Number]],7,3)</f>
        <v>3R3</v>
      </c>
      <c r="Q63" s="239">
        <v>3.3</v>
      </c>
      <c r="R63" s="240" t="str">
        <f>IF(All_PCC_a[[#This Row],[Lo (uH)]]&lt;1,"&lt;1",IF(All_PCC_a[[#This Row],[Lo (uH)]]&lt;10,"&lt;10",IF(All_PCC_a[[#This Row],[Lo (uH)]]&lt;100,"&lt;100",IF(All_PCC_a[[#This Row],[Lo (uH)]]&lt;2000,"&lt;2000",""))))</f>
        <v>&lt;10</v>
      </c>
      <c r="S63" s="137" t="str">
        <f>IFERROR(VLOOKUP(All_PCC_a[[#This Row],[Lo (uH)]],Utility!$D$5:$E$43,2,1),"-")</f>
        <v>≤   4</v>
      </c>
      <c r="T63" s="136">
        <v>0.2</v>
      </c>
      <c r="U63" s="242">
        <v>7.1</v>
      </c>
      <c r="V63" s="245">
        <v>7.81</v>
      </c>
      <c r="W63" s="137">
        <v>10</v>
      </c>
      <c r="X63" s="240">
        <v>14.7</v>
      </c>
      <c r="Y63" s="239">
        <v>11.8</v>
      </c>
      <c r="Z63" s="241">
        <v>23.4</v>
      </c>
      <c r="AA63" s="562">
        <v>16.63</v>
      </c>
      <c r="AB63" s="133">
        <v>10.7</v>
      </c>
      <c r="AC63" s="133">
        <v>10</v>
      </c>
      <c r="AD63" s="239">
        <v>5</v>
      </c>
      <c r="AE63" s="133">
        <f>ROUND(All_PCC_a[[#This Row],[L (mm)]]*All_PCC_a[[#This Row],[W (mm)]],1)</f>
        <v>107</v>
      </c>
      <c r="AF63" s="87" t="str">
        <f>All_PCC_a[[#This Row],[L (mm)]]&amp;"  x  "&amp;All_PCC_a[[#This Row],[W (mm)]]</f>
        <v>10.7  x  10</v>
      </c>
      <c r="AG63" s="141" t="s">
        <v>324</v>
      </c>
      <c r="AH63" s="97" t="str">
        <f>IF(All_PCC_a[[#This Row],[Max Height (mm)]]&lt;=9,"≤ "&amp;ROUNDUP(AD63,0),"≤"&amp;ROUNDUP(AD63,0))</f>
        <v>≤ 5</v>
      </c>
      <c r="AI63" s="133">
        <v>-40</v>
      </c>
      <c r="AJ63" s="133">
        <v>150</v>
      </c>
      <c r="AK63" s="68" t="str">
        <f>All_PCC_a[[#This Row],[Min Temp (deg.C)]]&amp;" to +"&amp;All_PCC_a[[#This Row],[Max Temp (deg.C)]]</f>
        <v>-40 to +150</v>
      </c>
      <c r="AL63" s="133"/>
      <c r="AM63" s="133"/>
      <c r="AN63" s="133"/>
      <c r="AO63" s="135" t="s">
        <v>138</v>
      </c>
      <c r="AP63" s="240" t="str">
        <f t="shared" si="10"/>
        <v>-</v>
      </c>
      <c r="AQ63" s="135" t="s">
        <v>138</v>
      </c>
      <c r="AR63" s="135" t="s">
        <v>138</v>
      </c>
      <c r="AS63" s="132" t="s">
        <v>930</v>
      </c>
      <c r="AT63" s="95" t="s">
        <v>594</v>
      </c>
      <c r="AU63" s="96" t="e" vm="7">
        <f>_xlfn.IMAGE(All_PCC_a[[#This Row],[Image URL]])</f>
        <v>#VALUE!</v>
      </c>
      <c r="AV63" s="133"/>
      <c r="AW63" s="133"/>
      <c r="AY63" s="68"/>
      <c r="BC63" s="96">
        <f>IF(Z63&lt;('DCDC Ref'!$J$24/'DCDC Ref'!$J$26)*'DCDC Ref'!$J$28/100,0,1)</f>
        <v>1</v>
      </c>
      <c r="BD63" s="360">
        <f>IF(BC63=1000000000,"",('All Data'!Q63-'DCDC Ref'!$J$30)/'DCDC Ref'!$J$30*100)</f>
        <v>422.1978021978021</v>
      </c>
      <c r="BE63" s="295">
        <f t="shared" si="3"/>
        <v>422.1978021978021</v>
      </c>
      <c r="BF63" s="295"/>
      <c r="BG63" s="360"/>
      <c r="BH63" s="361">
        <f t="shared" si="4"/>
        <v>0</v>
      </c>
      <c r="BI63" s="295"/>
      <c r="BJ63" s="96">
        <f>IF(BC63=0,"",('All Data'!Z63-'DCDC Ref'!$J$28*('DCDC Ref'!$J$29/100))/'DCDC Ref'!$J$28*('DCDC Ref'!$J$29/100)*100)</f>
        <v>109.79310344827582</v>
      </c>
      <c r="BK63" s="361">
        <f t="shared" si="5"/>
        <v>109.79310344827582</v>
      </c>
      <c r="BL63" s="361"/>
      <c r="BM63" s="361"/>
      <c r="BN63" s="361"/>
      <c r="BO63" s="361"/>
      <c r="BP63" s="96"/>
      <c r="BQ63" s="298">
        <f t="shared" si="6"/>
        <v>2111537.9765062518</v>
      </c>
      <c r="BR63" s="298">
        <f>IF(BQ63="","",RANK(BQ63,BQ$11:BQ$9930,1)+COUNTIF(BQ$11:BQ63,BQ63)-1)</f>
        <v>66</v>
      </c>
      <c r="BS63" s="299">
        <f t="shared" si="9"/>
        <v>66</v>
      </c>
      <c r="BT63" s="96" t="str">
        <f>IFERROR(INDEX($O$11:$O$1013,MATCH(ROWS($BS$11:BS63),$BS$11:$BS$1005,0)),"")</f>
        <v>ETQP5M2R5YFC</v>
      </c>
      <c r="BU63" s="299" t="str">
        <f t="shared" si="7"/>
        <v>ETQP5M2R5YFC</v>
      </c>
      <c r="BV63" s="96"/>
    </row>
    <row r="64" spans="1:74">
      <c r="A64" s="95">
        <v>11</v>
      </c>
      <c r="B64" s="259" t="s">
        <v>584</v>
      </c>
      <c r="C64" s="95"/>
      <c r="D64" s="95" t="s">
        <v>585</v>
      </c>
      <c r="E64" s="110"/>
      <c r="F64" s="68" t="s">
        <v>153</v>
      </c>
      <c r="G64" s="69" t="s">
        <v>586</v>
      </c>
      <c r="H64" s="68" t="s">
        <v>587</v>
      </c>
      <c r="I64" s="69" t="s">
        <v>588</v>
      </c>
      <c r="J64" s="68" t="s">
        <v>589</v>
      </c>
      <c r="K64" s="68" t="s">
        <v>590</v>
      </c>
      <c r="L64" s="68" t="s">
        <v>667</v>
      </c>
      <c r="M64" s="68" t="s">
        <v>668</v>
      </c>
      <c r="N64" s="68" t="s">
        <v>22</v>
      </c>
      <c r="O64" s="34" t="s">
        <v>73</v>
      </c>
      <c r="P64" s="37" t="str">
        <f>MID(All_PCC_a[[#This Row],[Part Number]],7,3)</f>
        <v>4R7</v>
      </c>
      <c r="Q64" s="90">
        <v>4.7</v>
      </c>
      <c r="R64" s="87" t="str">
        <f>IF(All_PCC_a[[#This Row],[Lo (uH)]]&lt;1,"&lt;1",IF(All_PCC_a[[#This Row],[Lo (uH)]]&lt;10,"&lt;10",IF(All_PCC_a[[#This Row],[Lo (uH)]]&lt;100,"&lt;100",IF(All_PCC_a[[#This Row],[Lo (uH)]]&lt;2000,"&lt;2000",""))))</f>
        <v>&lt;10</v>
      </c>
      <c r="S64" s="87" t="str">
        <f>IFERROR(VLOOKUP(All_PCC_a[[#This Row],[Lo (uH)]],Utility!$D$5:$E$43,2,1),"-")</f>
        <v>≤   5</v>
      </c>
      <c r="T64" s="88">
        <v>0.2</v>
      </c>
      <c r="U64" s="125">
        <v>36</v>
      </c>
      <c r="V64" s="125">
        <v>39.6</v>
      </c>
      <c r="W64" s="87">
        <v>10</v>
      </c>
      <c r="X64" s="87">
        <v>4.8</v>
      </c>
      <c r="Y64" s="87">
        <v>4</v>
      </c>
      <c r="Z64" s="117">
        <v>7.7</v>
      </c>
      <c r="AA64" s="87">
        <v>5.6</v>
      </c>
      <c r="AB64" s="68">
        <v>5.5</v>
      </c>
      <c r="AC64" s="68">
        <v>5</v>
      </c>
      <c r="AD64" s="87">
        <v>4</v>
      </c>
      <c r="AE64" s="68">
        <f>ROUND(All_PCC_a[[#This Row],[L (mm)]]*All_PCC_a[[#This Row],[W (mm)]],1)</f>
        <v>27.5</v>
      </c>
      <c r="AF64" s="87" t="str">
        <f>All_PCC_a[[#This Row],[L (mm)]]&amp;"  x  "&amp;All_PCC_a[[#This Row],[W (mm)]]</f>
        <v>5.5  x  5</v>
      </c>
      <c r="AG64" s="91" t="s">
        <v>605</v>
      </c>
      <c r="AH64" s="87" t="str">
        <f>IF(All_PCC_a[[#This Row],[Max Height (mm)]]&lt;=9,"≤ "&amp;ROUNDUP(AD64,0),"≤"&amp;ROUNDUP(AD64,0))</f>
        <v>≤ 4</v>
      </c>
      <c r="AI64" s="72">
        <v>-40</v>
      </c>
      <c r="AJ64" s="72">
        <v>150</v>
      </c>
      <c r="AK64" s="68" t="str">
        <f>All_PCC_a[[#This Row],[Min Temp (deg.C)]]&amp;" to +"&amp;All_PCC_a[[#This Row],[Max Temp (deg.C)]]</f>
        <v>-40 to +150</v>
      </c>
      <c r="AL64" s="68"/>
      <c r="AO64" s="87" t="s">
        <v>124</v>
      </c>
      <c r="AP64" s="87" t="str">
        <f t="shared" si="10"/>
        <v>-</v>
      </c>
      <c r="AQ64" s="88" t="s">
        <v>138</v>
      </c>
      <c r="AR64" s="87" t="s">
        <v>138</v>
      </c>
      <c r="AS64" s="68" t="s">
        <v>931</v>
      </c>
      <c r="AT64" s="68" t="s">
        <v>594</v>
      </c>
      <c r="AU64" s="96" t="e" vm="7">
        <f>_xlfn.IMAGE(All_PCC_a[[#This Row],[Image URL]])</f>
        <v>#VALUE!</v>
      </c>
      <c r="AW64" s="68"/>
      <c r="AY64" s="68"/>
      <c r="BC64" s="96">
        <f>IF(Z64&lt;('DCDC Ref'!$J$24/'DCDC Ref'!$J$26)*'DCDC Ref'!$J$28/100,0,1)</f>
        <v>1</v>
      </c>
      <c r="BD64" s="360">
        <f>IF(BC64=1000000000,"",('All Data'!Q64-'DCDC Ref'!$J$30)/'DCDC Ref'!$J$30*100)</f>
        <v>643.73626373626371</v>
      </c>
      <c r="BE64" s="295">
        <f t="shared" si="3"/>
        <v>643.73626373626371</v>
      </c>
      <c r="BF64" s="295"/>
      <c r="BG64" s="360"/>
      <c r="BH64" s="361">
        <f t="shared" si="4"/>
        <v>0</v>
      </c>
      <c r="BI64" s="295"/>
      <c r="BJ64" s="96">
        <f>IF(BC64=0,"",('All Data'!Z64-'DCDC Ref'!$J$28*('DCDC Ref'!$J$29/100))/'DCDC Ref'!$J$28*('DCDC Ref'!$J$29/100)*100)</f>
        <v>-30.965517241379313</v>
      </c>
      <c r="BK64" s="361">
        <f t="shared" si="5"/>
        <v>10000</v>
      </c>
      <c r="BL64" s="361"/>
      <c r="BM64" s="361"/>
      <c r="BN64" s="361"/>
      <c r="BO64" s="361"/>
      <c r="BP64" s="96"/>
      <c r="BQ64" s="298">
        <f t="shared" si="6"/>
        <v>3268681.3186813183</v>
      </c>
      <c r="BR64" s="298">
        <f>IF(BQ64="","",RANK(BQ64,BQ$11:BQ$9930,1)+COUNTIF(BQ$11:BQ64,BQ64)-1)</f>
        <v>79</v>
      </c>
      <c r="BS64" s="299">
        <f t="shared" si="9"/>
        <v>79</v>
      </c>
      <c r="BT64" s="96" t="str">
        <f>IFERROR(INDEX($O$11:$O$1013,MATCH(ROWS($BS$11:BS64),$BS$11:$BS$1005,0)),"")</f>
        <v>ETQP5M2R5YTC</v>
      </c>
      <c r="BU64" s="299" t="str">
        <f t="shared" si="7"/>
        <v>ETQP5M2R5YTC</v>
      </c>
      <c r="BV64" s="96"/>
    </row>
    <row r="65" spans="1:74" ht="15">
      <c r="A65" s="95">
        <v>16</v>
      </c>
      <c r="B65" s="259" t="s">
        <v>584</v>
      </c>
      <c r="C65" s="95"/>
      <c r="D65" s="95" t="s">
        <v>585</v>
      </c>
      <c r="E65" s="110"/>
      <c r="F65" s="68" t="s">
        <v>153</v>
      </c>
      <c r="G65" s="69" t="s">
        <v>586</v>
      </c>
      <c r="H65" s="68" t="s">
        <v>587</v>
      </c>
      <c r="I65" s="69" t="s">
        <v>588</v>
      </c>
      <c r="J65" s="68" t="s">
        <v>589</v>
      </c>
      <c r="K65" s="68" t="s">
        <v>590</v>
      </c>
      <c r="L65" s="68" t="s">
        <v>631</v>
      </c>
      <c r="M65" s="68" t="s">
        <v>632</v>
      </c>
      <c r="N65" s="68" t="s">
        <v>22</v>
      </c>
      <c r="O65" s="34" t="s">
        <v>74</v>
      </c>
      <c r="P65" s="37" t="str">
        <f>MID(All_PCC_a[[#This Row],[Part Number]],7,3)</f>
        <v>4R7</v>
      </c>
      <c r="Q65" s="87">
        <v>4.7</v>
      </c>
      <c r="R65" s="87" t="str">
        <f>IF(All_PCC_a[[#This Row],[Lo (uH)]]&lt;1,"&lt;1",IF(All_PCC_a[[#This Row],[Lo (uH)]]&lt;10,"&lt;10",IF(All_PCC_a[[#This Row],[Lo (uH)]]&lt;100,"&lt;100",IF(All_PCC_a[[#This Row],[Lo (uH)]]&lt;2000,"&lt;2000",""))))</f>
        <v>&lt;10</v>
      </c>
      <c r="S65" s="87" t="str">
        <f>IFERROR(VLOOKUP(All_PCC_a[[#This Row],[Lo (uH)]],Utility!$D$5:$E$43,2,1),"-")</f>
        <v>≤   5</v>
      </c>
      <c r="T65" s="88">
        <v>0.2</v>
      </c>
      <c r="U65" s="126">
        <v>10.199999999999999</v>
      </c>
      <c r="V65" s="249">
        <v>11.3</v>
      </c>
      <c r="W65" s="87">
        <v>10</v>
      </c>
      <c r="X65" s="87">
        <v>13.1</v>
      </c>
      <c r="Y65" s="87">
        <v>10.9</v>
      </c>
      <c r="Z65" s="117">
        <v>20</v>
      </c>
      <c r="AA65" s="87">
        <v>14.75</v>
      </c>
      <c r="AB65" s="68">
        <v>10.7</v>
      </c>
      <c r="AC65" s="68">
        <v>10</v>
      </c>
      <c r="AD65" s="87">
        <v>5.4</v>
      </c>
      <c r="AE65" s="68">
        <f>ROUND(All_PCC_a[[#This Row],[L (mm)]]*All_PCC_a[[#This Row],[W (mm)]],1)</f>
        <v>107</v>
      </c>
      <c r="AF65" s="87" t="str">
        <f>All_PCC_a[[#This Row],[L (mm)]]&amp;"  x  "&amp;All_PCC_a[[#This Row],[W (mm)]]</f>
        <v>10.7  x  10</v>
      </c>
      <c r="AG65" s="89" t="s">
        <v>324</v>
      </c>
      <c r="AH65" s="87" t="str">
        <f>IF(All_PCC_a[[#This Row],[Max Height (mm)]]&lt;=9,"≤ "&amp;ROUNDUP(AD65,0),"≤"&amp;ROUNDUP(AD65,0))</f>
        <v>≤ 6</v>
      </c>
      <c r="AI65" s="72">
        <v>-40</v>
      </c>
      <c r="AJ65" s="72">
        <v>150</v>
      </c>
      <c r="AK65" s="68" t="str">
        <f>All_PCC_a[[#This Row],[Min Temp (deg.C)]]&amp;" to +"&amp;All_PCC_a[[#This Row],[Max Temp (deg.C)]]</f>
        <v>-40 to +150</v>
      </c>
      <c r="AL65" s="68"/>
      <c r="AO65" s="87" t="s">
        <v>124</v>
      </c>
      <c r="AP65" s="87" t="str">
        <f t="shared" si="10"/>
        <v>-</v>
      </c>
      <c r="AQ65" s="87" t="s">
        <v>138</v>
      </c>
      <c r="AR65" s="87" t="s">
        <v>138</v>
      </c>
      <c r="AS65" s="68" t="s">
        <v>932</v>
      </c>
      <c r="AT65" s="68" t="s">
        <v>594</v>
      </c>
      <c r="AU65" s="96" t="e" vm="7">
        <f>_xlfn.IMAGE(All_PCC_a[[#This Row],[Image URL]])</f>
        <v>#VALUE!</v>
      </c>
      <c r="AW65" s="68"/>
      <c r="AY65" s="68"/>
      <c r="BC65" s="96">
        <f>IF(Z65&lt;('DCDC Ref'!$J$24/'DCDC Ref'!$J$26)*'DCDC Ref'!$J$28/100,0,1)</f>
        <v>1</v>
      </c>
      <c r="BD65" s="360">
        <f>IF(BC65=1000000000,"",('All Data'!Q65-'DCDC Ref'!$J$30)/'DCDC Ref'!$J$30*100)</f>
        <v>643.73626373626371</v>
      </c>
      <c r="BE65" s="295">
        <f t="shared" si="3"/>
        <v>643.73626373626371</v>
      </c>
      <c r="BF65" s="295"/>
      <c r="BG65" s="360"/>
      <c r="BH65" s="361">
        <f t="shared" si="4"/>
        <v>0</v>
      </c>
      <c r="BI65" s="295"/>
      <c r="BJ65" s="96">
        <f>IF(BC65=0,"",('All Data'!Z65-'DCDC Ref'!$J$28*('DCDC Ref'!$J$29/100))/'DCDC Ref'!$J$28*('DCDC Ref'!$J$29/100)*100)</f>
        <v>79.310344827586192</v>
      </c>
      <c r="BK65" s="361">
        <f t="shared" si="5"/>
        <v>79.310344827586192</v>
      </c>
      <c r="BL65" s="361"/>
      <c r="BM65" s="361"/>
      <c r="BN65" s="361"/>
      <c r="BO65" s="361"/>
      <c r="BP65" s="96"/>
      <c r="BQ65" s="298">
        <f t="shared" si="6"/>
        <v>3219077.8704054561</v>
      </c>
      <c r="BR65" s="298">
        <f>IF(BQ65="","",RANK(BQ65,BQ$11:BQ$9930,1)+COUNTIF(BQ$11:BQ65,BQ65)-1)</f>
        <v>75</v>
      </c>
      <c r="BS65" s="299">
        <f t="shared" si="9"/>
        <v>75</v>
      </c>
      <c r="BT65" s="96" t="str">
        <f>IFERROR(INDEX($O$11:$O$1013,MATCH(ROWS($BS$11:BS65),$BS$11:$BS$1005,0)),"")</f>
        <v>ETQP8M2R5JFA</v>
      </c>
      <c r="BU65" s="299" t="str">
        <f t="shared" si="7"/>
        <v>ETQP8M2R5JFA</v>
      </c>
      <c r="BV65" s="96"/>
    </row>
    <row r="66" spans="1:74" ht="15">
      <c r="A66" s="95">
        <v>30</v>
      </c>
      <c r="B66" s="259" t="s">
        <v>584</v>
      </c>
      <c r="C66" s="95"/>
      <c r="D66" s="95" t="s">
        <v>585</v>
      </c>
      <c r="E66" s="110"/>
      <c r="F66" s="68" t="s">
        <v>153</v>
      </c>
      <c r="G66" s="154" t="s">
        <v>586</v>
      </c>
      <c r="H66" s="96" t="s">
        <v>587</v>
      </c>
      <c r="I66" s="154" t="s">
        <v>588</v>
      </c>
      <c r="J66" s="96" t="s">
        <v>589</v>
      </c>
      <c r="K66" s="96" t="s">
        <v>590</v>
      </c>
      <c r="L66" s="96" t="s">
        <v>658</v>
      </c>
      <c r="M66" s="96" t="s">
        <v>669</v>
      </c>
      <c r="N66" s="96" t="s">
        <v>22</v>
      </c>
      <c r="O66" s="102" t="s">
        <v>75</v>
      </c>
      <c r="P66" s="37" t="str">
        <f>MID(All_PCC_a[[#This Row],[Part Number]],7,3)</f>
        <v>4R7</v>
      </c>
      <c r="Q66" s="97">
        <v>4.7</v>
      </c>
      <c r="R66" s="87" t="str">
        <f>IF(All_PCC_a[[#This Row],[Lo (uH)]]&lt;1,"&lt;1",IF(All_PCC_a[[#This Row],[Lo (uH)]]&lt;10,"&lt;10",IF(All_PCC_a[[#This Row],[Lo (uH)]]&lt;100,"&lt;100",IF(All_PCC_a[[#This Row],[Lo (uH)]]&lt;2000,"&lt;2000",""))))</f>
        <v>&lt;10</v>
      </c>
      <c r="S66" s="87" t="str">
        <f>IFERROR(VLOOKUP(All_PCC_a[[#This Row],[Lo (uH)]],Utility!$D$5:$E$43,2,1),"-")</f>
        <v>≤   5</v>
      </c>
      <c r="T66" s="98">
        <v>0.2</v>
      </c>
      <c r="U66" s="124">
        <v>20.399999999999999</v>
      </c>
      <c r="V66" s="124">
        <v>22.5</v>
      </c>
      <c r="W66" s="97">
        <v>10</v>
      </c>
      <c r="X66" s="87">
        <v>8</v>
      </c>
      <c r="Y66" s="103">
        <v>6.3</v>
      </c>
      <c r="Z66" s="119">
        <v>13.1</v>
      </c>
      <c r="AA66" s="87">
        <v>9.4499999999999993</v>
      </c>
      <c r="AB66" s="96">
        <v>7.5</v>
      </c>
      <c r="AC66" s="96">
        <v>7</v>
      </c>
      <c r="AD66" s="97">
        <v>5.4</v>
      </c>
      <c r="AE66" s="96">
        <f>ROUND(All_PCC_a[[#This Row],[L (mm)]]*All_PCC_a[[#This Row],[W (mm)]],1)</f>
        <v>52.5</v>
      </c>
      <c r="AF66" s="87" t="str">
        <f>All_PCC_a[[#This Row],[L (mm)]]&amp;"  x  "&amp;All_PCC_a[[#This Row],[W (mm)]]</f>
        <v>7.5  x  7</v>
      </c>
      <c r="AG66" s="319" t="s">
        <v>661</v>
      </c>
      <c r="AH66" s="97" t="str">
        <f>IF(All_PCC_a[[#This Row],[Max Height (mm)]]&lt;=9,"≤ "&amp;ROUNDUP(AD66,0),"≤"&amp;ROUNDUP(AD66,0))</f>
        <v>≤ 6</v>
      </c>
      <c r="AI66" s="100">
        <v>-40</v>
      </c>
      <c r="AJ66" s="100">
        <v>150</v>
      </c>
      <c r="AK66" s="68" t="str">
        <f>All_PCC_a[[#This Row],[Min Temp (deg.C)]]&amp;" to +"&amp;All_PCC_a[[#This Row],[Max Temp (deg.C)]]</f>
        <v>-40 to +150</v>
      </c>
      <c r="AL66" s="96"/>
      <c r="AM66" s="96"/>
      <c r="AN66" s="96"/>
      <c r="AO66" s="97" t="s">
        <v>124</v>
      </c>
      <c r="AP66" s="97" t="str">
        <f t="shared" si="10"/>
        <v>-</v>
      </c>
      <c r="AQ66" s="97" t="s">
        <v>138</v>
      </c>
      <c r="AR66" s="87" t="s">
        <v>138</v>
      </c>
      <c r="AS66" s="68" t="s">
        <v>933</v>
      </c>
      <c r="AT66" s="96" t="s">
        <v>594</v>
      </c>
      <c r="AU66" s="96" t="e" vm="7">
        <f>_xlfn.IMAGE(All_PCC_a[[#This Row],[Image URL]])</f>
        <v>#VALUE!</v>
      </c>
      <c r="AV66" s="96"/>
      <c r="AW66" s="96"/>
      <c r="AY66" s="68"/>
      <c r="BC66" s="96">
        <f>IF(Z66&lt;('DCDC Ref'!$J$24/'DCDC Ref'!$J$26)*'DCDC Ref'!$J$28/100,0,1)</f>
        <v>1</v>
      </c>
      <c r="BD66" s="360">
        <f>IF(BC66=1000000000,"",('All Data'!Q66-'DCDC Ref'!$J$30)/'DCDC Ref'!$J$30*100)</f>
        <v>643.73626373626371</v>
      </c>
      <c r="BE66" s="295">
        <f t="shared" si="3"/>
        <v>643.73626373626371</v>
      </c>
      <c r="BF66" s="295"/>
      <c r="BG66" s="360"/>
      <c r="BH66" s="361">
        <f t="shared" si="4"/>
        <v>0</v>
      </c>
      <c r="BI66" s="295"/>
      <c r="BJ66" s="96">
        <f>IF(BC66=0,"",('All Data'!Z66-'DCDC Ref'!$J$28*('DCDC Ref'!$J$29/100))/'DCDC Ref'!$J$28*('DCDC Ref'!$J$29/100)*100)</f>
        <v>17.44827586206895</v>
      </c>
      <c r="BK66" s="361">
        <f t="shared" si="5"/>
        <v>17.44827586206895</v>
      </c>
      <c r="BL66" s="361"/>
      <c r="BM66" s="361"/>
      <c r="BN66" s="361"/>
      <c r="BO66" s="361"/>
      <c r="BP66" s="96"/>
      <c r="BQ66" s="298">
        <f t="shared" si="6"/>
        <v>3218768.5600606287</v>
      </c>
      <c r="BR66" s="298">
        <f>IF(BQ66="","",RANK(BQ66,BQ$11:BQ$9930,1)+COUNTIF(BQ$11:BQ66,BQ66)-1)</f>
        <v>72</v>
      </c>
      <c r="BS66" s="299">
        <f t="shared" si="9"/>
        <v>72</v>
      </c>
      <c r="BT66" s="96" t="str">
        <f>IFERROR(INDEX($O$11:$O$1013,MATCH(ROWS($BS$11:BS66),$BS$11:$BS$1005,0)),"")</f>
        <v>ETQPAM2R5JFW</v>
      </c>
      <c r="BU66" s="299" t="str">
        <f t="shared" si="7"/>
        <v>ETQPAM2R5JFW</v>
      </c>
      <c r="BV66" s="96"/>
    </row>
    <row r="67" spans="1:74" ht="15">
      <c r="A67" s="95">
        <v>44</v>
      </c>
      <c r="B67" s="259" t="s">
        <v>584</v>
      </c>
      <c r="C67" s="95"/>
      <c r="D67" s="95" t="s">
        <v>585</v>
      </c>
      <c r="E67" s="109"/>
      <c r="F67" s="68" t="s">
        <v>153</v>
      </c>
      <c r="G67" s="69" t="s">
        <v>586</v>
      </c>
      <c r="H67" s="68" t="s">
        <v>587</v>
      </c>
      <c r="I67" s="69" t="s">
        <v>588</v>
      </c>
      <c r="J67" s="68" t="s">
        <v>589</v>
      </c>
      <c r="K67" s="68" t="s">
        <v>590</v>
      </c>
      <c r="L67" s="68" t="s">
        <v>633</v>
      </c>
      <c r="M67" s="68" t="s">
        <v>634</v>
      </c>
      <c r="N67" s="68" t="s">
        <v>593</v>
      </c>
      <c r="O67" s="34" t="s">
        <v>76</v>
      </c>
      <c r="P67" s="37" t="str">
        <f>MID(All_PCC_a[[#This Row],[Part Number]],7,3)</f>
        <v>4R7</v>
      </c>
      <c r="Q67" s="87">
        <v>4.7</v>
      </c>
      <c r="R67" s="87" t="str">
        <f>IF(All_PCC_a[[#This Row],[Lo (uH)]]&lt;1,"&lt;1",IF(All_PCC_a[[#This Row],[Lo (uH)]]&lt;10,"&lt;10",IF(All_PCC_a[[#This Row],[Lo (uH)]]&lt;100,"&lt;100",IF(All_PCC_a[[#This Row],[Lo (uH)]]&lt;2000,"&lt;2000",""))))</f>
        <v>&lt;10</v>
      </c>
      <c r="S67" s="87" t="str">
        <f>IFERROR(VLOOKUP(All_PCC_a[[#This Row],[Lo (uH)]],Utility!$D$5:$E$43,2,1),"-")</f>
        <v>≤   5</v>
      </c>
      <c r="T67" s="88">
        <v>0.2</v>
      </c>
      <c r="U67" s="126">
        <v>8.6999999999999993</v>
      </c>
      <c r="V67" s="126">
        <v>9.57</v>
      </c>
      <c r="W67" s="87">
        <v>10</v>
      </c>
      <c r="X67" s="87">
        <v>14.1</v>
      </c>
      <c r="Y67" s="87">
        <v>11.8</v>
      </c>
      <c r="Z67" s="117">
        <v>22.5</v>
      </c>
      <c r="AA67" s="87">
        <v>15.17</v>
      </c>
      <c r="AB67" s="68">
        <v>10.9</v>
      </c>
      <c r="AC67" s="68">
        <v>10</v>
      </c>
      <c r="AD67" s="87">
        <v>6</v>
      </c>
      <c r="AE67" s="68">
        <f>ROUND(All_PCC_a[[#This Row],[L (mm)]]*All_PCC_a[[#This Row],[W (mm)]],1)</f>
        <v>109</v>
      </c>
      <c r="AF67" s="87" t="str">
        <f>All_PCC_a[[#This Row],[L (mm)]]&amp;"  x  "&amp;All_PCC_a[[#This Row],[W (mm)]]</f>
        <v>10.9  x  10</v>
      </c>
      <c r="AG67" s="91" t="s">
        <v>324</v>
      </c>
      <c r="AH67" s="97" t="str">
        <f>IF(All_PCC_a[[#This Row],[Max Height (mm)]]&lt;=9,"≤ "&amp;ROUNDUP(AD67,0),"≤"&amp;ROUNDUP(AD67,0))</f>
        <v>≤ 6</v>
      </c>
      <c r="AI67" s="68">
        <v>-40</v>
      </c>
      <c r="AJ67" s="68">
        <v>150</v>
      </c>
      <c r="AK67" s="68" t="str">
        <f>All_PCC_a[[#This Row],[Min Temp (deg.C)]]&amp;" to +"&amp;All_PCC_a[[#This Row],[Max Temp (deg.C)]]</f>
        <v>-40 to +150</v>
      </c>
      <c r="AL67" s="68"/>
      <c r="AO67" s="87" t="s">
        <v>138</v>
      </c>
      <c r="AP67" s="97" t="str">
        <f t="shared" si="10"/>
        <v>-</v>
      </c>
      <c r="AQ67" s="87" t="s">
        <v>138</v>
      </c>
      <c r="AR67" s="87" t="s">
        <v>138</v>
      </c>
      <c r="AS67" s="68" t="s">
        <v>934</v>
      </c>
      <c r="AT67" s="68" t="s">
        <v>594</v>
      </c>
      <c r="AU67" s="96" t="e" vm="7">
        <f>_xlfn.IMAGE(All_PCC_a[[#This Row],[Image URL]])</f>
        <v>#VALUE!</v>
      </c>
      <c r="AW67" s="68"/>
      <c r="AY67" s="68"/>
      <c r="BC67" s="96">
        <f>IF(Z67&lt;('DCDC Ref'!$J$24/'DCDC Ref'!$J$26)*'DCDC Ref'!$J$28/100,0,1)</f>
        <v>1</v>
      </c>
      <c r="BD67" s="360">
        <f>IF(BC67=1000000000,"",('All Data'!Q67-'DCDC Ref'!$J$30)/'DCDC Ref'!$J$30*100)</f>
        <v>643.73626373626371</v>
      </c>
      <c r="BE67" s="295">
        <f t="shared" si="3"/>
        <v>643.73626373626371</v>
      </c>
      <c r="BF67" s="295"/>
      <c r="BG67" s="360"/>
      <c r="BH67" s="361">
        <f t="shared" si="4"/>
        <v>0</v>
      </c>
      <c r="BI67" s="295"/>
      <c r="BJ67" s="96">
        <f>IF(BC67=0,"",('All Data'!Z67-'DCDC Ref'!$J$28*('DCDC Ref'!$J$29/100))/'DCDC Ref'!$J$28*('DCDC Ref'!$J$29/100)*100)</f>
        <v>101.72413793103445</v>
      </c>
      <c r="BK67" s="361">
        <f t="shared" si="5"/>
        <v>101.72413793103445</v>
      </c>
      <c r="BL67" s="361"/>
      <c r="BM67" s="361"/>
      <c r="BN67" s="361"/>
      <c r="BO67" s="361"/>
      <c r="BP67" s="96"/>
      <c r="BQ67" s="298">
        <f t="shared" si="6"/>
        <v>3219189.9393709735</v>
      </c>
      <c r="BR67" s="298">
        <f>IF(BQ67="","",RANK(BQ67,BQ$11:BQ$9930,1)+COUNTIF(BQ$11:BQ67,BQ67)-1)</f>
        <v>76</v>
      </c>
      <c r="BS67" s="299">
        <f t="shared" si="9"/>
        <v>76</v>
      </c>
      <c r="BT67" s="96" t="str">
        <f>IFERROR(INDEX($O$11:$O$1013,MATCH(ROWS($BS$11:BS67),$BS$11:$BS$1005,0)),"")</f>
        <v>ETQP3M3R3KVN</v>
      </c>
      <c r="BU67" s="299" t="str">
        <f t="shared" si="7"/>
        <v>ETQP3M3R3KVN</v>
      </c>
      <c r="BV67" s="96"/>
    </row>
    <row r="68" spans="1:74" ht="15">
      <c r="A68" s="95">
        <v>51</v>
      </c>
      <c r="B68" s="259" t="s">
        <v>584</v>
      </c>
      <c r="C68" s="95"/>
      <c r="D68" s="95" t="s">
        <v>585</v>
      </c>
      <c r="E68" s="109"/>
      <c r="F68" s="68" t="s">
        <v>153</v>
      </c>
      <c r="G68" s="69" t="s">
        <v>586</v>
      </c>
      <c r="H68" s="68" t="s">
        <v>587</v>
      </c>
      <c r="I68" s="69" t="s">
        <v>588</v>
      </c>
      <c r="J68" s="68" t="s">
        <v>589</v>
      </c>
      <c r="K68" s="68" t="s">
        <v>596</v>
      </c>
      <c r="L68" s="68" t="s">
        <v>597</v>
      </c>
      <c r="M68" s="68" t="s">
        <v>598</v>
      </c>
      <c r="N68" s="68" t="s">
        <v>593</v>
      </c>
      <c r="O68" s="34" t="s">
        <v>77</v>
      </c>
      <c r="P68" s="37" t="str">
        <f>MID(All_PCC_a[[#This Row],[Part Number]],7,3)</f>
        <v>4R7</v>
      </c>
      <c r="Q68" s="87">
        <v>4.7</v>
      </c>
      <c r="R68" s="87" t="str">
        <f>IF(All_PCC_a[[#This Row],[Lo (uH)]]&lt;1,"&lt;1",IF(All_PCC_a[[#This Row],[Lo (uH)]]&lt;10,"&lt;10",IF(All_PCC_a[[#This Row],[Lo (uH)]]&lt;100,"&lt;100",IF(All_PCC_a[[#This Row],[Lo (uH)]]&lt;2000,"&lt;2000",""))))</f>
        <v>&lt;10</v>
      </c>
      <c r="S68" s="87" t="str">
        <f>IFERROR(VLOOKUP(All_PCC_a[[#This Row],[Lo (uH)]],Utility!$D$5:$E$43,2,1),"-")</f>
        <v>≤   5</v>
      </c>
      <c r="T68" s="88">
        <v>0.2</v>
      </c>
      <c r="U68" s="126">
        <v>4.9000000000000004</v>
      </c>
      <c r="V68" s="126">
        <v>5.39</v>
      </c>
      <c r="W68" s="87">
        <v>10</v>
      </c>
      <c r="X68" s="87">
        <v>20.2</v>
      </c>
      <c r="Y68" s="87">
        <v>16.8</v>
      </c>
      <c r="Z68" s="117">
        <v>24.7</v>
      </c>
      <c r="AA68" s="87">
        <f>ROUND(17.6035242290749,2)</f>
        <v>17.600000000000001</v>
      </c>
      <c r="AB68" s="68">
        <v>12.6</v>
      </c>
      <c r="AC68" s="68">
        <v>13.1</v>
      </c>
      <c r="AD68" s="87">
        <v>8</v>
      </c>
      <c r="AE68" s="68">
        <f>ROUND(All_PCC_a[[#This Row],[L (mm)]]*All_PCC_a[[#This Row],[W (mm)]],1)</f>
        <v>165.1</v>
      </c>
      <c r="AF68" s="87" t="str">
        <f>All_PCC_a[[#This Row],[L (mm)]]&amp;"  x  "&amp;All_PCC_a[[#This Row],[W (mm)]]</f>
        <v>12.6  x  13.1</v>
      </c>
      <c r="AG68" s="91" t="s">
        <v>341</v>
      </c>
      <c r="AH68" s="97" t="str">
        <f>IF(All_PCC_a[[#This Row],[Max Height (mm)]]&lt;=9,"≤ "&amp;ROUNDUP(AD68,0),"≤"&amp;ROUNDUP(AD68,0))</f>
        <v>≤ 8</v>
      </c>
      <c r="AI68" s="68">
        <v>-40</v>
      </c>
      <c r="AJ68" s="68">
        <v>160</v>
      </c>
      <c r="AK68" s="68" t="str">
        <f>All_PCC_a[[#This Row],[Min Temp (deg.C)]]&amp;" to +"&amp;All_PCC_a[[#This Row],[Max Temp (deg.C)]]</f>
        <v>-40 to +160</v>
      </c>
      <c r="AL68" s="68"/>
      <c r="AN68" s="68" t="s">
        <v>600</v>
      </c>
      <c r="AO68" s="87" t="s">
        <v>138</v>
      </c>
      <c r="AP68" s="97" t="str">
        <f t="shared" si="10"/>
        <v>-</v>
      </c>
      <c r="AQ68" s="87" t="s">
        <v>138</v>
      </c>
      <c r="AR68" s="87" t="s">
        <v>138</v>
      </c>
      <c r="AS68" s="68" t="s">
        <v>935</v>
      </c>
      <c r="AT68" s="68" t="s">
        <v>619</v>
      </c>
      <c r="AU68" s="96" t="e" vm="8">
        <f>_xlfn.IMAGE(All_PCC_a[[#This Row],[Image URL]])</f>
        <v>#VALUE!</v>
      </c>
      <c r="AW68" s="68"/>
      <c r="AY68" s="68"/>
      <c r="BC68" s="96">
        <f>IF(Z68&lt;('DCDC Ref'!$J$24/'DCDC Ref'!$J$26)*'DCDC Ref'!$J$28/100,0,1)</f>
        <v>1</v>
      </c>
      <c r="BD68" s="360">
        <f>IF(BC68=1000000000,"",('All Data'!Q68-'DCDC Ref'!$J$30)/'DCDC Ref'!$J$30*100)</f>
        <v>643.73626373626371</v>
      </c>
      <c r="BE68" s="295">
        <f t="shared" si="3"/>
        <v>643.73626373626371</v>
      </c>
      <c r="BF68" s="295"/>
      <c r="BG68" s="360"/>
      <c r="BH68" s="361">
        <f t="shared" si="4"/>
        <v>0</v>
      </c>
      <c r="BI68" s="295"/>
      <c r="BJ68" s="96">
        <f>IF(BC68=0,"",('All Data'!Z68-'DCDC Ref'!$J$28*('DCDC Ref'!$J$29/100))/'DCDC Ref'!$J$28*('DCDC Ref'!$J$29/100)*100)</f>
        <v>121.44827586206894</v>
      </c>
      <c r="BK68" s="361">
        <f t="shared" si="5"/>
        <v>121.44827586206894</v>
      </c>
      <c r="BL68" s="361"/>
      <c r="BM68" s="361"/>
      <c r="BN68" s="361"/>
      <c r="BO68" s="361"/>
      <c r="BP68" s="96"/>
      <c r="BQ68" s="298">
        <f t="shared" si="6"/>
        <v>3219288.5600606287</v>
      </c>
      <c r="BR68" s="298">
        <f>IF(BQ68="","",RANK(BQ68,BQ$11:BQ$9930,1)+COUNTIF(BQ$11:BQ68,BQ68)-1)</f>
        <v>77</v>
      </c>
      <c r="BS68" s="299">
        <f t="shared" si="9"/>
        <v>77</v>
      </c>
      <c r="BT68" s="96" t="str">
        <f>IFERROR(INDEX($O$11:$O$1013,MATCH(ROWS($BS$11:BS68),$BS$11:$BS$1005,0)),"")</f>
        <v>ETQP4M3R3KFN</v>
      </c>
      <c r="BU68" s="299" t="str">
        <f t="shared" si="7"/>
        <v>ETQP4M3R3KFN</v>
      </c>
      <c r="BV68" s="96"/>
    </row>
    <row r="69" spans="1:74" ht="15">
      <c r="A69" s="95">
        <v>54</v>
      </c>
      <c r="B69" s="259" t="s">
        <v>584</v>
      </c>
      <c r="C69" s="95"/>
      <c r="D69" s="95" t="s">
        <v>585</v>
      </c>
      <c r="E69" s="109"/>
      <c r="F69" s="68" t="s">
        <v>153</v>
      </c>
      <c r="G69" s="69" t="s">
        <v>586</v>
      </c>
      <c r="H69" s="68" t="s">
        <v>587</v>
      </c>
      <c r="I69" s="69" t="s">
        <v>588</v>
      </c>
      <c r="J69" s="68" t="s">
        <v>589</v>
      </c>
      <c r="K69" s="68" t="s">
        <v>601</v>
      </c>
      <c r="L69" s="68" t="s">
        <v>602</v>
      </c>
      <c r="M69" s="68" t="s">
        <v>603</v>
      </c>
      <c r="N69" s="68" t="s">
        <v>593</v>
      </c>
      <c r="O69" s="34" t="s">
        <v>78</v>
      </c>
      <c r="P69" s="37" t="str">
        <f>MID(All_PCC_a[[#This Row],[Part Number]],7,3)</f>
        <v>4R7</v>
      </c>
      <c r="Q69" s="87">
        <v>4.7</v>
      </c>
      <c r="R69" s="87" t="str">
        <f>IF(All_PCC_a[[#This Row],[Lo (uH)]]&lt;1,"&lt;1",IF(All_PCC_a[[#This Row],[Lo (uH)]]&lt;10,"&lt;10",IF(All_PCC_a[[#This Row],[Lo (uH)]]&lt;100,"&lt;100",IF(All_PCC_a[[#This Row],[Lo (uH)]]&lt;2000,"&lt;2000",""))))</f>
        <v>&lt;10</v>
      </c>
      <c r="S69" s="87" t="str">
        <f>IFERROR(VLOOKUP(All_PCC_a[[#This Row],[Lo (uH)]],Utility!$D$5:$E$43,2,1),"-")</f>
        <v>≤   5</v>
      </c>
      <c r="T69" s="88">
        <v>0.2</v>
      </c>
      <c r="U69" s="126">
        <v>45.6</v>
      </c>
      <c r="V69" s="126">
        <v>50.160000000000004</v>
      </c>
      <c r="W69" s="87">
        <v>10</v>
      </c>
      <c r="X69" s="87">
        <v>4.0999999999999996</v>
      </c>
      <c r="Y69" s="87">
        <v>3.4</v>
      </c>
      <c r="Z69" s="117">
        <v>6.7</v>
      </c>
      <c r="AA69" s="87">
        <v>5.4</v>
      </c>
      <c r="AB69" s="68">
        <v>5.5</v>
      </c>
      <c r="AC69" s="68">
        <v>5</v>
      </c>
      <c r="AD69" s="87">
        <v>3</v>
      </c>
      <c r="AE69" s="68">
        <f>ROUND(All_PCC_a[[#This Row],[L (mm)]]*All_PCC_a[[#This Row],[W (mm)]],1)</f>
        <v>27.5</v>
      </c>
      <c r="AF69" s="87" t="str">
        <f>All_PCC_a[[#This Row],[L (mm)]]&amp;"  x  "&amp;All_PCC_a[[#This Row],[W (mm)]]</f>
        <v>5.5  x  5</v>
      </c>
      <c r="AG69" s="91" t="s">
        <v>605</v>
      </c>
      <c r="AH69" s="97" t="str">
        <f>IF(All_PCC_a[[#This Row],[Max Height (mm)]]&lt;=9,"≤ "&amp;ROUNDUP(AD69,0),"≤"&amp;ROUNDUP(AD69,0))</f>
        <v>≤ 3</v>
      </c>
      <c r="AI69" s="68">
        <v>-55</v>
      </c>
      <c r="AJ69" s="68">
        <v>155</v>
      </c>
      <c r="AK69" s="68" t="str">
        <f>All_PCC_a[[#This Row],[Min Temp (deg.C)]]&amp;" to +"&amp;All_PCC_a[[#This Row],[Max Temp (deg.C)]]</f>
        <v>-55 to +155</v>
      </c>
      <c r="AL69" s="68"/>
      <c r="AO69" s="87" t="s">
        <v>138</v>
      </c>
      <c r="AP69" s="97" t="str">
        <f t="shared" si="10"/>
        <v>-</v>
      </c>
      <c r="AQ69" s="87" t="s">
        <v>138</v>
      </c>
      <c r="AR69" s="87" t="s">
        <v>138</v>
      </c>
      <c r="AS69" s="68" t="s">
        <v>936</v>
      </c>
      <c r="AT69" s="95" t="s">
        <v>606</v>
      </c>
      <c r="AU69" s="96" t="e" vm="9">
        <f>_xlfn.IMAGE(All_PCC_a[[#This Row],[Image URL]])</f>
        <v>#VALUE!</v>
      </c>
      <c r="AW69" s="68"/>
      <c r="AY69" s="68"/>
      <c r="BC69" s="96">
        <f>IF(Z69&lt;('DCDC Ref'!$J$24/'DCDC Ref'!$J$26)*'DCDC Ref'!$J$28/100,0,1)</f>
        <v>1</v>
      </c>
      <c r="BD69" s="360">
        <f>IF(BC69=1000000000,"",('All Data'!Q69-'DCDC Ref'!$J$30)/'DCDC Ref'!$J$30*100)</f>
        <v>643.73626373626371</v>
      </c>
      <c r="BE69" s="295">
        <f t="shared" si="3"/>
        <v>643.73626373626371</v>
      </c>
      <c r="BF69" s="295"/>
      <c r="BG69" s="360"/>
      <c r="BH69" s="361">
        <f t="shared" si="4"/>
        <v>0</v>
      </c>
      <c r="BI69" s="295"/>
      <c r="BJ69" s="96">
        <f>IF(BC69=0,"",('All Data'!Z69-'DCDC Ref'!$J$28*('DCDC Ref'!$J$29/100))/'DCDC Ref'!$J$28*('DCDC Ref'!$J$29/100)*100)</f>
        <v>-39.931034482758626</v>
      </c>
      <c r="BK69" s="361">
        <f t="shared" si="5"/>
        <v>10000</v>
      </c>
      <c r="BL69" s="361"/>
      <c r="BM69" s="361"/>
      <c r="BN69" s="361"/>
      <c r="BO69" s="361"/>
      <c r="BP69" s="96"/>
      <c r="BQ69" s="298">
        <f t="shared" si="6"/>
        <v>3268681.3186813183</v>
      </c>
      <c r="BR69" s="298">
        <f>IF(BQ69="","",RANK(BQ69,BQ$11:BQ$9930,1)+COUNTIF(BQ$11:BQ69,BQ69)-1)</f>
        <v>80</v>
      </c>
      <c r="BS69" s="299">
        <f t="shared" si="9"/>
        <v>80</v>
      </c>
      <c r="BT69" s="96" t="str">
        <f>IFERROR(INDEX($O$11:$O$1013,MATCH(ROWS($BS$11:BS69),$BS$11:$BS$1005,0)),"")</f>
        <v>ETQP4M3R3YFN</v>
      </c>
      <c r="BU69" s="299" t="str">
        <f t="shared" si="7"/>
        <v>ETQP4M3R3YFN</v>
      </c>
      <c r="BV69" s="96"/>
    </row>
    <row r="70" spans="1:74" ht="15">
      <c r="A70" s="95">
        <v>65</v>
      </c>
      <c r="B70" s="259" t="s">
        <v>584</v>
      </c>
      <c r="C70" s="95"/>
      <c r="D70" s="95" t="s">
        <v>585</v>
      </c>
      <c r="E70" s="109"/>
      <c r="F70" s="68" t="s">
        <v>153</v>
      </c>
      <c r="G70" s="69" t="s">
        <v>586</v>
      </c>
      <c r="H70" s="68" t="s">
        <v>587</v>
      </c>
      <c r="I70" s="69" t="s">
        <v>588</v>
      </c>
      <c r="J70" s="68" t="s">
        <v>589</v>
      </c>
      <c r="K70" s="68" t="s">
        <v>601</v>
      </c>
      <c r="L70" s="68" t="s">
        <v>620</v>
      </c>
      <c r="M70" s="68" t="s">
        <v>621</v>
      </c>
      <c r="N70" s="68" t="s">
        <v>593</v>
      </c>
      <c r="O70" s="34" t="s">
        <v>79</v>
      </c>
      <c r="P70" s="37" t="str">
        <f>MID(All_PCC_a[[#This Row],[Part Number]],7,3)</f>
        <v>4R7</v>
      </c>
      <c r="Q70" s="87">
        <v>4.7</v>
      </c>
      <c r="R70" s="87" t="str">
        <f>IF(All_PCC_a[[#This Row],[Lo (uH)]]&lt;1,"&lt;1",IF(All_PCC_a[[#This Row],[Lo (uH)]]&lt;10,"&lt;10",IF(All_PCC_a[[#This Row],[Lo (uH)]]&lt;100,"&lt;100",IF(All_PCC_a[[#This Row],[Lo (uH)]]&lt;2000,"&lt;2000",""))))</f>
        <v>&lt;10</v>
      </c>
      <c r="S70" s="87" t="str">
        <f>IFERROR(VLOOKUP(All_PCC_a[[#This Row],[Lo (uH)]],Utility!$D$5:$E$43,2,1),"-")</f>
        <v>≤   5</v>
      </c>
      <c r="T70" s="88">
        <v>0.2</v>
      </c>
      <c r="U70" s="126">
        <v>29</v>
      </c>
      <c r="V70" s="126">
        <v>31.900000000000002</v>
      </c>
      <c r="W70" s="87">
        <v>10</v>
      </c>
      <c r="X70" s="87">
        <v>5.6</v>
      </c>
      <c r="Y70" s="87">
        <v>4.5999999999999996</v>
      </c>
      <c r="Z70" s="117">
        <v>9.8000000000000007</v>
      </c>
      <c r="AA70" s="87">
        <v>7.19</v>
      </c>
      <c r="AB70" s="68">
        <v>6.4</v>
      </c>
      <c r="AC70" s="68">
        <v>6</v>
      </c>
      <c r="AD70" s="87">
        <v>3</v>
      </c>
      <c r="AE70" s="68">
        <f>ROUND(All_PCC_a[[#This Row],[L (mm)]]*All_PCC_a[[#This Row],[W (mm)]],1)</f>
        <v>38.4</v>
      </c>
      <c r="AF70" s="87" t="str">
        <f>All_PCC_a[[#This Row],[L (mm)]]&amp;"  x  "&amp;All_PCC_a[[#This Row],[W (mm)]]</f>
        <v>6.4  x  6</v>
      </c>
      <c r="AG70" s="91" t="s">
        <v>618</v>
      </c>
      <c r="AH70" s="97" t="str">
        <f>IF(All_PCC_a[[#This Row],[Max Height (mm)]]&lt;=9,"≤ "&amp;ROUNDUP(AD70,0),"≤"&amp;ROUNDUP(AD70,0))</f>
        <v>≤ 3</v>
      </c>
      <c r="AI70" s="68">
        <v>-55</v>
      </c>
      <c r="AJ70" s="68">
        <v>155</v>
      </c>
      <c r="AK70" s="68" t="str">
        <f>All_PCC_a[[#This Row],[Min Temp (deg.C)]]&amp;" to +"&amp;All_PCC_a[[#This Row],[Max Temp (deg.C)]]</f>
        <v>-55 to +155</v>
      </c>
      <c r="AL70" s="68"/>
      <c r="AO70" s="87" t="s">
        <v>138</v>
      </c>
      <c r="AP70" s="97" t="str">
        <f t="shared" si="10"/>
        <v>-</v>
      </c>
      <c r="AQ70" s="87" t="s">
        <v>138</v>
      </c>
      <c r="AR70" s="87" t="s">
        <v>138</v>
      </c>
      <c r="AS70" s="68" t="s">
        <v>937</v>
      </c>
      <c r="AT70" s="95" t="s">
        <v>606</v>
      </c>
      <c r="AU70" s="96" t="e" vm="9">
        <f>_xlfn.IMAGE(All_PCC_a[[#This Row],[Image URL]])</f>
        <v>#VALUE!</v>
      </c>
      <c r="AW70" s="68"/>
      <c r="AY70" s="68"/>
      <c r="BC70" s="96">
        <f>IF(Z70&lt;('DCDC Ref'!$J$24/'DCDC Ref'!$J$26)*'DCDC Ref'!$J$28/100,0,1)</f>
        <v>1</v>
      </c>
      <c r="BD70" s="360">
        <f>IF(BC70=1000000000,"",('All Data'!Q70-'DCDC Ref'!$J$30)/'DCDC Ref'!$J$30*100)</f>
        <v>643.73626373626371</v>
      </c>
      <c r="BE70" s="295">
        <f t="shared" si="3"/>
        <v>643.73626373626371</v>
      </c>
      <c r="BF70" s="295"/>
      <c r="BG70" s="360"/>
      <c r="BH70" s="361">
        <f t="shared" si="4"/>
        <v>0</v>
      </c>
      <c r="BI70" s="295"/>
      <c r="BJ70" s="96">
        <f>IF(BC70=0,"",('All Data'!Z70-'DCDC Ref'!$J$28*('DCDC Ref'!$J$29/100))/'DCDC Ref'!$J$28*('DCDC Ref'!$J$29/100)*100)</f>
        <v>-12.137931034482762</v>
      </c>
      <c r="BK70" s="361">
        <f t="shared" si="5"/>
        <v>10000</v>
      </c>
      <c r="BL70" s="361"/>
      <c r="BM70" s="361"/>
      <c r="BN70" s="361"/>
      <c r="BO70" s="361"/>
      <c r="BP70" s="96"/>
      <c r="BQ70" s="298">
        <f t="shared" si="6"/>
        <v>3268681.3186813183</v>
      </c>
      <c r="BR70" s="298">
        <f>IF(BQ70="","",RANK(BQ70,BQ$11:BQ$9930,1)+COUNTIF(BQ$11:BQ70,BQ70)-1)</f>
        <v>81</v>
      </c>
      <c r="BS70" s="299">
        <f t="shared" si="9"/>
        <v>81</v>
      </c>
      <c r="BT70" s="96" t="str">
        <f>IFERROR(INDEX($O$11:$O$1013,MATCH(ROWS($BS$11:BS70),$BS$11:$BS$1005,0)),"")</f>
        <v>ETQP5M3R3YFM</v>
      </c>
      <c r="BU70" s="299" t="str">
        <f t="shared" si="7"/>
        <v>ETQP5M3R3YFM</v>
      </c>
      <c r="BV70" s="96"/>
    </row>
    <row r="71" spans="1:74" ht="15">
      <c r="A71" s="95">
        <v>76</v>
      </c>
      <c r="B71" s="259" t="s">
        <v>584</v>
      </c>
      <c r="C71" s="95"/>
      <c r="D71" s="95" t="s">
        <v>585</v>
      </c>
      <c r="E71" s="109"/>
      <c r="F71" s="68" t="s">
        <v>153</v>
      </c>
      <c r="G71" s="69" t="s">
        <v>586</v>
      </c>
      <c r="H71" s="68" t="s">
        <v>587</v>
      </c>
      <c r="I71" s="69" t="s">
        <v>588</v>
      </c>
      <c r="J71" s="68" t="s">
        <v>589</v>
      </c>
      <c r="K71" s="68" t="s">
        <v>601</v>
      </c>
      <c r="L71" s="68" t="s">
        <v>622</v>
      </c>
      <c r="M71" s="68" t="s">
        <v>623</v>
      </c>
      <c r="N71" s="68" t="s">
        <v>593</v>
      </c>
      <c r="O71" s="34" t="s">
        <v>80</v>
      </c>
      <c r="P71" s="37" t="str">
        <f>MID(All_PCC_a[[#This Row],[Part Number]],7,3)</f>
        <v>4R7</v>
      </c>
      <c r="Q71" s="68">
        <v>4.7</v>
      </c>
      <c r="R71" s="87" t="str">
        <f>IF(All_PCC_a[[#This Row],[Lo (uH)]]&lt;1,"&lt;1",IF(All_PCC_a[[#This Row],[Lo (uH)]]&lt;10,"&lt;10",IF(All_PCC_a[[#This Row],[Lo (uH)]]&lt;100,"&lt;100",IF(All_PCC_a[[#This Row],[Lo (uH)]]&lt;2000,"&lt;2000",""))))</f>
        <v>&lt;10</v>
      </c>
      <c r="S71" s="87" t="str">
        <f>IFERROR(VLOOKUP(All_PCC_a[[#This Row],[Lo (uH)]],Utility!$D$5:$E$43,2,1),"-")</f>
        <v>≤   5</v>
      </c>
      <c r="T71" s="88">
        <v>0.2</v>
      </c>
      <c r="U71" s="128">
        <v>16.100000000000001</v>
      </c>
      <c r="V71" s="128">
        <v>17.71</v>
      </c>
      <c r="W71" s="68">
        <v>10</v>
      </c>
      <c r="X71" s="87">
        <v>8.3000000000000007</v>
      </c>
      <c r="Y71" s="68">
        <v>7.1</v>
      </c>
      <c r="Z71" s="120">
        <v>15.1</v>
      </c>
      <c r="AA71" s="87">
        <v>9.24</v>
      </c>
      <c r="AB71" s="68">
        <v>8.4</v>
      </c>
      <c r="AC71" s="68">
        <v>8</v>
      </c>
      <c r="AD71" s="68">
        <v>4</v>
      </c>
      <c r="AE71" s="68">
        <f>ROUND(All_PCC_a[[#This Row],[L (mm)]]*All_PCC_a[[#This Row],[W (mm)]],1)</f>
        <v>67.2</v>
      </c>
      <c r="AF71" s="87" t="str">
        <f>All_PCC_a[[#This Row],[L (mm)]]&amp;"  x  "&amp;All_PCC_a[[#This Row],[W (mm)]]</f>
        <v>8.4  x  8</v>
      </c>
      <c r="AG71" s="99" t="s">
        <v>624</v>
      </c>
      <c r="AH71" s="97" t="str">
        <f>IF(All_PCC_a[[#This Row],[Max Height (mm)]]&lt;=9,"≤ "&amp;ROUNDUP(AD71,0),"≤"&amp;ROUNDUP(AD71,0))</f>
        <v>≤ 4</v>
      </c>
      <c r="AI71" s="68">
        <v>-55</v>
      </c>
      <c r="AJ71" s="68">
        <v>155</v>
      </c>
      <c r="AK71" s="68" t="str">
        <f>All_PCC_a[[#This Row],[Min Temp (deg.C)]]&amp;" to +"&amp;All_PCC_a[[#This Row],[Max Temp (deg.C)]]</f>
        <v>-55 to +155</v>
      </c>
      <c r="AL71" s="68"/>
      <c r="AO71" s="68" t="s">
        <v>138</v>
      </c>
      <c r="AP71" s="97" t="str">
        <f t="shared" si="10"/>
        <v>-</v>
      </c>
      <c r="AQ71" s="68" t="s">
        <v>138</v>
      </c>
      <c r="AR71" s="87" t="s">
        <v>138</v>
      </c>
      <c r="AS71" s="68" t="s">
        <v>938</v>
      </c>
      <c r="AT71" s="95" t="s">
        <v>606</v>
      </c>
      <c r="AU71" s="96" t="e" vm="9">
        <f>_xlfn.IMAGE(All_PCC_a[[#This Row],[Image URL]])</f>
        <v>#VALUE!</v>
      </c>
      <c r="AW71" s="68"/>
      <c r="AY71" s="68"/>
      <c r="BC71" s="96">
        <f>IF(Z71&lt;('DCDC Ref'!$J$24/'DCDC Ref'!$J$26)*'DCDC Ref'!$J$28/100,0,1)</f>
        <v>1</v>
      </c>
      <c r="BD71" s="360">
        <f>IF(BC71=1000000000,"",('All Data'!Q71-'DCDC Ref'!$J$30)/'DCDC Ref'!$J$30*100)</f>
        <v>643.73626373626371</v>
      </c>
      <c r="BE71" s="295">
        <f t="shared" si="3"/>
        <v>643.73626373626371</v>
      </c>
      <c r="BF71" s="295"/>
      <c r="BG71" s="360"/>
      <c r="BH71" s="361">
        <f t="shared" si="4"/>
        <v>0</v>
      </c>
      <c r="BI71" s="295"/>
      <c r="BJ71" s="96">
        <f>IF(BC71=0,"",('All Data'!Z71-'DCDC Ref'!$J$28*('DCDC Ref'!$J$29/100))/'DCDC Ref'!$J$28*('DCDC Ref'!$J$29/100)*100)</f>
        <v>35.379310344827566</v>
      </c>
      <c r="BK71" s="361">
        <f t="shared" si="5"/>
        <v>35.379310344827566</v>
      </c>
      <c r="BL71" s="361"/>
      <c r="BM71" s="361"/>
      <c r="BN71" s="361"/>
      <c r="BO71" s="361"/>
      <c r="BP71" s="96"/>
      <c r="BQ71" s="298">
        <f t="shared" si="6"/>
        <v>3218858.2152330424</v>
      </c>
      <c r="BR71" s="298">
        <f>IF(BQ71="","",RANK(BQ71,BQ$11:BQ$9930,1)+COUNTIF(BQ$11:BQ71,BQ71)-1)</f>
        <v>74</v>
      </c>
      <c r="BS71" s="299">
        <f t="shared" si="9"/>
        <v>74</v>
      </c>
      <c r="BT71" s="96" t="str">
        <f>IFERROR(INDEX($O$11:$O$1013,MATCH(ROWS($BS$11:BS71),$BS$11:$BS$1005,0)),"")</f>
        <v>ETQP4M3R3KVC</v>
      </c>
      <c r="BU71" s="299" t="str">
        <f t="shared" si="7"/>
        <v>ETQP4M3R3KVC</v>
      </c>
      <c r="BV71" s="96"/>
    </row>
    <row r="72" spans="1:74" ht="15">
      <c r="A72" s="95">
        <v>88</v>
      </c>
      <c r="B72" s="259" t="s">
        <v>584</v>
      </c>
      <c r="C72" s="95"/>
      <c r="D72" s="95" t="s">
        <v>585</v>
      </c>
      <c r="E72" s="109"/>
      <c r="F72" s="68" t="s">
        <v>153</v>
      </c>
      <c r="G72" s="69" t="s">
        <v>586</v>
      </c>
      <c r="H72" s="68" t="s">
        <v>587</v>
      </c>
      <c r="I72" s="69" t="s">
        <v>588</v>
      </c>
      <c r="J72" s="68" t="s">
        <v>589</v>
      </c>
      <c r="K72" s="68" t="s">
        <v>601</v>
      </c>
      <c r="L72" s="68" t="s">
        <v>629</v>
      </c>
      <c r="M72" s="68" t="s">
        <v>630</v>
      </c>
      <c r="N72" s="68" t="s">
        <v>593</v>
      </c>
      <c r="O72" s="102" t="s">
        <v>81</v>
      </c>
      <c r="P72" s="37" t="str">
        <f>MID(All_PCC_a[[#This Row],[Part Number]],7,3)</f>
        <v>4R7</v>
      </c>
      <c r="Q72" s="87">
        <v>4.7</v>
      </c>
      <c r="R72" s="87" t="str">
        <f>IF(All_PCC_a[[#This Row],[Lo (uH)]]&lt;1,"&lt;1",IF(All_PCC_a[[#This Row],[Lo (uH)]]&lt;10,"&lt;10",IF(All_PCC_a[[#This Row],[Lo (uH)]]&lt;100,"&lt;100",IF(All_PCC_a[[#This Row],[Lo (uH)]]&lt;2000,"&lt;2000",""))))</f>
        <v>&lt;10</v>
      </c>
      <c r="S72" s="87" t="str">
        <f>IFERROR(VLOOKUP(All_PCC_a[[#This Row],[Lo (uH)]],Utility!$D$5:$E$43,2,1),"-")</f>
        <v>≤   5</v>
      </c>
      <c r="T72" s="88">
        <v>0.2</v>
      </c>
      <c r="U72" s="249">
        <v>12.3</v>
      </c>
      <c r="V72" s="249">
        <v>13.53</v>
      </c>
      <c r="W72" s="87">
        <v>10</v>
      </c>
      <c r="X72" s="87">
        <v>11.2</v>
      </c>
      <c r="Y72" s="121">
        <v>9.1999999999999993</v>
      </c>
      <c r="Z72" s="122">
        <v>13.9</v>
      </c>
      <c r="AA72" s="87">
        <v>10.58</v>
      </c>
      <c r="AB72" s="68">
        <v>10.7</v>
      </c>
      <c r="AC72" s="68">
        <v>10</v>
      </c>
      <c r="AD72" s="87">
        <v>4</v>
      </c>
      <c r="AE72" s="68">
        <f>ROUND(All_PCC_a[[#This Row],[L (mm)]]*All_PCC_a[[#This Row],[W (mm)]],1)</f>
        <v>107</v>
      </c>
      <c r="AF72" s="87" t="str">
        <f>All_PCC_a[[#This Row],[L (mm)]]&amp;"  x  "&amp;All_PCC_a[[#This Row],[W (mm)]]</f>
        <v>10.7  x  10</v>
      </c>
      <c r="AG72" s="91" t="s">
        <v>324</v>
      </c>
      <c r="AH72" s="97" t="str">
        <f>IF(All_PCC_a[[#This Row],[Max Height (mm)]]&lt;=9,"≤ "&amp;ROUNDUP(AD72,0),"≤"&amp;ROUNDUP(AD72,0))</f>
        <v>≤ 4</v>
      </c>
      <c r="AI72" s="68">
        <v>-55</v>
      </c>
      <c r="AJ72" s="68">
        <v>155</v>
      </c>
      <c r="AK72" s="68" t="str">
        <f>All_PCC_a[[#This Row],[Min Temp (deg.C)]]&amp;" to +"&amp;All_PCC_a[[#This Row],[Max Temp (deg.C)]]</f>
        <v>-55 to +155</v>
      </c>
      <c r="AL72" s="68"/>
      <c r="AO72" s="87" t="s">
        <v>138</v>
      </c>
      <c r="AP72" s="97" t="str">
        <f t="shared" si="10"/>
        <v>-</v>
      </c>
      <c r="AQ72" s="87" t="s">
        <v>138</v>
      </c>
      <c r="AR72" s="87" t="s">
        <v>138</v>
      </c>
      <c r="AS72" s="68" t="s">
        <v>939</v>
      </c>
      <c r="AT72" s="95" t="s">
        <v>606</v>
      </c>
      <c r="AU72" s="96" t="e" vm="9">
        <f>_xlfn.IMAGE(All_PCC_a[[#This Row],[Image URL]])</f>
        <v>#VALUE!</v>
      </c>
      <c r="AW72" s="68"/>
      <c r="AY72" s="68"/>
      <c r="BC72" s="96">
        <f>IF(Z72&lt;('DCDC Ref'!$J$24/'DCDC Ref'!$J$26)*'DCDC Ref'!$J$28/100,0,1)</f>
        <v>1</v>
      </c>
      <c r="BD72" s="360">
        <f>IF(BC72=1000000000,"",('All Data'!Q72-'DCDC Ref'!$J$30)/'DCDC Ref'!$J$30*100)</f>
        <v>643.73626373626371</v>
      </c>
      <c r="BE72" s="295">
        <f t="shared" si="3"/>
        <v>643.73626373626371</v>
      </c>
      <c r="BF72" s="295"/>
      <c r="BG72" s="360"/>
      <c r="BH72" s="361">
        <f t="shared" si="4"/>
        <v>0</v>
      </c>
      <c r="BI72" s="295"/>
      <c r="BJ72" s="96">
        <f>IF(BC72=0,"",('All Data'!Z72-'DCDC Ref'!$J$28*('DCDC Ref'!$J$29/100))/'DCDC Ref'!$J$28*('DCDC Ref'!$J$29/100)*100)</f>
        <v>24.620689655172402</v>
      </c>
      <c r="BK72" s="361">
        <f t="shared" si="5"/>
        <v>24.620689655172402</v>
      </c>
      <c r="BL72" s="361"/>
      <c r="BM72" s="361"/>
      <c r="BN72" s="361"/>
      <c r="BO72" s="361"/>
      <c r="BP72" s="96"/>
      <c r="BQ72" s="298">
        <f t="shared" si="6"/>
        <v>3218804.4221295943</v>
      </c>
      <c r="BR72" s="298">
        <f>IF(BQ72="","",RANK(BQ72,BQ$11:BQ$9930,1)+COUNTIF(BQ$11:BQ72,BQ72)-1)</f>
        <v>73</v>
      </c>
      <c r="BS72" s="299">
        <f t="shared" si="9"/>
        <v>73</v>
      </c>
      <c r="BT72" s="96" t="str">
        <f>IFERROR(INDEX($O$11:$O$1013,MATCH(ROWS($BS$11:BS72),$BS$11:$BS$1005,0)),"")</f>
        <v>ETQP4M3R3KVK</v>
      </c>
      <c r="BU72" s="299" t="str">
        <f t="shared" si="7"/>
        <v>ETQP4M3R3KVK</v>
      </c>
      <c r="BV72" s="96"/>
    </row>
    <row r="73" spans="1:74" ht="15">
      <c r="A73" s="95">
        <v>98</v>
      </c>
      <c r="B73" s="259" t="s">
        <v>584</v>
      </c>
      <c r="C73" s="95"/>
      <c r="D73" s="95" t="s">
        <v>585</v>
      </c>
      <c r="E73" s="109"/>
      <c r="F73" s="68" t="s">
        <v>153</v>
      </c>
      <c r="G73" s="69" t="s">
        <v>586</v>
      </c>
      <c r="H73" s="68" t="s">
        <v>587</v>
      </c>
      <c r="I73" s="69" t="s">
        <v>588</v>
      </c>
      <c r="J73" s="68" t="s">
        <v>589</v>
      </c>
      <c r="K73" s="68" t="s">
        <v>654</v>
      </c>
      <c r="L73" s="68" t="s">
        <v>655</v>
      </c>
      <c r="M73" s="68" t="s">
        <v>656</v>
      </c>
      <c r="N73" s="68" t="s">
        <v>593</v>
      </c>
      <c r="O73" s="34" t="s">
        <v>82</v>
      </c>
      <c r="P73" s="37" t="str">
        <f>MID(All_PCC_a[[#This Row],[Part Number]],7,3)</f>
        <v>4R7</v>
      </c>
      <c r="Q73" s="87">
        <v>4.7</v>
      </c>
      <c r="R73" s="87" t="str">
        <f>IF(All_PCC_a[[#This Row],[Lo (uH)]]&lt;1,"&lt;1",IF(All_PCC_a[[#This Row],[Lo (uH)]]&lt;10,"&lt;10",IF(All_PCC_a[[#This Row],[Lo (uH)]]&lt;100,"&lt;100",IF(All_PCC_a[[#This Row],[Lo (uH)]]&lt;2000,"&lt;2000",""))))</f>
        <v>&lt;10</v>
      </c>
      <c r="S73" s="87" t="str">
        <f>IFERROR(VLOOKUP(All_PCC_a[[#This Row],[Lo (uH)]],Utility!$D$5:$E$43,2,1),"-")</f>
        <v>≤   5</v>
      </c>
      <c r="T73" s="88">
        <v>0.2</v>
      </c>
      <c r="U73" s="126">
        <v>20.7</v>
      </c>
      <c r="V73" s="126">
        <v>22.77</v>
      </c>
      <c r="W73" s="87">
        <v>10</v>
      </c>
      <c r="X73" s="87">
        <v>7.3</v>
      </c>
      <c r="Y73" s="121">
        <v>5.7</v>
      </c>
      <c r="Z73" s="563">
        <v>10.199999999999999</v>
      </c>
      <c r="AA73" s="560">
        <v>7.31</v>
      </c>
      <c r="AB73" s="68">
        <v>6.4</v>
      </c>
      <c r="AC73" s="68">
        <v>6</v>
      </c>
      <c r="AD73" s="87">
        <v>4.8</v>
      </c>
      <c r="AE73" s="68">
        <f>ROUND(All_PCC_a[[#This Row],[L (mm)]]*All_PCC_a[[#This Row],[W (mm)]],1)</f>
        <v>38.4</v>
      </c>
      <c r="AF73" s="87" t="str">
        <f>All_PCC_a[[#This Row],[L (mm)]]&amp;"  x  "&amp;All_PCC_a[[#This Row],[W (mm)]]</f>
        <v>6.4  x  6</v>
      </c>
      <c r="AG73" s="91" t="s">
        <v>618</v>
      </c>
      <c r="AH73" s="97" t="str">
        <f>IF(All_PCC_a[[#This Row],[Max Height (mm)]]&lt;=9,"≤ "&amp;ROUNDUP(AD73,0),"≤"&amp;ROUNDUP(AD73,0))</f>
        <v>≤ 5</v>
      </c>
      <c r="AI73" s="68">
        <v>-40</v>
      </c>
      <c r="AJ73" s="68">
        <v>150</v>
      </c>
      <c r="AK73" s="68" t="str">
        <f>All_PCC_a[[#This Row],[Min Temp (deg.C)]]&amp;" to +"&amp;All_PCC_a[[#This Row],[Max Temp (deg.C)]]</f>
        <v>-40 to +150</v>
      </c>
      <c r="AL73" s="68"/>
      <c r="AO73" s="87" t="s">
        <v>138</v>
      </c>
      <c r="AP73" s="97" t="str">
        <f t="shared" si="10"/>
        <v>-</v>
      </c>
      <c r="AQ73" s="87" t="s">
        <v>138</v>
      </c>
      <c r="AR73" s="87" t="s">
        <v>138</v>
      </c>
      <c r="AS73" s="68" t="s">
        <v>940</v>
      </c>
      <c r="AT73" s="68" t="s">
        <v>657</v>
      </c>
      <c r="AU73" s="96" t="e" vm="12">
        <f>_xlfn.IMAGE(All_PCC_a[[#This Row],[Image URL]])</f>
        <v>#VALUE!</v>
      </c>
      <c r="AV73" s="95"/>
      <c r="AW73" s="95"/>
      <c r="AY73" s="68"/>
      <c r="BC73" s="96">
        <f>IF(Z73&lt;('DCDC Ref'!$J$24/'DCDC Ref'!$J$26)*'DCDC Ref'!$J$28/100,0,1)</f>
        <v>1</v>
      </c>
      <c r="BD73" s="360">
        <f>IF(BC73=1000000000,"",('All Data'!Q73-'DCDC Ref'!$J$30)/'DCDC Ref'!$J$30*100)</f>
        <v>643.73626373626371</v>
      </c>
      <c r="BE73" s="295">
        <f t="shared" si="3"/>
        <v>643.73626373626371</v>
      </c>
      <c r="BF73" s="295"/>
      <c r="BG73" s="360"/>
      <c r="BH73" s="361">
        <f t="shared" si="4"/>
        <v>0</v>
      </c>
      <c r="BI73" s="295"/>
      <c r="BJ73" s="96">
        <f>IF(BC73=0,"",('All Data'!Z73-'DCDC Ref'!$J$28*('DCDC Ref'!$J$29/100))/'DCDC Ref'!$J$28*('DCDC Ref'!$J$29/100)*100)</f>
        <v>-8.5517241379310516</v>
      </c>
      <c r="BK73" s="361">
        <f t="shared" si="5"/>
        <v>10000</v>
      </c>
      <c r="BL73" s="361"/>
      <c r="BM73" s="361"/>
      <c r="BN73" s="361"/>
      <c r="BO73" s="361"/>
      <c r="BP73" s="96"/>
      <c r="BQ73" s="298">
        <f t="shared" si="6"/>
        <v>3268681.3186813183</v>
      </c>
      <c r="BR73" s="298">
        <f>IF(BQ73="","",RANK(BQ73,BQ$11:BQ$9930,1)+COUNTIF(BQ$11:BQ73,BQ73)-1)</f>
        <v>82</v>
      </c>
      <c r="BS73" s="299">
        <f t="shared" si="9"/>
        <v>82</v>
      </c>
      <c r="BT73" s="96" t="str">
        <f>IFERROR(INDEX($O$11:$O$1013,MATCH(ROWS($BS$11:BS73),$BS$11:$BS$1005,0)),"")</f>
        <v>ETQP5M3R3YFK</v>
      </c>
      <c r="BU73" s="299" t="str">
        <f t="shared" si="7"/>
        <v>ETQP5M3R3YFK</v>
      </c>
      <c r="BV73" s="96"/>
    </row>
    <row r="74" spans="1:74" ht="15">
      <c r="A74" s="95">
        <v>101</v>
      </c>
      <c r="B74" s="259" t="s">
        <v>584</v>
      </c>
      <c r="C74" s="95"/>
      <c r="D74" s="95" t="s">
        <v>585</v>
      </c>
      <c r="E74" s="109"/>
      <c r="F74" s="68" t="s">
        <v>153</v>
      </c>
      <c r="G74" s="69" t="s">
        <v>586</v>
      </c>
      <c r="H74" s="68" t="s">
        <v>587</v>
      </c>
      <c r="I74" s="69" t="s">
        <v>588</v>
      </c>
      <c r="J74" s="68" t="s">
        <v>589</v>
      </c>
      <c r="K74" s="68" t="s">
        <v>654</v>
      </c>
      <c r="L74" s="68" t="s">
        <v>670</v>
      </c>
      <c r="M74" s="68" t="s">
        <v>671</v>
      </c>
      <c r="N74" s="68" t="s">
        <v>593</v>
      </c>
      <c r="O74" s="34" t="s">
        <v>84</v>
      </c>
      <c r="P74" s="37" t="str">
        <f>MID(All_PCC_a[[#This Row],[Part Number]],7,3)</f>
        <v>4R7</v>
      </c>
      <c r="Q74" s="87">
        <v>4.7</v>
      </c>
      <c r="R74" s="87" t="str">
        <f>IF(All_PCC_a[[#This Row],[Lo (uH)]]&lt;1,"&lt;1",IF(All_PCC_a[[#This Row],[Lo (uH)]]&lt;10,"&lt;10",IF(All_PCC_a[[#This Row],[Lo (uH)]]&lt;100,"&lt;100",IF(All_PCC_a[[#This Row],[Lo (uH)]]&lt;2000,"&lt;2000",""))))</f>
        <v>&lt;10</v>
      </c>
      <c r="S74" s="87" t="str">
        <f>IFERROR(VLOOKUP(All_PCC_a[[#This Row],[Lo (uH)]],Utility!$D$5:$E$43,2,1),"-")</f>
        <v>≤   5</v>
      </c>
      <c r="T74" s="88">
        <v>0.2</v>
      </c>
      <c r="U74" s="126">
        <v>16.8</v>
      </c>
      <c r="V74" s="126">
        <v>18.48</v>
      </c>
      <c r="W74" s="87">
        <v>10</v>
      </c>
      <c r="X74" s="87">
        <v>8.8000000000000007</v>
      </c>
      <c r="Y74" s="121">
        <v>6.5</v>
      </c>
      <c r="Z74" s="122">
        <v>10.7</v>
      </c>
      <c r="AA74" s="87">
        <v>7.7</v>
      </c>
      <c r="AB74" s="68">
        <v>7.4</v>
      </c>
      <c r="AC74" s="68">
        <v>7</v>
      </c>
      <c r="AD74" s="87">
        <v>4.8</v>
      </c>
      <c r="AE74" s="68">
        <f>ROUND(All_PCC_a[[#This Row],[L (mm)]]*All_PCC_a[[#This Row],[W (mm)]],1)</f>
        <v>51.8</v>
      </c>
      <c r="AF74" s="87" t="str">
        <f>All_PCC_a[[#This Row],[L (mm)]]&amp;"  x  "&amp;All_PCC_a[[#This Row],[W (mm)]]</f>
        <v>7.4  x  7</v>
      </c>
      <c r="AG74" s="141" t="s">
        <v>661</v>
      </c>
      <c r="AH74" s="97" t="str">
        <f>IF(All_PCC_a[[#This Row],[Max Height (mm)]]&lt;=9,"≤ "&amp;ROUNDUP(AD74,0),"≤"&amp;ROUNDUP(AD74,0))</f>
        <v>≤ 5</v>
      </c>
      <c r="AI74" s="68">
        <v>-40</v>
      </c>
      <c r="AJ74" s="68">
        <v>150</v>
      </c>
      <c r="AK74" s="68" t="str">
        <f>All_PCC_a[[#This Row],[Min Temp (deg.C)]]&amp;" to +"&amp;All_PCC_a[[#This Row],[Max Temp (deg.C)]]</f>
        <v>-40 to +150</v>
      </c>
      <c r="AL74" s="68"/>
      <c r="AO74" s="87" t="s">
        <v>138</v>
      </c>
      <c r="AP74" s="97" t="str">
        <f t="shared" si="10"/>
        <v>-</v>
      </c>
      <c r="AQ74" s="87" t="s">
        <v>138</v>
      </c>
      <c r="AR74" s="87" t="s">
        <v>138</v>
      </c>
      <c r="AS74" s="68" t="s">
        <v>941</v>
      </c>
      <c r="AT74" s="68" t="s">
        <v>657</v>
      </c>
      <c r="AU74" s="96" t="e" vm="12">
        <f>_xlfn.IMAGE(All_PCC_a[[#This Row],[Image URL]])</f>
        <v>#VALUE!</v>
      </c>
      <c r="AV74" s="95"/>
      <c r="AW74" s="95"/>
      <c r="AY74" s="68"/>
      <c r="BC74" s="96">
        <f>IF(Z74&lt;('DCDC Ref'!$J$24/'DCDC Ref'!$J$26)*'DCDC Ref'!$J$28/100,0,1)</f>
        <v>1</v>
      </c>
      <c r="BD74" s="360">
        <f>IF(BC74=1000000000,"",('All Data'!Q74-'DCDC Ref'!$J$30)/'DCDC Ref'!$J$30*100)</f>
        <v>643.73626373626371</v>
      </c>
      <c r="BE74" s="295">
        <f t="shared" si="3"/>
        <v>643.73626373626371</v>
      </c>
      <c r="BF74" s="295"/>
      <c r="BG74" s="360"/>
      <c r="BH74" s="361">
        <f t="shared" si="4"/>
        <v>0</v>
      </c>
      <c r="BI74" s="295"/>
      <c r="BJ74" s="96">
        <f>IF(BC74=0,"",('All Data'!Z74-'DCDC Ref'!$J$28*('DCDC Ref'!$J$29/100))/'DCDC Ref'!$J$28*('DCDC Ref'!$J$29/100)*100)</f>
        <v>-4.0689655172413968</v>
      </c>
      <c r="BK74" s="361">
        <f t="shared" si="5"/>
        <v>10000</v>
      </c>
      <c r="BL74" s="361"/>
      <c r="BM74" s="361"/>
      <c r="BN74" s="361"/>
      <c r="BO74" s="361"/>
      <c r="BP74" s="96"/>
      <c r="BQ74" s="298">
        <f t="shared" si="6"/>
        <v>3268681.3186813183</v>
      </c>
      <c r="BR74" s="298">
        <f>IF(BQ74="","",RANK(BQ74,BQ$11:BQ$9930,1)+COUNTIF(BQ$11:BQ74,BQ74)-1)</f>
        <v>83</v>
      </c>
      <c r="BS74" s="299">
        <f t="shared" si="9"/>
        <v>83</v>
      </c>
      <c r="BT74" s="96" t="str">
        <f>IFERROR(INDEX($O$11:$O$1013,MATCH(ROWS($BS$11:BS74),$BS$11:$BS$1005,0)),"")</f>
        <v>ETQP5M3R3YFC</v>
      </c>
      <c r="BU74" s="299" t="str">
        <f t="shared" si="7"/>
        <v>ETQP5M3R3YFC</v>
      </c>
      <c r="BV74" s="96"/>
    </row>
    <row r="75" spans="1:74">
      <c r="A75" s="95">
        <v>4</v>
      </c>
      <c r="B75" s="259" t="s">
        <v>584</v>
      </c>
      <c r="C75" s="95"/>
      <c r="D75" s="95" t="s">
        <v>585</v>
      </c>
      <c r="E75" s="110"/>
      <c r="F75" s="68" t="s">
        <v>153</v>
      </c>
      <c r="G75" s="69" t="s">
        <v>586</v>
      </c>
      <c r="H75" s="68" t="s">
        <v>587</v>
      </c>
      <c r="I75" s="69" t="s">
        <v>588</v>
      </c>
      <c r="J75" s="68" t="s">
        <v>589</v>
      </c>
      <c r="K75" s="68" t="s">
        <v>590</v>
      </c>
      <c r="L75" s="68" t="s">
        <v>645</v>
      </c>
      <c r="M75" s="68" t="s">
        <v>653</v>
      </c>
      <c r="N75" s="68" t="s">
        <v>22</v>
      </c>
      <c r="O75" s="34" t="s">
        <v>85</v>
      </c>
      <c r="P75" s="37" t="str">
        <f>MID(All_PCC_a[[#This Row],[Part Number]],7,3)</f>
        <v>6R8</v>
      </c>
      <c r="Q75" s="90">
        <v>6.8</v>
      </c>
      <c r="R75" s="87" t="str">
        <f>IF(All_PCC_a[[#This Row],[Lo (uH)]]&lt;1,"&lt;1",IF(All_PCC_a[[#This Row],[Lo (uH)]]&lt;10,"&lt;10",IF(All_PCC_a[[#This Row],[Lo (uH)]]&lt;100,"&lt;100",IF(All_PCC_a[[#This Row],[Lo (uH)]]&lt;2000,"&lt;2000",""))))</f>
        <v>&lt;10</v>
      </c>
      <c r="S75" s="87" t="str">
        <f>IFERROR(VLOOKUP(All_PCC_a[[#This Row],[Lo (uH)]],Utility!$D$5:$E$43,2,1),"-")</f>
        <v>≤   7</v>
      </c>
      <c r="T75" s="88">
        <v>0.2</v>
      </c>
      <c r="U75" s="125">
        <v>39.299999999999997</v>
      </c>
      <c r="V75" s="125">
        <v>43.23</v>
      </c>
      <c r="W75" s="87">
        <v>10</v>
      </c>
      <c r="X75" s="87">
        <v>5.2</v>
      </c>
      <c r="Y75" s="87">
        <v>4.0999999999999996</v>
      </c>
      <c r="Z75" s="117">
        <v>10</v>
      </c>
      <c r="AA75" s="87">
        <v>7.2</v>
      </c>
      <c r="AB75" s="68">
        <v>6.5</v>
      </c>
      <c r="AC75" s="68">
        <v>6</v>
      </c>
      <c r="AD75" s="87">
        <v>4.5</v>
      </c>
      <c r="AE75" s="68">
        <f>ROUND(All_PCC_a[[#This Row],[L (mm)]]*All_PCC_a[[#This Row],[W (mm)]],1)</f>
        <v>39</v>
      </c>
      <c r="AF75" s="87" t="str">
        <f>All_PCC_a[[#This Row],[L (mm)]]&amp;"  x  "&amp;All_PCC_a[[#This Row],[W (mm)]]</f>
        <v>6.5  x  6</v>
      </c>
      <c r="AG75" s="89" t="s">
        <v>618</v>
      </c>
      <c r="AH75" s="87" t="str">
        <f>IF(All_PCC_a[[#This Row],[Max Height (mm)]]&lt;=9,"≤ "&amp;ROUNDUP(AD75,0),"≤"&amp;ROUNDUP(AD75,0))</f>
        <v>≤ 5</v>
      </c>
      <c r="AI75" s="72">
        <v>-40</v>
      </c>
      <c r="AJ75" s="72">
        <v>150</v>
      </c>
      <c r="AK75" s="68" t="str">
        <f>All_PCC_a[[#This Row],[Min Temp (deg.C)]]&amp;" to +"&amp;All_PCC_a[[#This Row],[Max Temp (deg.C)]]</f>
        <v>-40 to +150</v>
      </c>
      <c r="AL75" s="68"/>
      <c r="AO75" s="87" t="s">
        <v>124</v>
      </c>
      <c r="AP75" s="87" t="str">
        <f t="shared" si="10"/>
        <v>-</v>
      </c>
      <c r="AQ75" s="88" t="s">
        <v>138</v>
      </c>
      <c r="AR75" s="87" t="s">
        <v>138</v>
      </c>
      <c r="AS75" s="68" t="s">
        <v>942</v>
      </c>
      <c r="AT75" s="68" t="s">
        <v>594</v>
      </c>
      <c r="AU75" s="96" t="e" vm="7">
        <f>_xlfn.IMAGE(All_PCC_a[[#This Row],[Image URL]])</f>
        <v>#VALUE!</v>
      </c>
      <c r="AW75" s="68"/>
      <c r="AY75" s="68"/>
      <c r="BC75" s="96">
        <f>IF(Z75&lt;('DCDC Ref'!$J$24/'DCDC Ref'!$J$26)*'DCDC Ref'!$J$28/100,0,1)</f>
        <v>1</v>
      </c>
      <c r="BD75" s="360">
        <f>IF(BC75=1000000000,"",('All Data'!Q75-'DCDC Ref'!$J$30)/'DCDC Ref'!$J$30*100)</f>
        <v>976.04395604395597</v>
      </c>
      <c r="BE75" s="295">
        <f t="shared" si="3"/>
        <v>976.04395604395597</v>
      </c>
      <c r="BF75" s="295"/>
      <c r="BG75" s="360"/>
      <c r="BH75" s="361">
        <f t="shared" si="4"/>
        <v>0</v>
      </c>
      <c r="BI75" s="295"/>
      <c r="BJ75" s="96">
        <f>IF(BC75=0,"",('All Data'!Z75-'DCDC Ref'!$J$28*('DCDC Ref'!$J$29/100))/'DCDC Ref'!$J$28*('DCDC Ref'!$J$29/100)*100)</f>
        <v>-10.344827586206906</v>
      </c>
      <c r="BK75" s="361">
        <f t="shared" si="5"/>
        <v>10000</v>
      </c>
      <c r="BL75" s="361"/>
      <c r="BM75" s="361"/>
      <c r="BN75" s="361"/>
      <c r="BO75" s="361"/>
      <c r="BP75" s="96"/>
      <c r="BQ75" s="298">
        <f t="shared" si="6"/>
        <v>4930219.7802197803</v>
      </c>
      <c r="BR75" s="298">
        <f>IF(BQ75="","",RANK(BQ75,BQ$11:BQ$9930,1)+COUNTIF(BQ$11:BQ75,BQ75)-1)</f>
        <v>87</v>
      </c>
      <c r="BS75" s="299">
        <f t="shared" ref="BS75:BS106" si="11">RANK(BR75,BR$11:BR$9930,1)</f>
        <v>87</v>
      </c>
      <c r="BT75" s="96" t="str">
        <f>IFERROR(INDEX($O$11:$O$1013,MATCH(ROWS($BS$11:BS75),$BS$11:$BS$1005,0)),"")</f>
        <v>ETQP5M3R3YTC</v>
      </c>
      <c r="BU75" s="299" t="str">
        <f t="shared" si="7"/>
        <v>ETQP5M3R3YTC</v>
      </c>
      <c r="BV75" s="96"/>
    </row>
    <row r="76" spans="1:74" ht="15">
      <c r="A76" s="95">
        <v>31</v>
      </c>
      <c r="B76" s="259" t="s">
        <v>584</v>
      </c>
      <c r="C76" s="95"/>
      <c r="D76" s="95" t="s">
        <v>585</v>
      </c>
      <c r="E76" s="109"/>
      <c r="F76" s="68" t="s">
        <v>153</v>
      </c>
      <c r="G76" s="69" t="s">
        <v>586</v>
      </c>
      <c r="H76" s="68" t="s">
        <v>587</v>
      </c>
      <c r="I76" s="69" t="s">
        <v>588</v>
      </c>
      <c r="J76" s="68" t="s">
        <v>589</v>
      </c>
      <c r="K76" s="68" t="s">
        <v>590</v>
      </c>
      <c r="L76" s="68" t="s">
        <v>658</v>
      </c>
      <c r="M76" s="96" t="s">
        <v>669</v>
      </c>
      <c r="N76" s="68" t="s">
        <v>593</v>
      </c>
      <c r="O76" s="34" t="s">
        <v>87</v>
      </c>
      <c r="P76" s="37" t="str">
        <f>MID(All_PCC_a[[#This Row],[Part Number]],7,3)</f>
        <v>6R8</v>
      </c>
      <c r="Q76" s="87">
        <v>6.8</v>
      </c>
      <c r="R76" s="87" t="str">
        <f>IF(All_PCC_a[[#This Row],[Lo (uH)]]&lt;1,"&lt;1",IF(All_PCC_a[[#This Row],[Lo (uH)]]&lt;10,"&lt;10",IF(All_PCC_a[[#This Row],[Lo (uH)]]&lt;100,"&lt;100",IF(All_PCC_a[[#This Row],[Lo (uH)]]&lt;2000,"&lt;2000",""))))</f>
        <v>&lt;10</v>
      </c>
      <c r="S76" s="87" t="str">
        <f>IFERROR(VLOOKUP(All_PCC_a[[#This Row],[Lo (uH)]],Utility!$D$5:$E$43,2,1),"-")</f>
        <v>≤   7</v>
      </c>
      <c r="T76" s="88">
        <v>0.2</v>
      </c>
      <c r="U76" s="126">
        <v>26.7</v>
      </c>
      <c r="V76" s="126">
        <v>29.4</v>
      </c>
      <c r="W76" s="87">
        <v>10</v>
      </c>
      <c r="X76" s="87">
        <v>6.9</v>
      </c>
      <c r="Y76" s="87">
        <v>5.5</v>
      </c>
      <c r="Z76" s="117">
        <v>12.1</v>
      </c>
      <c r="AA76" s="87">
        <v>8.6</v>
      </c>
      <c r="AB76" s="68">
        <v>7.5</v>
      </c>
      <c r="AC76" s="68">
        <v>7</v>
      </c>
      <c r="AD76" s="87">
        <v>5.4</v>
      </c>
      <c r="AE76" s="68">
        <f>ROUND(All_PCC_a[[#This Row],[L (mm)]]*All_PCC_a[[#This Row],[W (mm)]],1)</f>
        <v>52.5</v>
      </c>
      <c r="AF76" s="87" t="str">
        <f>All_PCC_a[[#This Row],[L (mm)]]&amp;"  x  "&amp;All_PCC_a[[#This Row],[W (mm)]]</f>
        <v>7.5  x  7</v>
      </c>
      <c r="AG76" s="141" t="s">
        <v>661</v>
      </c>
      <c r="AH76" s="97" t="str">
        <f>IF(All_PCC_a[[#This Row],[Max Height (mm)]]&lt;=9,"≤ "&amp;ROUNDUP(AD76,0),"≤"&amp;ROUNDUP(AD76,0))</f>
        <v>≤ 6</v>
      </c>
      <c r="AI76" s="68">
        <v>-40</v>
      </c>
      <c r="AJ76" s="68">
        <v>150</v>
      </c>
      <c r="AK76" s="68" t="str">
        <f>All_PCC_a[[#This Row],[Min Temp (deg.C)]]&amp;" to +"&amp;All_PCC_a[[#This Row],[Max Temp (deg.C)]]</f>
        <v>-40 to +150</v>
      </c>
      <c r="AL76" s="68"/>
      <c r="AO76" s="87" t="s">
        <v>138</v>
      </c>
      <c r="AP76" s="97" t="str">
        <f t="shared" si="10"/>
        <v>-</v>
      </c>
      <c r="AQ76" s="87" t="s">
        <v>138</v>
      </c>
      <c r="AR76" s="87" t="s">
        <v>138</v>
      </c>
      <c r="AS76" s="68" t="s">
        <v>943</v>
      </c>
      <c r="AT76" s="68" t="s">
        <v>594</v>
      </c>
      <c r="AU76" s="96" t="e" vm="7">
        <f>_xlfn.IMAGE(All_PCC_a[[#This Row],[Image URL]])</f>
        <v>#VALUE!</v>
      </c>
      <c r="AW76" s="68"/>
      <c r="AY76" s="68"/>
      <c r="BC76" s="96">
        <f>IF(Z76&lt;('DCDC Ref'!$J$24/'DCDC Ref'!$J$26)*'DCDC Ref'!$J$28/100,0,1)</f>
        <v>1</v>
      </c>
      <c r="BD76" s="360">
        <f>IF(BC76=1000000000,"",('All Data'!Q76-'DCDC Ref'!$J$30)/'DCDC Ref'!$J$30*100)</f>
        <v>976.04395604395597</v>
      </c>
      <c r="BE76" s="295">
        <f t="shared" ref="BE76:BE139" si="12">ABS(BD76)</f>
        <v>976.04395604395597</v>
      </c>
      <c r="BF76" s="295"/>
      <c r="BG76" s="360"/>
      <c r="BH76" s="361">
        <f t="shared" ref="BH76:BH139" si="13">IF(BG76&lt;0,10000,BG76)</f>
        <v>0</v>
      </c>
      <c r="BI76" s="295"/>
      <c r="BJ76" s="96">
        <f>IF(BC76=0,"",('All Data'!Z76-'DCDC Ref'!$J$28*('DCDC Ref'!$J$29/100))/'DCDC Ref'!$J$28*('DCDC Ref'!$J$29/100)*100)</f>
        <v>8.4827586206896406</v>
      </c>
      <c r="BK76" s="361">
        <f t="shared" ref="BK76:BK139" si="14">IF(BJ76&lt;0,10000,BJ76)</f>
        <v>8.4827586206896406</v>
      </c>
      <c r="BL76" s="361"/>
      <c r="BM76" s="361"/>
      <c r="BN76" s="361"/>
      <c r="BO76" s="361"/>
      <c r="BP76" s="96"/>
      <c r="BQ76" s="298">
        <f t="shared" ref="BQ76:BQ139" si="15">IFERROR(BE76*$BP$6+BK76*$BP$7,"")</f>
        <v>4880262.1940128841</v>
      </c>
      <c r="BR76" s="298">
        <f>IF(BQ76="","",RANK(BQ76,BQ$11:BQ$9930,1)+COUNTIF(BQ$11:BQ76,BQ76)-1)</f>
        <v>84</v>
      </c>
      <c r="BS76" s="299">
        <f t="shared" si="11"/>
        <v>84</v>
      </c>
      <c r="BT76" s="96" t="str">
        <f>IFERROR(INDEX($O$11:$O$1013,MATCH(ROWS($BS$11:BS76),$BS$11:$BS$1005,0)),"")</f>
        <v>ETQP5M3R3YGC</v>
      </c>
      <c r="BU76" s="299" t="str">
        <f t="shared" ref="BU76:BU139" si="16">IF(BT76&lt;&gt;"",BT76,"")</f>
        <v>ETQP5M3R3YGC</v>
      </c>
      <c r="BV76" s="96"/>
    </row>
    <row r="77" spans="1:74" ht="15">
      <c r="A77" s="95">
        <v>53</v>
      </c>
      <c r="B77" s="259" t="s">
        <v>584</v>
      </c>
      <c r="C77" s="95"/>
      <c r="D77" s="95" t="s">
        <v>585</v>
      </c>
      <c r="E77" s="109"/>
      <c r="F77" s="68" t="s">
        <v>153</v>
      </c>
      <c r="G77" s="69" t="s">
        <v>586</v>
      </c>
      <c r="H77" s="68" t="s">
        <v>587</v>
      </c>
      <c r="I77" s="69" t="s">
        <v>588</v>
      </c>
      <c r="J77" s="68" t="s">
        <v>589</v>
      </c>
      <c r="K77" s="68" t="s">
        <v>601</v>
      </c>
      <c r="L77" s="68" t="s">
        <v>602</v>
      </c>
      <c r="M77" s="68" t="s">
        <v>603</v>
      </c>
      <c r="N77" s="68" t="s">
        <v>593</v>
      </c>
      <c r="O77" s="34" t="s">
        <v>89</v>
      </c>
      <c r="P77" s="37" t="str">
        <f>MID(All_PCC_a[[#This Row],[Part Number]],7,3)</f>
        <v>6R8</v>
      </c>
      <c r="Q77" s="87">
        <v>6.8</v>
      </c>
      <c r="R77" s="87" t="str">
        <f>IF(All_PCC_a[[#This Row],[Lo (uH)]]&lt;1,"&lt;1",IF(All_PCC_a[[#This Row],[Lo (uH)]]&lt;10,"&lt;10",IF(All_PCC_a[[#This Row],[Lo (uH)]]&lt;100,"&lt;100",IF(All_PCC_a[[#This Row],[Lo (uH)]]&lt;2000,"&lt;2000",""))))</f>
        <v>&lt;10</v>
      </c>
      <c r="S77" s="87" t="str">
        <f>IFERROR(VLOOKUP(All_PCC_a[[#This Row],[Lo (uH)]],Utility!$D$5:$E$43,2,1),"-")</f>
        <v>≤   7</v>
      </c>
      <c r="T77" s="88">
        <v>0.2</v>
      </c>
      <c r="U77" s="126">
        <v>65.7</v>
      </c>
      <c r="V77" s="126">
        <v>72.27000000000001</v>
      </c>
      <c r="W77" s="87">
        <v>10</v>
      </c>
      <c r="X77" s="87">
        <v>3.5</v>
      </c>
      <c r="Y77" s="87">
        <v>2.9</v>
      </c>
      <c r="Z77" s="117">
        <v>6.1</v>
      </c>
      <c r="AA77" s="87">
        <v>4.54</v>
      </c>
      <c r="AB77" s="68">
        <v>5.5</v>
      </c>
      <c r="AC77" s="68">
        <v>5</v>
      </c>
      <c r="AD77" s="87">
        <v>3</v>
      </c>
      <c r="AE77" s="68">
        <f>ROUND(All_PCC_a[[#This Row],[L (mm)]]*All_PCC_a[[#This Row],[W (mm)]],1)</f>
        <v>27.5</v>
      </c>
      <c r="AF77" s="87" t="str">
        <f>All_PCC_a[[#This Row],[L (mm)]]&amp;"  x  "&amp;All_PCC_a[[#This Row],[W (mm)]]</f>
        <v>5.5  x  5</v>
      </c>
      <c r="AG77" s="91" t="s">
        <v>605</v>
      </c>
      <c r="AH77" s="97" t="str">
        <f>IF(All_PCC_a[[#This Row],[Max Height (mm)]]&lt;=9,"≤ "&amp;ROUNDUP(AD77,0),"≤"&amp;ROUNDUP(AD77,0))</f>
        <v>≤ 3</v>
      </c>
      <c r="AI77" s="68">
        <v>-55</v>
      </c>
      <c r="AJ77" s="68">
        <v>155</v>
      </c>
      <c r="AK77" s="68" t="str">
        <f>All_PCC_a[[#This Row],[Min Temp (deg.C)]]&amp;" to +"&amp;All_PCC_a[[#This Row],[Max Temp (deg.C)]]</f>
        <v>-55 to +155</v>
      </c>
      <c r="AL77" s="68"/>
      <c r="AO77" s="87" t="s">
        <v>138</v>
      </c>
      <c r="AP77" s="97" t="str">
        <f t="shared" si="10"/>
        <v>-</v>
      </c>
      <c r="AQ77" s="87" t="s">
        <v>138</v>
      </c>
      <c r="AR77" s="87" t="s">
        <v>138</v>
      </c>
      <c r="AS77" s="68" t="s">
        <v>944</v>
      </c>
      <c r="AT77" s="95" t="s">
        <v>606</v>
      </c>
      <c r="AU77" s="96" t="e" vm="9">
        <f>_xlfn.IMAGE(All_PCC_a[[#This Row],[Image URL]])</f>
        <v>#VALUE!</v>
      </c>
      <c r="AW77" s="68"/>
      <c r="AY77" s="68"/>
      <c r="BC77" s="96">
        <f>IF(Z77&lt;('DCDC Ref'!$J$24/'DCDC Ref'!$J$26)*'DCDC Ref'!$J$28/100,0,1)</f>
        <v>1</v>
      </c>
      <c r="BD77" s="360">
        <f>IF(BC77=1000000000,"",('All Data'!Q77-'DCDC Ref'!$J$30)/'DCDC Ref'!$J$30*100)</f>
        <v>976.04395604395597</v>
      </c>
      <c r="BE77" s="295">
        <f t="shared" si="12"/>
        <v>976.04395604395597</v>
      </c>
      <c r="BF77" s="295"/>
      <c r="BG77" s="360"/>
      <c r="BH77" s="361">
        <f t="shared" si="13"/>
        <v>0</v>
      </c>
      <c r="BI77" s="295"/>
      <c r="BJ77" s="96">
        <f>IF(BC77=0,"",('All Data'!Z77-'DCDC Ref'!$J$28*('DCDC Ref'!$J$29/100))/'DCDC Ref'!$J$28*('DCDC Ref'!$J$29/100)*100)</f>
        <v>-45.310344827586221</v>
      </c>
      <c r="BK77" s="361">
        <f t="shared" si="14"/>
        <v>10000</v>
      </c>
      <c r="BL77" s="361"/>
      <c r="BM77" s="361"/>
      <c r="BN77" s="361"/>
      <c r="BO77" s="361"/>
      <c r="BP77" s="96"/>
      <c r="BQ77" s="298">
        <f t="shared" si="15"/>
        <v>4930219.7802197803</v>
      </c>
      <c r="BR77" s="298">
        <f>IF(BQ77="","",RANK(BQ77,BQ$11:BQ$9930,1)+COUNTIF(BQ$11:BQ77,BQ77)-1)</f>
        <v>88</v>
      </c>
      <c r="BS77" s="299">
        <f t="shared" si="11"/>
        <v>88</v>
      </c>
      <c r="BT77" s="96" t="str">
        <f>IFERROR(INDEX($O$11:$O$1013,MATCH(ROWS($BS$11:BS77),$BS$11:$BS$1005,0)),"")</f>
        <v>ETQP6M3R3YLC</v>
      </c>
      <c r="BU77" s="299" t="str">
        <f t="shared" si="16"/>
        <v>ETQP6M3R3YLC</v>
      </c>
      <c r="BV77" s="96"/>
    </row>
    <row r="78" spans="1:74" ht="15">
      <c r="A78" s="95">
        <v>64</v>
      </c>
      <c r="B78" s="259" t="s">
        <v>584</v>
      </c>
      <c r="C78" s="95"/>
      <c r="D78" s="95" t="s">
        <v>585</v>
      </c>
      <c r="E78" s="109"/>
      <c r="F78" s="68" t="s">
        <v>153</v>
      </c>
      <c r="G78" s="69" t="s">
        <v>586</v>
      </c>
      <c r="H78" s="68" t="s">
        <v>587</v>
      </c>
      <c r="I78" s="69" t="s">
        <v>588</v>
      </c>
      <c r="J78" s="68" t="s">
        <v>589</v>
      </c>
      <c r="K78" s="68" t="s">
        <v>601</v>
      </c>
      <c r="L78" s="68" t="s">
        <v>620</v>
      </c>
      <c r="M78" s="68" t="s">
        <v>621</v>
      </c>
      <c r="N78" s="68" t="s">
        <v>593</v>
      </c>
      <c r="O78" s="34" t="s">
        <v>86</v>
      </c>
      <c r="P78" s="37" t="str">
        <f>MID(All_PCC_a[[#This Row],[Part Number]],7,3)</f>
        <v>6R8</v>
      </c>
      <c r="Q78" s="87">
        <v>6.8</v>
      </c>
      <c r="R78" s="87" t="str">
        <f>IF(All_PCC_a[[#This Row],[Lo (uH)]]&lt;1,"&lt;1",IF(All_PCC_a[[#This Row],[Lo (uH)]]&lt;10,"&lt;10",IF(All_PCC_a[[#This Row],[Lo (uH)]]&lt;100,"&lt;100",IF(All_PCC_a[[#This Row],[Lo (uH)]]&lt;2000,"&lt;2000",""))))</f>
        <v>&lt;10</v>
      </c>
      <c r="S78" s="87" t="str">
        <f>IFERROR(VLOOKUP(All_PCC_a[[#This Row],[Lo (uH)]],Utility!$D$5:$E$43,2,1),"-")</f>
        <v>≤   7</v>
      </c>
      <c r="T78" s="88">
        <v>0.2</v>
      </c>
      <c r="U78" s="128">
        <v>45.6</v>
      </c>
      <c r="V78" s="128">
        <v>50.16</v>
      </c>
      <c r="W78" s="68">
        <v>10</v>
      </c>
      <c r="X78" s="87">
        <v>4.5</v>
      </c>
      <c r="Y78" s="68">
        <v>3.6</v>
      </c>
      <c r="Z78" s="120">
        <v>8.1</v>
      </c>
      <c r="AA78" s="87">
        <v>5.48</v>
      </c>
      <c r="AB78" s="68">
        <v>6.4</v>
      </c>
      <c r="AC78" s="68">
        <v>6</v>
      </c>
      <c r="AD78" s="87">
        <v>3</v>
      </c>
      <c r="AE78" s="68">
        <f>ROUND(All_PCC_a[[#This Row],[L (mm)]]*All_PCC_a[[#This Row],[W (mm)]],1)</f>
        <v>38.4</v>
      </c>
      <c r="AF78" s="87" t="str">
        <f>All_PCC_a[[#This Row],[L (mm)]]&amp;"  x  "&amp;All_PCC_a[[#This Row],[W (mm)]]</f>
        <v>6.4  x  6</v>
      </c>
      <c r="AG78" s="91" t="s">
        <v>618</v>
      </c>
      <c r="AH78" s="97" t="str">
        <f>IF(All_PCC_a[[#This Row],[Max Height (mm)]]&lt;=9,"≤ "&amp;ROUNDUP(AD78,0),"≤"&amp;ROUNDUP(AD78,0))</f>
        <v>≤ 3</v>
      </c>
      <c r="AI78" s="68">
        <v>-55</v>
      </c>
      <c r="AJ78" s="68">
        <v>155</v>
      </c>
      <c r="AK78" s="68" t="str">
        <f>All_PCC_a[[#This Row],[Min Temp (deg.C)]]&amp;" to +"&amp;All_PCC_a[[#This Row],[Max Temp (deg.C)]]</f>
        <v>-55 to +155</v>
      </c>
      <c r="AL78" s="68"/>
      <c r="AO78" s="68" t="s">
        <v>138</v>
      </c>
      <c r="AP78" s="97" t="str">
        <f t="shared" ref="AP78:AP109" si="17">IFERROR(IF(L1Round&gt;1,ROUND(L1Round,1),L1Round),"-")</f>
        <v>-</v>
      </c>
      <c r="AQ78" s="68" t="s">
        <v>138</v>
      </c>
      <c r="AR78" s="87" t="s">
        <v>138</v>
      </c>
      <c r="AS78" s="68" t="s">
        <v>945</v>
      </c>
      <c r="AT78" s="95" t="s">
        <v>606</v>
      </c>
      <c r="AU78" s="96" t="e" vm="9">
        <f>_xlfn.IMAGE(All_PCC_a[[#This Row],[Image URL]])</f>
        <v>#VALUE!</v>
      </c>
      <c r="AW78" s="68"/>
      <c r="AY78" s="68"/>
      <c r="BC78" s="96">
        <f>IF(Z78&lt;('DCDC Ref'!$J$24/'DCDC Ref'!$J$26)*'DCDC Ref'!$J$28/100,0,1)</f>
        <v>1</v>
      </c>
      <c r="BD78" s="360">
        <f>IF(BC78=1000000000,"",('All Data'!Q78-'DCDC Ref'!$J$30)/'DCDC Ref'!$J$30*100)</f>
        <v>976.04395604395597</v>
      </c>
      <c r="BE78" s="295">
        <f t="shared" si="12"/>
        <v>976.04395604395597</v>
      </c>
      <c r="BF78" s="295"/>
      <c r="BG78" s="360"/>
      <c r="BH78" s="361">
        <f t="shared" si="13"/>
        <v>0</v>
      </c>
      <c r="BI78" s="295"/>
      <c r="BJ78" s="96">
        <f>IF(BC78=0,"",('All Data'!Z78-'DCDC Ref'!$J$28*('DCDC Ref'!$J$29/100))/'DCDC Ref'!$J$28*('DCDC Ref'!$J$29/100)*100)</f>
        <v>-27.379310344827594</v>
      </c>
      <c r="BK78" s="361">
        <f t="shared" si="14"/>
        <v>10000</v>
      </c>
      <c r="BL78" s="361"/>
      <c r="BM78" s="361"/>
      <c r="BN78" s="361"/>
      <c r="BO78" s="361"/>
      <c r="BP78" s="96"/>
      <c r="BQ78" s="298">
        <f t="shared" si="15"/>
        <v>4930219.7802197803</v>
      </c>
      <c r="BR78" s="298">
        <f>IF(BQ78="","",RANK(BQ78,BQ$11:BQ$9930,1)+COUNTIF(BQ$11:BQ78,BQ78)-1)</f>
        <v>89</v>
      </c>
      <c r="BS78" s="299">
        <f t="shared" si="11"/>
        <v>89</v>
      </c>
      <c r="BT78" s="96" t="str">
        <f>IFERROR(INDEX($O$11:$O$1013,MATCH(ROWS($BS$11:BS78),$BS$11:$BS$1005,0)),"")</f>
        <v>ETQP8M3R3JFA</v>
      </c>
      <c r="BU78" s="299" t="str">
        <f t="shared" si="16"/>
        <v>ETQP8M3R3JFA</v>
      </c>
      <c r="BV78" s="96"/>
    </row>
    <row r="79" spans="1:74" ht="15">
      <c r="A79" s="95">
        <v>75</v>
      </c>
      <c r="B79" s="259" t="s">
        <v>584</v>
      </c>
      <c r="C79" s="95"/>
      <c r="D79" s="95" t="s">
        <v>585</v>
      </c>
      <c r="E79" s="109"/>
      <c r="F79" s="68" t="s">
        <v>153</v>
      </c>
      <c r="G79" s="69" t="s">
        <v>586</v>
      </c>
      <c r="H79" s="68" t="s">
        <v>587</v>
      </c>
      <c r="I79" s="69" t="s">
        <v>588</v>
      </c>
      <c r="J79" s="68" t="s">
        <v>589</v>
      </c>
      <c r="K79" s="68" t="s">
        <v>601</v>
      </c>
      <c r="L79" s="68" t="s">
        <v>622</v>
      </c>
      <c r="M79" s="68" t="s">
        <v>623</v>
      </c>
      <c r="N79" s="68" t="s">
        <v>593</v>
      </c>
      <c r="O79" s="34" t="s">
        <v>88</v>
      </c>
      <c r="P79" s="37" t="str">
        <f>MID(All_PCC_a[[#This Row],[Part Number]],7,3)</f>
        <v>6R8</v>
      </c>
      <c r="Q79" s="87">
        <v>6.8</v>
      </c>
      <c r="R79" s="87" t="str">
        <f>IF(All_PCC_a[[#This Row],[Lo (uH)]]&lt;1,"&lt;1",IF(All_PCC_a[[#This Row],[Lo (uH)]]&lt;10,"&lt;10",IF(All_PCC_a[[#This Row],[Lo (uH)]]&lt;100,"&lt;100",IF(All_PCC_a[[#This Row],[Lo (uH)]]&lt;2000,"&lt;2000",""))))</f>
        <v>&lt;10</v>
      </c>
      <c r="S79" s="87" t="str">
        <f>IFERROR(VLOOKUP(All_PCC_a[[#This Row],[Lo (uH)]],Utility!$D$5:$E$43,2,1),"-")</f>
        <v>≤   7</v>
      </c>
      <c r="T79" s="88">
        <v>0.2</v>
      </c>
      <c r="U79" s="126">
        <v>23.5</v>
      </c>
      <c r="V79" s="126">
        <v>25.85</v>
      </c>
      <c r="W79" s="87">
        <v>10</v>
      </c>
      <c r="X79" s="87">
        <v>6.9</v>
      </c>
      <c r="Y79" s="87">
        <v>5.9</v>
      </c>
      <c r="Z79" s="117">
        <v>11</v>
      </c>
      <c r="AA79" s="87">
        <v>7.59</v>
      </c>
      <c r="AB79" s="68">
        <v>8.4</v>
      </c>
      <c r="AC79" s="68">
        <v>8</v>
      </c>
      <c r="AD79" s="87">
        <v>4</v>
      </c>
      <c r="AE79" s="68">
        <f>ROUND(All_PCC_a[[#This Row],[L (mm)]]*All_PCC_a[[#This Row],[W (mm)]],1)</f>
        <v>67.2</v>
      </c>
      <c r="AF79" s="87" t="str">
        <f>All_PCC_a[[#This Row],[L (mm)]]&amp;"  x  "&amp;All_PCC_a[[#This Row],[W (mm)]]</f>
        <v>8.4  x  8</v>
      </c>
      <c r="AG79" s="99" t="s">
        <v>624</v>
      </c>
      <c r="AH79" s="97" t="str">
        <f>IF(All_PCC_a[[#This Row],[Max Height (mm)]]&lt;=9,"≤ "&amp;ROUNDUP(AD79,0),"≤"&amp;ROUNDUP(AD79,0))</f>
        <v>≤ 4</v>
      </c>
      <c r="AI79" s="68">
        <v>-55</v>
      </c>
      <c r="AJ79" s="68">
        <v>155</v>
      </c>
      <c r="AK79" s="68" t="str">
        <f>All_PCC_a[[#This Row],[Min Temp (deg.C)]]&amp;" to +"&amp;All_PCC_a[[#This Row],[Max Temp (deg.C)]]</f>
        <v>-55 to +155</v>
      </c>
      <c r="AL79" s="68"/>
      <c r="AO79" s="87" t="s">
        <v>138</v>
      </c>
      <c r="AP79" s="97" t="str">
        <f t="shared" si="17"/>
        <v>-</v>
      </c>
      <c r="AQ79" s="87" t="s">
        <v>138</v>
      </c>
      <c r="AR79" s="87" t="s">
        <v>138</v>
      </c>
      <c r="AS79" s="68" t="s">
        <v>946</v>
      </c>
      <c r="AT79" s="95" t="s">
        <v>606</v>
      </c>
      <c r="AU79" s="96" t="e" vm="9">
        <f>_xlfn.IMAGE(All_PCC_a[[#This Row],[Image URL]])</f>
        <v>#VALUE!</v>
      </c>
      <c r="AW79" s="68"/>
      <c r="AY79" s="68"/>
      <c r="BC79" s="96">
        <f>IF(Z79&lt;('DCDC Ref'!$J$24/'DCDC Ref'!$J$26)*'DCDC Ref'!$J$28/100,0,1)</f>
        <v>1</v>
      </c>
      <c r="BD79" s="360">
        <f>IF(BC79=1000000000,"",('All Data'!Q79-'DCDC Ref'!$J$30)/'DCDC Ref'!$J$30*100)</f>
        <v>976.04395604395597</v>
      </c>
      <c r="BE79" s="295">
        <f t="shared" si="12"/>
        <v>976.04395604395597</v>
      </c>
      <c r="BF79" s="295"/>
      <c r="BG79" s="360"/>
      <c r="BH79" s="361">
        <f t="shared" si="13"/>
        <v>0</v>
      </c>
      <c r="BI79" s="295"/>
      <c r="BJ79" s="96">
        <f>IF(BC79=0,"",('All Data'!Z79-'DCDC Ref'!$J$28*('DCDC Ref'!$J$29/100))/'DCDC Ref'!$J$28*('DCDC Ref'!$J$29/100)*100)</f>
        <v>-1.3793103448275972</v>
      </c>
      <c r="BK79" s="361">
        <f t="shared" si="14"/>
        <v>10000</v>
      </c>
      <c r="BL79" s="361"/>
      <c r="BM79" s="361"/>
      <c r="BN79" s="361"/>
      <c r="BO79" s="361"/>
      <c r="BP79" s="96"/>
      <c r="BQ79" s="298">
        <f t="shared" si="15"/>
        <v>4930219.7802197803</v>
      </c>
      <c r="BR79" s="298">
        <f>IF(BQ79="","",RANK(BQ79,BQ$11:BQ$9930,1)+COUNTIF(BQ$11:BQ79,BQ79)-1)</f>
        <v>90</v>
      </c>
      <c r="BS79" s="299">
        <f t="shared" si="11"/>
        <v>90</v>
      </c>
      <c r="BT79" s="96" t="str">
        <f>IFERROR(INDEX($O$11:$O$1013,MATCH(ROWS($BS$11:BS79),$BS$11:$BS$1005,0)),"")</f>
        <v>ETQPAM3R3JFW</v>
      </c>
      <c r="BU79" s="299" t="str">
        <f t="shared" si="16"/>
        <v>ETQPAM3R3JFW</v>
      </c>
      <c r="BV79" s="96"/>
    </row>
    <row r="80" spans="1:74" ht="15">
      <c r="A80" s="95">
        <v>87</v>
      </c>
      <c r="B80" s="259" t="s">
        <v>584</v>
      </c>
      <c r="C80" s="95"/>
      <c r="D80" s="95" t="s">
        <v>585</v>
      </c>
      <c r="E80" s="109"/>
      <c r="F80" s="68" t="s">
        <v>153</v>
      </c>
      <c r="G80" s="69" t="s">
        <v>586</v>
      </c>
      <c r="H80" s="68" t="s">
        <v>587</v>
      </c>
      <c r="I80" s="69" t="s">
        <v>588</v>
      </c>
      <c r="J80" s="68" t="s">
        <v>589</v>
      </c>
      <c r="K80" s="68" t="s">
        <v>601</v>
      </c>
      <c r="L80" s="68" t="s">
        <v>629</v>
      </c>
      <c r="M80" s="68" t="s">
        <v>630</v>
      </c>
      <c r="N80" s="68" t="s">
        <v>593</v>
      </c>
      <c r="O80" s="34" t="s">
        <v>90</v>
      </c>
      <c r="P80" s="37" t="str">
        <f>MID(All_PCC_a[[#This Row],[Part Number]],7,3)</f>
        <v>6R8</v>
      </c>
      <c r="Q80" s="87">
        <v>6.8</v>
      </c>
      <c r="R80" s="87" t="str">
        <f>IF(All_PCC_a[[#This Row],[Lo (uH)]]&lt;1,"&lt;1",IF(All_PCC_a[[#This Row],[Lo (uH)]]&lt;10,"&lt;10",IF(All_PCC_a[[#This Row],[Lo (uH)]]&lt;100,"&lt;100",IF(All_PCC_a[[#This Row],[Lo (uH)]]&lt;2000,"&lt;2000",""))))</f>
        <v>&lt;10</v>
      </c>
      <c r="S80" s="87" t="str">
        <f>IFERROR(VLOOKUP(All_PCC_a[[#This Row],[Lo (uH)]],Utility!$D$5:$E$43,2,1),"-")</f>
        <v>≤   7</v>
      </c>
      <c r="T80" s="88">
        <v>0.2</v>
      </c>
      <c r="U80" s="126">
        <v>18.5</v>
      </c>
      <c r="V80" s="126">
        <v>20.350000000000001</v>
      </c>
      <c r="W80" s="87">
        <v>10</v>
      </c>
      <c r="X80" s="87">
        <v>8.9</v>
      </c>
      <c r="Y80" s="121">
        <v>7.4</v>
      </c>
      <c r="Z80" s="122">
        <v>12.1</v>
      </c>
      <c r="AA80" s="87">
        <v>8.92</v>
      </c>
      <c r="AB80" s="68">
        <v>10.7</v>
      </c>
      <c r="AC80" s="68">
        <v>10</v>
      </c>
      <c r="AD80" s="87">
        <v>4</v>
      </c>
      <c r="AE80" s="68">
        <f>ROUND(All_PCC_a[[#This Row],[L (mm)]]*All_PCC_a[[#This Row],[W (mm)]],1)</f>
        <v>107</v>
      </c>
      <c r="AF80" s="87" t="str">
        <f>All_PCC_a[[#This Row],[L (mm)]]&amp;"  x  "&amp;All_PCC_a[[#This Row],[W (mm)]]</f>
        <v>10.7  x  10</v>
      </c>
      <c r="AG80" s="91" t="s">
        <v>324</v>
      </c>
      <c r="AH80" s="97" t="str">
        <f>IF(All_PCC_a[[#This Row],[Max Height (mm)]]&lt;=9,"≤ "&amp;ROUNDUP(AD80,0),"≤"&amp;ROUNDUP(AD80,0))</f>
        <v>≤ 4</v>
      </c>
      <c r="AI80" s="68">
        <v>-55</v>
      </c>
      <c r="AJ80" s="68">
        <v>155</v>
      </c>
      <c r="AK80" s="68" t="str">
        <f>All_PCC_a[[#This Row],[Min Temp (deg.C)]]&amp;" to +"&amp;All_PCC_a[[#This Row],[Max Temp (deg.C)]]</f>
        <v>-55 to +155</v>
      </c>
      <c r="AL80" s="68"/>
      <c r="AO80" s="87" t="s">
        <v>138</v>
      </c>
      <c r="AP80" s="97" t="str">
        <f t="shared" si="17"/>
        <v>-</v>
      </c>
      <c r="AQ80" s="87" t="s">
        <v>138</v>
      </c>
      <c r="AR80" s="87" t="s">
        <v>138</v>
      </c>
      <c r="AS80" s="68" t="s">
        <v>947</v>
      </c>
      <c r="AT80" s="95" t="s">
        <v>606</v>
      </c>
      <c r="AU80" s="96" t="e" vm="9">
        <f>_xlfn.IMAGE(All_PCC_a[[#This Row],[Image URL]])</f>
        <v>#VALUE!</v>
      </c>
      <c r="AW80" s="68"/>
      <c r="AY80" s="68"/>
      <c r="BC80" s="96">
        <f>IF(Z80&lt;('DCDC Ref'!$J$24/'DCDC Ref'!$J$26)*'DCDC Ref'!$J$28/100,0,1)</f>
        <v>1</v>
      </c>
      <c r="BD80" s="360">
        <f>IF(BC80=1000000000,"",('All Data'!Q80-'DCDC Ref'!$J$30)/'DCDC Ref'!$J$30*100)</f>
        <v>976.04395604395597</v>
      </c>
      <c r="BE80" s="295">
        <f t="shared" si="12"/>
        <v>976.04395604395597</v>
      </c>
      <c r="BF80" s="295"/>
      <c r="BG80" s="360"/>
      <c r="BH80" s="361">
        <f t="shared" si="13"/>
        <v>0</v>
      </c>
      <c r="BI80" s="295"/>
      <c r="BJ80" s="96">
        <f>IF(BC80=0,"",('All Data'!Z80-'DCDC Ref'!$J$28*('DCDC Ref'!$J$29/100))/'DCDC Ref'!$J$28*('DCDC Ref'!$J$29/100)*100)</f>
        <v>8.4827586206896406</v>
      </c>
      <c r="BK80" s="361">
        <f t="shared" si="14"/>
        <v>8.4827586206896406</v>
      </c>
      <c r="BL80" s="361"/>
      <c r="BM80" s="361"/>
      <c r="BN80" s="361"/>
      <c r="BO80" s="361"/>
      <c r="BP80" s="96"/>
      <c r="BQ80" s="298">
        <f t="shared" si="15"/>
        <v>4880262.1940128841</v>
      </c>
      <c r="BR80" s="298">
        <f>IF(BQ80="","",RANK(BQ80,BQ$11:BQ$9930,1)+COUNTIF(BQ$11:BQ80,BQ80)-1)</f>
        <v>85</v>
      </c>
      <c r="BS80" s="299">
        <f t="shared" si="11"/>
        <v>85</v>
      </c>
      <c r="BT80" s="96" t="str">
        <f>IFERROR(INDEX($O$11:$O$1013,MATCH(ROWS($BS$11:BS80),$BS$11:$BS$1005,0)),"")</f>
        <v>ETQP3M3R3YFP</v>
      </c>
      <c r="BU80" s="299" t="str">
        <f t="shared" si="16"/>
        <v>ETQP3M3R3YFP</v>
      </c>
      <c r="BV80" s="96"/>
    </row>
    <row r="81" spans="1:74">
      <c r="A81" s="95">
        <v>114</v>
      </c>
      <c r="B81" s="259" t="s">
        <v>584</v>
      </c>
      <c r="C81" s="95" t="s">
        <v>672</v>
      </c>
      <c r="D81" s="95" t="s">
        <v>585</v>
      </c>
      <c r="E81" s="134"/>
      <c r="F81" s="95" t="s">
        <v>153</v>
      </c>
      <c r="G81" s="231" t="s">
        <v>586</v>
      </c>
      <c r="H81" s="95" t="s">
        <v>587</v>
      </c>
      <c r="I81" s="231" t="s">
        <v>588</v>
      </c>
      <c r="J81" s="95" t="s">
        <v>589</v>
      </c>
      <c r="K81" s="95" t="s">
        <v>654</v>
      </c>
      <c r="L81" s="95" t="s">
        <v>655</v>
      </c>
      <c r="M81" s="95" t="s">
        <v>656</v>
      </c>
      <c r="N81" s="95" t="s">
        <v>593</v>
      </c>
      <c r="O81" s="34" t="s">
        <v>673</v>
      </c>
      <c r="P81" s="37" t="str">
        <f>MID(All_PCC_a[[#This Row],[Part Number]],7,3)</f>
        <v>6R8</v>
      </c>
      <c r="Q81" s="129">
        <v>6.8</v>
      </c>
      <c r="R81" s="130" t="str">
        <f>IF(All_PCC_a[[#This Row],[Lo (uH)]]&lt;1,"&lt;1",IF(All_PCC_a[[#This Row],[Lo (uH)]]&lt;10,"&lt;10",IF(All_PCC_a[[#This Row],[Lo (uH)]]&lt;100,"&lt;100",IF(All_PCC_a[[#This Row],[Lo (uH)]]&lt;2000,"&lt;2000",""))))</f>
        <v>&lt;10</v>
      </c>
      <c r="S81" s="97" t="str">
        <f>IFERROR(VLOOKUP(All_PCC_a[[#This Row],[Lo (uH)]],Utility!$D$5:$E$43,2,1),"-")</f>
        <v>≤   7</v>
      </c>
      <c r="T81" s="250">
        <v>0.2</v>
      </c>
      <c r="U81" s="131">
        <v>32.1</v>
      </c>
      <c r="V81" s="125">
        <v>35.31</v>
      </c>
      <c r="W81" s="97">
        <v>10</v>
      </c>
      <c r="X81" s="130">
        <v>5.9</v>
      </c>
      <c r="Y81" s="129">
        <v>4.5999999999999996</v>
      </c>
      <c r="Z81" s="251">
        <v>9.9</v>
      </c>
      <c r="AA81" s="129">
        <v>7.1</v>
      </c>
      <c r="AB81" s="95">
        <v>6.4</v>
      </c>
      <c r="AC81" s="95">
        <v>6</v>
      </c>
      <c r="AD81" s="129">
        <v>4.8</v>
      </c>
      <c r="AE81" s="95">
        <f>ROUND(All_PCC_a[[#This Row],[L (mm)]]*All_PCC_a[[#This Row],[W (mm)]],1)</f>
        <v>38.4</v>
      </c>
      <c r="AF81" s="87" t="str">
        <f>All_PCC_a[[#This Row],[L (mm)]]&amp;"  x  "&amp;All_PCC_a[[#This Row],[W (mm)]]</f>
        <v>6.4  x  6</v>
      </c>
      <c r="AG81" s="91" t="s">
        <v>618</v>
      </c>
      <c r="AH81" s="97" t="str">
        <f>IF(All_PCC_a[[#This Row],[Max Height (mm)]]&lt;=9,"≤ "&amp;ROUNDUP(AD81,0),"≤"&amp;ROUNDUP(AD81,0))</f>
        <v>≤ 5</v>
      </c>
      <c r="AI81" s="95">
        <v>-40</v>
      </c>
      <c r="AJ81" s="95">
        <v>150</v>
      </c>
      <c r="AK81" s="68" t="str">
        <f>All_PCC_a[[#This Row],[Min Temp (deg.C)]]&amp;" to +"&amp;All_PCC_a[[#This Row],[Max Temp (deg.C)]]</f>
        <v>-40 to +150</v>
      </c>
      <c r="AL81" s="95"/>
      <c r="AM81" s="95"/>
      <c r="AN81" s="95"/>
      <c r="AO81" s="87" t="s">
        <v>138</v>
      </c>
      <c r="AP81" s="130" t="str">
        <f t="shared" si="17"/>
        <v>-</v>
      </c>
      <c r="AQ81" s="87" t="s">
        <v>138</v>
      </c>
      <c r="AR81" s="87" t="s">
        <v>138</v>
      </c>
      <c r="AS81" s="68" t="s">
        <v>948</v>
      </c>
      <c r="AT81" s="68" t="s">
        <v>657</v>
      </c>
      <c r="AU81" s="96" t="e" vm="12">
        <f>_xlfn.IMAGE(All_PCC_a[[#This Row],[Image URL]])</f>
        <v>#VALUE!</v>
      </c>
      <c r="AV81" s="95"/>
      <c r="AW81" s="95"/>
      <c r="AY81" s="68"/>
      <c r="BC81" s="96">
        <f>IF(Z81&lt;('DCDC Ref'!$J$24/'DCDC Ref'!$J$26)*'DCDC Ref'!$J$28/100,0,1)</f>
        <v>1</v>
      </c>
      <c r="BD81" s="360">
        <f>IF(BC81=1000000000,"",('All Data'!Q81-'DCDC Ref'!$J$30)/'DCDC Ref'!$J$30*100)</f>
        <v>976.04395604395597</v>
      </c>
      <c r="BE81" s="295">
        <f t="shared" si="12"/>
        <v>976.04395604395597</v>
      </c>
      <c r="BF81" s="295"/>
      <c r="BG81" s="360"/>
      <c r="BH81" s="361">
        <f t="shared" si="13"/>
        <v>0</v>
      </c>
      <c r="BI81" s="295"/>
      <c r="BJ81" s="96">
        <f>IF(BC81=0,"",('All Data'!Z81-'DCDC Ref'!$J$28*('DCDC Ref'!$J$29/100))/'DCDC Ref'!$J$28*('DCDC Ref'!$J$29/100)*100)</f>
        <v>-11.241379310344835</v>
      </c>
      <c r="BK81" s="361">
        <f t="shared" si="14"/>
        <v>10000</v>
      </c>
      <c r="BL81" s="361"/>
      <c r="BM81" s="361"/>
      <c r="BN81" s="361"/>
      <c r="BO81" s="361"/>
      <c r="BP81" s="96"/>
      <c r="BQ81" s="298">
        <f t="shared" si="15"/>
        <v>4930219.7802197803</v>
      </c>
      <c r="BR81" s="298">
        <f>IF(BQ81="","",RANK(BQ81,BQ$11:BQ$9930,1)+COUNTIF(BQ$11:BQ81,BQ81)-1)</f>
        <v>91</v>
      </c>
      <c r="BS81" s="299">
        <f t="shared" si="11"/>
        <v>91</v>
      </c>
      <c r="BT81" s="96" t="str">
        <f>IFERROR(INDEX($O$11:$O$1013,MATCH(ROWS($BS$11:BS81),$BS$11:$BS$1005,0)),"")</f>
        <v>ETQP3M3R3KVP</v>
      </c>
      <c r="BU81" s="299" t="str">
        <f t="shared" si="16"/>
        <v>ETQP3M3R3KVP</v>
      </c>
      <c r="BV81" s="96"/>
    </row>
    <row r="82" spans="1:74">
      <c r="A82" s="95">
        <v>5</v>
      </c>
      <c r="B82" s="259" t="s">
        <v>584</v>
      </c>
      <c r="C82" s="95"/>
      <c r="D82" s="95" t="s">
        <v>585</v>
      </c>
      <c r="E82" s="110"/>
      <c r="F82" s="68" t="s">
        <v>153</v>
      </c>
      <c r="G82" s="69" t="s">
        <v>586</v>
      </c>
      <c r="H82" s="68" t="s">
        <v>587</v>
      </c>
      <c r="I82" s="69" t="s">
        <v>588</v>
      </c>
      <c r="J82" s="68" t="s">
        <v>589</v>
      </c>
      <c r="K82" s="68" t="s">
        <v>590</v>
      </c>
      <c r="L82" s="68" t="s">
        <v>645</v>
      </c>
      <c r="M82" s="68" t="s">
        <v>653</v>
      </c>
      <c r="N82" s="68" t="s">
        <v>22</v>
      </c>
      <c r="O82" s="34" t="s">
        <v>93</v>
      </c>
      <c r="P82" s="37" t="str">
        <f>MID(All_PCC_a[[#This Row],[Part Number]],7,3)</f>
        <v>100</v>
      </c>
      <c r="Q82" s="90">
        <v>10</v>
      </c>
      <c r="R82" s="87" t="str">
        <f>IF(All_PCC_a[[#This Row],[Lo (uH)]]&lt;1,"&lt;1",IF(All_PCC_a[[#This Row],[Lo (uH)]]&lt;10,"&lt;10",IF(All_PCC_a[[#This Row],[Lo (uH)]]&lt;100,"&lt;100",IF(All_PCC_a[[#This Row],[Lo (uH)]]&lt;2000,"&lt;2000",""))))</f>
        <v>&lt;100</v>
      </c>
      <c r="S82" s="87" t="str">
        <f>IFERROR(VLOOKUP(All_PCC_a[[#This Row],[Lo (uH)]],Utility!$D$5:$E$43,2,1),"-")</f>
        <v>≤  10</v>
      </c>
      <c r="T82" s="88">
        <v>0.2</v>
      </c>
      <c r="U82" s="125">
        <v>54.2</v>
      </c>
      <c r="V82" s="125">
        <v>59.620000000000005</v>
      </c>
      <c r="W82" s="87">
        <v>10</v>
      </c>
      <c r="X82" s="87">
        <v>4.5</v>
      </c>
      <c r="Y82" s="87">
        <v>3.5</v>
      </c>
      <c r="Z82" s="117">
        <v>8.3000000000000007</v>
      </c>
      <c r="AA82" s="87">
        <v>5.77</v>
      </c>
      <c r="AB82" s="68">
        <v>6.5</v>
      </c>
      <c r="AC82" s="68">
        <v>6</v>
      </c>
      <c r="AD82" s="87">
        <v>4.5</v>
      </c>
      <c r="AE82" s="68">
        <f>ROUND(All_PCC_a[[#This Row],[L (mm)]]*All_PCC_a[[#This Row],[W (mm)]],1)</f>
        <v>39</v>
      </c>
      <c r="AF82" s="87" t="str">
        <f>All_PCC_a[[#This Row],[L (mm)]]&amp;"  x  "&amp;All_PCC_a[[#This Row],[W (mm)]]</f>
        <v>6.5  x  6</v>
      </c>
      <c r="AG82" s="89" t="s">
        <v>618</v>
      </c>
      <c r="AH82" s="87" t="str">
        <f>IF(All_PCC_a[[#This Row],[Max Height (mm)]]&lt;=9,"≤ "&amp;ROUNDUP(AD82,0),"≤"&amp;ROUNDUP(AD82,0))</f>
        <v>≤ 5</v>
      </c>
      <c r="AI82" s="72">
        <v>-40</v>
      </c>
      <c r="AJ82" s="72">
        <v>150</v>
      </c>
      <c r="AK82" s="68" t="str">
        <f>All_PCC_a[[#This Row],[Min Temp (deg.C)]]&amp;" to +"&amp;All_PCC_a[[#This Row],[Max Temp (deg.C)]]</f>
        <v>-40 to +150</v>
      </c>
      <c r="AL82" s="68"/>
      <c r="AO82" s="87" t="s">
        <v>124</v>
      </c>
      <c r="AP82" s="87" t="str">
        <f t="shared" si="17"/>
        <v>-</v>
      </c>
      <c r="AQ82" s="88" t="s">
        <v>138</v>
      </c>
      <c r="AR82" s="87" t="s">
        <v>138</v>
      </c>
      <c r="AS82" s="68" t="s">
        <v>949</v>
      </c>
      <c r="AT82" s="68" t="s">
        <v>594</v>
      </c>
      <c r="AU82" s="96" t="e" vm="7">
        <f>_xlfn.IMAGE(All_PCC_a[[#This Row],[Image URL]])</f>
        <v>#VALUE!</v>
      </c>
      <c r="AW82" s="68"/>
      <c r="AY82" s="68"/>
      <c r="BC82" s="96">
        <f>IF(Z82&lt;('DCDC Ref'!$J$24/'DCDC Ref'!$J$26)*'DCDC Ref'!$J$28/100,0,1)</f>
        <v>1</v>
      </c>
      <c r="BD82" s="360">
        <f>IF(BC82=1000000000,"",('All Data'!Q82-'DCDC Ref'!$J$30)/'DCDC Ref'!$J$30*100)</f>
        <v>1482.4175824175825</v>
      </c>
      <c r="BE82" s="295">
        <f t="shared" si="12"/>
        <v>1482.4175824175825</v>
      </c>
      <c r="BF82" s="295"/>
      <c r="BG82" s="360"/>
      <c r="BH82" s="361">
        <f t="shared" si="13"/>
        <v>0</v>
      </c>
      <c r="BI82" s="295"/>
      <c r="BJ82" s="96">
        <f>IF(BC82=0,"",('All Data'!Z82-'DCDC Ref'!$J$28*('DCDC Ref'!$J$29/100))/'DCDC Ref'!$J$28*('DCDC Ref'!$J$29/100)*100)</f>
        <v>-25.586206896551726</v>
      </c>
      <c r="BK82" s="361">
        <f t="shared" si="14"/>
        <v>10000</v>
      </c>
      <c r="BL82" s="361"/>
      <c r="BM82" s="361"/>
      <c r="BN82" s="361"/>
      <c r="BO82" s="361"/>
      <c r="BP82" s="96"/>
      <c r="BQ82" s="298">
        <f t="shared" si="15"/>
        <v>7462087.9120879127</v>
      </c>
      <c r="BR82" s="298">
        <f>IF(BQ82="","",RANK(BQ82,BQ$11:BQ$9930,1)+COUNTIF(BQ$11:BQ82,BQ82)-1)</f>
        <v>94</v>
      </c>
      <c r="BS82" s="299">
        <f t="shared" si="11"/>
        <v>94</v>
      </c>
      <c r="BT82" s="96" t="str">
        <f>IFERROR(INDEX($O$11:$O$1013,MATCH(ROWS($BS$11:BS82),$BS$11:$BS$1005,0)),"")</f>
        <v>ETQP5M4R7YFM</v>
      </c>
      <c r="BU82" s="299" t="str">
        <f t="shared" si="16"/>
        <v>ETQP5M4R7YFM</v>
      </c>
      <c r="BV82" s="96"/>
    </row>
    <row r="83" spans="1:74" ht="15">
      <c r="A83" s="95">
        <v>17</v>
      </c>
      <c r="B83" s="259" t="s">
        <v>584</v>
      </c>
      <c r="C83" s="95"/>
      <c r="D83" s="95" t="s">
        <v>585</v>
      </c>
      <c r="E83" s="110"/>
      <c r="F83" s="68" t="s">
        <v>153</v>
      </c>
      <c r="G83" s="154" t="s">
        <v>586</v>
      </c>
      <c r="H83" s="96" t="s">
        <v>587</v>
      </c>
      <c r="I83" s="154" t="s">
        <v>588</v>
      </c>
      <c r="J83" s="96" t="s">
        <v>589</v>
      </c>
      <c r="K83" s="96" t="s">
        <v>590</v>
      </c>
      <c r="L83" s="68" t="s">
        <v>631</v>
      </c>
      <c r="M83" s="68" t="s">
        <v>632</v>
      </c>
      <c r="N83" s="96" t="s">
        <v>22</v>
      </c>
      <c r="O83" s="34" t="s">
        <v>95</v>
      </c>
      <c r="P83" s="37" t="str">
        <f>MID(All_PCC_a[[#This Row],[Part Number]],7,3)</f>
        <v>100</v>
      </c>
      <c r="Q83" s="97">
        <v>10</v>
      </c>
      <c r="R83" s="87" t="str">
        <f>IF(All_PCC_a[[#This Row],[Lo (uH)]]&lt;1,"&lt;1",IF(All_PCC_a[[#This Row],[Lo (uH)]]&lt;10,"&lt;10",IF(All_PCC_a[[#This Row],[Lo (uH)]]&lt;100,"&lt;100",IF(All_PCC_a[[#This Row],[Lo (uH)]]&lt;2000,"&lt;2000",""))))</f>
        <v>&lt;100</v>
      </c>
      <c r="S83" s="87" t="str">
        <f>IFERROR(VLOOKUP(All_PCC_a[[#This Row],[Lo (uH)]],Utility!$D$5:$E$43,2,1),"-")</f>
        <v>≤  10</v>
      </c>
      <c r="T83" s="98">
        <v>0.2</v>
      </c>
      <c r="U83" s="127">
        <v>23.8</v>
      </c>
      <c r="V83" s="127">
        <v>26.2</v>
      </c>
      <c r="W83" s="97">
        <v>10</v>
      </c>
      <c r="X83" s="87">
        <v>8.5</v>
      </c>
      <c r="Y83" s="97">
        <v>7.1</v>
      </c>
      <c r="Z83" s="118">
        <v>10.7</v>
      </c>
      <c r="AA83" s="87">
        <v>8.8000000000000007</v>
      </c>
      <c r="AB83" s="96">
        <v>10.7</v>
      </c>
      <c r="AC83" s="96">
        <v>10</v>
      </c>
      <c r="AD83" s="97">
        <v>5.4</v>
      </c>
      <c r="AE83" s="96">
        <f>ROUND(All_PCC_a[[#This Row],[L (mm)]]*All_PCC_a[[#This Row],[W (mm)]],1)</f>
        <v>107</v>
      </c>
      <c r="AF83" s="87" t="str">
        <f>All_PCC_a[[#This Row],[L (mm)]]&amp;"  x  "&amp;All_PCC_a[[#This Row],[W (mm)]]</f>
        <v>10.7  x  10</v>
      </c>
      <c r="AG83" s="99" t="s">
        <v>324</v>
      </c>
      <c r="AH83" s="97" t="str">
        <f>IF(All_PCC_a[[#This Row],[Max Height (mm)]]&lt;=9,"≤ "&amp;ROUNDUP(AD83,0),"≤"&amp;ROUNDUP(AD83,0))</f>
        <v>≤ 6</v>
      </c>
      <c r="AI83" s="100">
        <v>-40</v>
      </c>
      <c r="AJ83" s="100">
        <v>150</v>
      </c>
      <c r="AK83" s="68" t="str">
        <f>All_PCC_a[[#This Row],[Min Temp (deg.C)]]&amp;" to +"&amp;All_PCC_a[[#This Row],[Max Temp (deg.C)]]</f>
        <v>-40 to +150</v>
      </c>
      <c r="AL83" s="96"/>
      <c r="AM83" s="96"/>
      <c r="AN83" s="96"/>
      <c r="AO83" s="97" t="s">
        <v>124</v>
      </c>
      <c r="AP83" s="97" t="str">
        <f t="shared" si="17"/>
        <v>-</v>
      </c>
      <c r="AQ83" s="97" t="s">
        <v>138</v>
      </c>
      <c r="AR83" s="87" t="s">
        <v>138</v>
      </c>
      <c r="AS83" s="68" t="s">
        <v>950</v>
      </c>
      <c r="AT83" s="96" t="s">
        <v>594</v>
      </c>
      <c r="AU83" s="96" t="e" vm="7">
        <f>_xlfn.IMAGE(All_PCC_a[[#This Row],[Image URL]])</f>
        <v>#VALUE!</v>
      </c>
      <c r="AV83" s="96"/>
      <c r="AW83" s="96"/>
      <c r="AY83" s="68"/>
      <c r="BC83" s="96">
        <f>IF(Z83&lt;('DCDC Ref'!$J$24/'DCDC Ref'!$J$26)*'DCDC Ref'!$J$28/100,0,1)</f>
        <v>1</v>
      </c>
      <c r="BD83" s="360">
        <f>IF(BC83=1000000000,"",('All Data'!Q83-'DCDC Ref'!$J$30)/'DCDC Ref'!$J$30*100)</f>
        <v>1482.4175824175825</v>
      </c>
      <c r="BE83" s="295">
        <f t="shared" si="12"/>
        <v>1482.4175824175825</v>
      </c>
      <c r="BF83" s="295"/>
      <c r="BG83" s="360"/>
      <c r="BH83" s="361">
        <f t="shared" si="13"/>
        <v>0</v>
      </c>
      <c r="BI83" s="295"/>
      <c r="BJ83" s="96">
        <f>IF(BC83=0,"",('All Data'!Z83-'DCDC Ref'!$J$28*('DCDC Ref'!$J$29/100))/'DCDC Ref'!$J$28*('DCDC Ref'!$J$29/100)*100)</f>
        <v>-4.0689655172413968</v>
      </c>
      <c r="BK83" s="361">
        <f t="shared" si="14"/>
        <v>10000</v>
      </c>
      <c r="BL83" s="361"/>
      <c r="BM83" s="361"/>
      <c r="BN83" s="361"/>
      <c r="BO83" s="361"/>
      <c r="BP83" s="96"/>
      <c r="BQ83" s="298">
        <f t="shared" si="15"/>
        <v>7462087.9120879127</v>
      </c>
      <c r="BR83" s="298">
        <f>IF(BQ83="","",RANK(BQ83,BQ$11:BQ$9930,1)+COUNTIF(BQ$11:BQ83,BQ83)-1)</f>
        <v>95</v>
      </c>
      <c r="BS83" s="299">
        <f t="shared" si="11"/>
        <v>95</v>
      </c>
      <c r="BT83" s="96" t="str">
        <f>IFERROR(INDEX($O$11:$O$1013,MATCH(ROWS($BS$11:BS83),$BS$11:$BS$1005,0)),"")</f>
        <v>ETQP4M4R7KVC</v>
      </c>
      <c r="BU83" s="299" t="str">
        <f t="shared" si="16"/>
        <v>ETQP4M4R7KVC</v>
      </c>
      <c r="BV83" s="96"/>
    </row>
    <row r="84" spans="1:74" ht="15">
      <c r="A84" s="95">
        <v>25</v>
      </c>
      <c r="B84" s="259" t="s">
        <v>584</v>
      </c>
      <c r="C84" s="95"/>
      <c r="D84" s="95" t="s">
        <v>585</v>
      </c>
      <c r="E84" s="110"/>
      <c r="F84" s="68" t="s">
        <v>153</v>
      </c>
      <c r="G84" s="154" t="s">
        <v>586</v>
      </c>
      <c r="H84" s="96" t="s">
        <v>587</v>
      </c>
      <c r="I84" s="154" t="s">
        <v>588</v>
      </c>
      <c r="J84" s="96" t="s">
        <v>589</v>
      </c>
      <c r="K84" s="96" t="s">
        <v>590</v>
      </c>
      <c r="L84" s="96" t="s">
        <v>651</v>
      </c>
      <c r="M84" s="96" t="s">
        <v>652</v>
      </c>
      <c r="N84" s="96" t="s">
        <v>22</v>
      </c>
      <c r="O84" s="102" t="s">
        <v>97</v>
      </c>
      <c r="P84" s="37" t="str">
        <f>MID(All_PCC_a[[#This Row],[Part Number]],7,3)</f>
        <v>100</v>
      </c>
      <c r="Q84" s="97">
        <v>10</v>
      </c>
      <c r="R84" s="87" t="str">
        <f>IF(All_PCC_a[[#This Row],[Lo (uH)]]&lt;1,"&lt;1",IF(All_PCC_a[[#This Row],[Lo (uH)]]&lt;10,"&lt;10",IF(All_PCC_a[[#This Row],[Lo (uH)]]&lt;100,"&lt;100",IF(All_PCC_a[[#This Row],[Lo (uH)]]&lt;2000,"&lt;2000",""))))</f>
        <v>&lt;100</v>
      </c>
      <c r="S84" s="87" t="str">
        <f>IFERROR(VLOOKUP(All_PCC_a[[#This Row],[Lo (uH)]],Utility!$D$5:$E$43,2,1),"-")</f>
        <v>≤  10</v>
      </c>
      <c r="T84" s="98">
        <v>0.2</v>
      </c>
      <c r="U84" s="124">
        <v>33.4</v>
      </c>
      <c r="V84" s="124">
        <v>36.799999999999997</v>
      </c>
      <c r="W84" s="97">
        <v>10</v>
      </c>
      <c r="X84" s="87">
        <v>6.7</v>
      </c>
      <c r="Y84" s="97">
        <v>5.7</v>
      </c>
      <c r="Z84" s="118">
        <v>13</v>
      </c>
      <c r="AA84" s="87">
        <v>8.0399999999999991</v>
      </c>
      <c r="AB84" s="96">
        <v>8.5</v>
      </c>
      <c r="AC84" s="96">
        <v>8</v>
      </c>
      <c r="AD84" s="97">
        <v>5.4</v>
      </c>
      <c r="AE84" s="96">
        <f>ROUND(All_PCC_a[[#This Row],[L (mm)]]*All_PCC_a[[#This Row],[W (mm)]],1)</f>
        <v>68</v>
      </c>
      <c r="AF84" s="87" t="str">
        <f>All_PCC_a[[#This Row],[L (mm)]]&amp;"  x  "&amp;All_PCC_a[[#This Row],[W (mm)]]</f>
        <v>8.5  x  8</v>
      </c>
      <c r="AG84" s="99" t="s">
        <v>624</v>
      </c>
      <c r="AH84" s="97" t="str">
        <f>IF(All_PCC_a[[#This Row],[Max Height (mm)]]&lt;=9,"≤ "&amp;ROUNDUP(AD84,0),"≤"&amp;ROUNDUP(AD84,0))</f>
        <v>≤ 6</v>
      </c>
      <c r="AI84" s="100">
        <v>-40</v>
      </c>
      <c r="AJ84" s="100">
        <v>150</v>
      </c>
      <c r="AK84" s="68" t="str">
        <f>All_PCC_a[[#This Row],[Min Temp (deg.C)]]&amp;" to +"&amp;All_PCC_a[[#This Row],[Max Temp (deg.C)]]</f>
        <v>-40 to +150</v>
      </c>
      <c r="AL84" s="96"/>
      <c r="AM84" s="96"/>
      <c r="AN84" s="96"/>
      <c r="AO84" s="97" t="s">
        <v>124</v>
      </c>
      <c r="AP84" s="97" t="str">
        <f t="shared" si="17"/>
        <v>-</v>
      </c>
      <c r="AQ84" s="98" t="s">
        <v>138</v>
      </c>
      <c r="AR84" s="87" t="s">
        <v>138</v>
      </c>
      <c r="AS84" s="68" t="s">
        <v>951</v>
      </c>
      <c r="AT84" s="96" t="s">
        <v>594</v>
      </c>
      <c r="AU84" s="96" t="e" vm="7">
        <f>_xlfn.IMAGE(All_PCC_a[[#This Row],[Image URL]])</f>
        <v>#VALUE!</v>
      </c>
      <c r="AV84" s="96"/>
      <c r="AW84" s="96"/>
      <c r="AY84" s="68"/>
      <c r="BC84" s="96">
        <f>IF(Z84&lt;('DCDC Ref'!$J$24/'DCDC Ref'!$J$26)*'DCDC Ref'!$J$28/100,0,1)</f>
        <v>1</v>
      </c>
      <c r="BD84" s="360">
        <f>IF(BC84=1000000000,"",('All Data'!Q84-'DCDC Ref'!$J$30)/'DCDC Ref'!$J$30*100)</f>
        <v>1482.4175824175825</v>
      </c>
      <c r="BE84" s="295">
        <f t="shared" si="12"/>
        <v>1482.4175824175825</v>
      </c>
      <c r="BF84" s="295"/>
      <c r="BG84" s="360"/>
      <c r="BH84" s="361">
        <f t="shared" si="13"/>
        <v>0</v>
      </c>
      <c r="BI84" s="295"/>
      <c r="BJ84" s="96">
        <f>IF(BC84=0,"",('All Data'!Z84-'DCDC Ref'!$J$28*('DCDC Ref'!$J$29/100))/'DCDC Ref'!$J$28*('DCDC Ref'!$J$29/100)*100)</f>
        <v>16.551724137931021</v>
      </c>
      <c r="BK84" s="361">
        <f t="shared" si="14"/>
        <v>16.551724137931021</v>
      </c>
      <c r="BL84" s="361"/>
      <c r="BM84" s="361"/>
      <c r="BN84" s="361"/>
      <c r="BO84" s="361"/>
      <c r="BP84" s="96"/>
      <c r="BQ84" s="298">
        <f t="shared" si="15"/>
        <v>7412170.6707086023</v>
      </c>
      <c r="BR84" s="298">
        <f>IF(BQ84="","",RANK(BQ84,BQ$11:BQ$9930,1)+COUNTIF(BQ$11:BQ84,BQ84)-1)</f>
        <v>92</v>
      </c>
      <c r="BS84" s="299">
        <f t="shared" si="11"/>
        <v>92</v>
      </c>
      <c r="BT84" s="96" t="str">
        <f>IFERROR(INDEX($O$11:$O$1013,MATCH(ROWS($BS$11:BS84),$BS$11:$BS$1005,0)),"")</f>
        <v>ETQP4M4R7KVK</v>
      </c>
      <c r="BU84" s="299" t="str">
        <f t="shared" si="16"/>
        <v>ETQP4M4R7KVK</v>
      </c>
      <c r="BV84" s="96"/>
    </row>
    <row r="85" spans="1:74" ht="15">
      <c r="A85" s="95">
        <v>32</v>
      </c>
      <c r="B85" s="259" t="s">
        <v>584</v>
      </c>
      <c r="C85" s="95"/>
      <c r="D85" s="95" t="s">
        <v>585</v>
      </c>
      <c r="E85" s="110"/>
      <c r="F85" s="68" t="s">
        <v>153</v>
      </c>
      <c r="G85" s="154" t="s">
        <v>586</v>
      </c>
      <c r="H85" s="96" t="s">
        <v>587</v>
      </c>
      <c r="I85" s="154" t="s">
        <v>588</v>
      </c>
      <c r="J85" s="96" t="s">
        <v>589</v>
      </c>
      <c r="K85" s="96" t="s">
        <v>590</v>
      </c>
      <c r="L85" s="96" t="s">
        <v>658</v>
      </c>
      <c r="M85" s="96" t="s">
        <v>669</v>
      </c>
      <c r="N85" s="96" t="s">
        <v>22</v>
      </c>
      <c r="O85" s="34" t="s">
        <v>98</v>
      </c>
      <c r="P85" s="37" t="str">
        <f>MID(All_PCC_a[[#This Row],[Part Number]],7,3)</f>
        <v>100</v>
      </c>
      <c r="Q85" s="97">
        <v>10</v>
      </c>
      <c r="R85" s="87" t="str">
        <f>IF(All_PCC_a[[#This Row],[Lo (uH)]]&lt;1,"&lt;1",IF(All_PCC_a[[#This Row],[Lo (uH)]]&lt;10,"&lt;10",IF(All_PCC_a[[#This Row],[Lo (uH)]]&lt;100,"&lt;100",IF(All_PCC_a[[#This Row],[Lo (uH)]]&lt;2000,"&lt;2000",""))))</f>
        <v>&lt;100</v>
      </c>
      <c r="S85" s="87" t="str">
        <f>IFERROR(VLOOKUP(All_PCC_a[[#This Row],[Lo (uH)]],Utility!$D$5:$E$43,2,1),"-")</f>
        <v>≤  10</v>
      </c>
      <c r="T85" s="98">
        <v>0.2</v>
      </c>
      <c r="U85" s="127">
        <v>37.6</v>
      </c>
      <c r="V85" s="127">
        <v>41.3</v>
      </c>
      <c r="W85" s="97">
        <v>10</v>
      </c>
      <c r="X85" s="87">
        <v>5.7</v>
      </c>
      <c r="Y85" s="97">
        <v>4.7</v>
      </c>
      <c r="Z85" s="118">
        <v>10.6</v>
      </c>
      <c r="AA85" s="87">
        <v>7.56</v>
      </c>
      <c r="AB85" s="96">
        <v>7.5</v>
      </c>
      <c r="AC85" s="96">
        <v>7</v>
      </c>
      <c r="AD85" s="97">
        <v>5.4</v>
      </c>
      <c r="AE85" s="96">
        <f>ROUND(All_PCC_a[[#This Row],[L (mm)]]*All_PCC_a[[#This Row],[W (mm)]],1)</f>
        <v>52.5</v>
      </c>
      <c r="AF85" s="87" t="str">
        <f>All_PCC_a[[#This Row],[L (mm)]]&amp;"  x  "&amp;All_PCC_a[[#This Row],[W (mm)]]</f>
        <v>7.5  x  7</v>
      </c>
      <c r="AG85" s="319" t="s">
        <v>661</v>
      </c>
      <c r="AH85" s="97" t="str">
        <f>IF(All_PCC_a[[#This Row],[Max Height (mm)]]&lt;=9,"≤ "&amp;ROUNDUP(AD85,0),"≤"&amp;ROUNDUP(AD85,0))</f>
        <v>≤ 6</v>
      </c>
      <c r="AI85" s="100">
        <v>-40</v>
      </c>
      <c r="AJ85" s="100">
        <v>150</v>
      </c>
      <c r="AK85" s="68" t="str">
        <f>All_PCC_a[[#This Row],[Min Temp (deg.C)]]&amp;" to +"&amp;All_PCC_a[[#This Row],[Max Temp (deg.C)]]</f>
        <v>-40 to +150</v>
      </c>
      <c r="AL85" s="96"/>
      <c r="AM85" s="96"/>
      <c r="AN85" s="96"/>
      <c r="AO85" s="97" t="s">
        <v>124</v>
      </c>
      <c r="AP85" s="97" t="str">
        <f t="shared" si="17"/>
        <v>-</v>
      </c>
      <c r="AQ85" s="97" t="s">
        <v>138</v>
      </c>
      <c r="AR85" s="87" t="s">
        <v>138</v>
      </c>
      <c r="AS85" s="68" t="s">
        <v>952</v>
      </c>
      <c r="AT85" s="96" t="s">
        <v>594</v>
      </c>
      <c r="AU85" s="96" t="e" vm="7">
        <f>_xlfn.IMAGE(All_PCC_a[[#This Row],[Image URL]])</f>
        <v>#VALUE!</v>
      </c>
      <c r="AV85" s="96"/>
      <c r="AW85" s="96"/>
      <c r="AY85" s="68"/>
      <c r="BC85" s="96">
        <f>IF(Z85&lt;('DCDC Ref'!$J$24/'DCDC Ref'!$J$26)*'DCDC Ref'!$J$28/100,0,1)</f>
        <v>1</v>
      </c>
      <c r="BD85" s="360">
        <f>IF(BC85=1000000000,"",('All Data'!Q85-'DCDC Ref'!$J$30)/'DCDC Ref'!$J$30*100)</f>
        <v>1482.4175824175825</v>
      </c>
      <c r="BE85" s="295">
        <f t="shared" si="12"/>
        <v>1482.4175824175825</v>
      </c>
      <c r="BF85" s="295"/>
      <c r="BG85" s="360"/>
      <c r="BH85" s="361">
        <f t="shared" si="13"/>
        <v>0</v>
      </c>
      <c r="BI85" s="295"/>
      <c r="BJ85" s="96">
        <f>IF(BC85=0,"",('All Data'!Z85-'DCDC Ref'!$J$28*('DCDC Ref'!$J$29/100))/'DCDC Ref'!$J$28*('DCDC Ref'!$J$29/100)*100)</f>
        <v>-4.9655172413793238</v>
      </c>
      <c r="BK85" s="361">
        <f t="shared" si="14"/>
        <v>10000</v>
      </c>
      <c r="BL85" s="361"/>
      <c r="BM85" s="361"/>
      <c r="BN85" s="361"/>
      <c r="BO85" s="361"/>
      <c r="BP85" s="96"/>
      <c r="BQ85" s="298">
        <f t="shared" si="15"/>
        <v>7462087.9120879127</v>
      </c>
      <c r="BR85" s="298">
        <f>IF(BQ85="","",RANK(BQ85,BQ$11:BQ$9930,1)+COUNTIF(BQ$11:BQ85,BQ85)-1)</f>
        <v>96</v>
      </c>
      <c r="BS85" s="299">
        <f t="shared" si="11"/>
        <v>96</v>
      </c>
      <c r="BT85" s="96" t="str">
        <f>IFERROR(INDEX($O$11:$O$1013,MATCH(ROWS($BS$11:BS85),$BS$11:$BS$1005,0)),"")</f>
        <v>ETQP5M4R7YFC</v>
      </c>
      <c r="BU85" s="299" t="str">
        <f t="shared" si="16"/>
        <v>ETQP5M4R7YFC</v>
      </c>
      <c r="BV85" s="96"/>
    </row>
    <row r="86" spans="1:74" ht="15">
      <c r="A86" s="95">
        <v>52</v>
      </c>
      <c r="B86" s="259" t="s">
        <v>584</v>
      </c>
      <c r="C86" s="95"/>
      <c r="D86" s="95" t="s">
        <v>585</v>
      </c>
      <c r="E86" s="109"/>
      <c r="F86" s="68" t="s">
        <v>153</v>
      </c>
      <c r="G86" s="69" t="s">
        <v>586</v>
      </c>
      <c r="H86" s="68" t="s">
        <v>587</v>
      </c>
      <c r="I86" s="69" t="s">
        <v>588</v>
      </c>
      <c r="J86" s="68" t="s">
        <v>589</v>
      </c>
      <c r="K86" s="68" t="s">
        <v>601</v>
      </c>
      <c r="L86" s="68" t="s">
        <v>602</v>
      </c>
      <c r="M86" s="68" t="s">
        <v>603</v>
      </c>
      <c r="N86" s="68" t="s">
        <v>593</v>
      </c>
      <c r="O86" s="34" t="s">
        <v>94</v>
      </c>
      <c r="P86" s="37" t="str">
        <f>MID(All_PCC_a[[#This Row],[Part Number]],7,3)</f>
        <v>100</v>
      </c>
      <c r="Q86" s="87">
        <v>10</v>
      </c>
      <c r="R86" s="87" t="str">
        <f>IF(All_PCC_a[[#This Row],[Lo (uH)]]&lt;1,"&lt;1",IF(All_PCC_a[[#This Row],[Lo (uH)]]&lt;10,"&lt;10",IF(All_PCC_a[[#This Row],[Lo (uH)]]&lt;100,"&lt;100",IF(All_PCC_a[[#This Row],[Lo (uH)]]&lt;2000,"&lt;2000",""))))</f>
        <v>&lt;100</v>
      </c>
      <c r="S86" s="87" t="str">
        <f>IFERROR(VLOOKUP(All_PCC_a[[#This Row],[Lo (uH)]],Utility!$D$5:$E$43,2,1),"-")</f>
        <v>≤  10</v>
      </c>
      <c r="T86" s="88">
        <v>0.2</v>
      </c>
      <c r="U86" s="126">
        <v>96</v>
      </c>
      <c r="V86" s="126">
        <v>105.6</v>
      </c>
      <c r="W86" s="87">
        <v>10</v>
      </c>
      <c r="X86" s="87">
        <v>2.9</v>
      </c>
      <c r="Y86" s="87">
        <v>2.4</v>
      </c>
      <c r="Z86" s="117">
        <v>4.2</v>
      </c>
      <c r="AA86" s="87">
        <v>3.35</v>
      </c>
      <c r="AB86" s="68">
        <v>5.5</v>
      </c>
      <c r="AC86" s="68">
        <v>5</v>
      </c>
      <c r="AD86" s="87">
        <v>3</v>
      </c>
      <c r="AE86" s="68">
        <f>ROUND(All_PCC_a[[#This Row],[L (mm)]]*All_PCC_a[[#This Row],[W (mm)]],1)</f>
        <v>27.5</v>
      </c>
      <c r="AF86" s="87" t="str">
        <f>All_PCC_a[[#This Row],[L (mm)]]&amp;"  x  "&amp;All_PCC_a[[#This Row],[W (mm)]]</f>
        <v>5.5  x  5</v>
      </c>
      <c r="AG86" s="91" t="s">
        <v>605</v>
      </c>
      <c r="AH86" s="97" t="str">
        <f>IF(All_PCC_a[[#This Row],[Max Height (mm)]]&lt;=9,"≤ "&amp;ROUNDUP(AD86,0),"≤"&amp;ROUNDUP(AD86,0))</f>
        <v>≤ 3</v>
      </c>
      <c r="AI86" s="68">
        <v>-55</v>
      </c>
      <c r="AJ86" s="68">
        <v>155</v>
      </c>
      <c r="AK86" s="68" t="str">
        <f>All_PCC_a[[#This Row],[Min Temp (deg.C)]]&amp;" to +"&amp;All_PCC_a[[#This Row],[Max Temp (deg.C)]]</f>
        <v>-55 to +155</v>
      </c>
      <c r="AL86" s="68"/>
      <c r="AO86" s="87" t="s">
        <v>138</v>
      </c>
      <c r="AP86" s="97" t="str">
        <f t="shared" si="17"/>
        <v>-</v>
      </c>
      <c r="AQ86" s="87" t="s">
        <v>138</v>
      </c>
      <c r="AR86" s="87" t="s">
        <v>138</v>
      </c>
      <c r="AS86" s="68" t="s">
        <v>953</v>
      </c>
      <c r="AT86" s="95" t="s">
        <v>606</v>
      </c>
      <c r="AU86" s="96" t="e" vm="9">
        <f>_xlfn.IMAGE(All_PCC_a[[#This Row],[Image URL]])</f>
        <v>#VALUE!</v>
      </c>
      <c r="AW86" s="68"/>
      <c r="AY86" s="68"/>
      <c r="BC86" s="96">
        <f>IF(Z86&lt;('DCDC Ref'!$J$24/'DCDC Ref'!$J$26)*'DCDC Ref'!$J$28/100,0,1)</f>
        <v>1</v>
      </c>
      <c r="BD86" s="360">
        <f>IF(BC86=1000000000,"",('All Data'!Q86-'DCDC Ref'!$J$30)/'DCDC Ref'!$J$30*100)</f>
        <v>1482.4175824175825</v>
      </c>
      <c r="BE86" s="295">
        <f t="shared" si="12"/>
        <v>1482.4175824175825</v>
      </c>
      <c r="BF86" s="295"/>
      <c r="BG86" s="360"/>
      <c r="BH86" s="361">
        <f t="shared" si="13"/>
        <v>0</v>
      </c>
      <c r="BI86" s="295"/>
      <c r="BJ86" s="96">
        <f>IF(BC86=0,"",('All Data'!Z86-'DCDC Ref'!$J$28*('DCDC Ref'!$J$29/100))/'DCDC Ref'!$J$28*('DCDC Ref'!$J$29/100)*100)</f>
        <v>-62.344827586206897</v>
      </c>
      <c r="BK86" s="361">
        <f t="shared" si="14"/>
        <v>10000</v>
      </c>
      <c r="BL86" s="361"/>
      <c r="BM86" s="361"/>
      <c r="BN86" s="361"/>
      <c r="BO86" s="361"/>
      <c r="BP86" s="96"/>
      <c r="BQ86" s="298">
        <f t="shared" si="15"/>
        <v>7462087.9120879127</v>
      </c>
      <c r="BR86" s="298">
        <f>IF(BQ86="","",RANK(BQ86,BQ$11:BQ$9930,1)+COUNTIF(BQ$11:BQ86,BQ86)-1)</f>
        <v>97</v>
      </c>
      <c r="BS86" s="299">
        <f t="shared" si="11"/>
        <v>97</v>
      </c>
      <c r="BT86" s="96" t="str">
        <f>IFERROR(INDEX($O$11:$O$1013,MATCH(ROWS($BS$11:BS86),$BS$11:$BS$1005,0)),"")</f>
        <v>ETQP6M4R7YLC</v>
      </c>
      <c r="BU86" s="299" t="str">
        <f t="shared" si="16"/>
        <v>ETQP6M4R7YLC</v>
      </c>
      <c r="BV86" s="96"/>
    </row>
    <row r="87" spans="1:74" ht="15">
      <c r="A87" s="95">
        <v>63</v>
      </c>
      <c r="B87" s="259" t="s">
        <v>584</v>
      </c>
      <c r="C87" s="95"/>
      <c r="D87" s="95" t="s">
        <v>585</v>
      </c>
      <c r="E87" s="109"/>
      <c r="F87" s="68" t="s">
        <v>153</v>
      </c>
      <c r="G87" s="69" t="s">
        <v>586</v>
      </c>
      <c r="H87" s="68" t="s">
        <v>587</v>
      </c>
      <c r="I87" s="69" t="s">
        <v>588</v>
      </c>
      <c r="J87" s="68" t="s">
        <v>589</v>
      </c>
      <c r="K87" s="68" t="s">
        <v>601</v>
      </c>
      <c r="L87" s="68" t="s">
        <v>620</v>
      </c>
      <c r="M87" s="68" t="s">
        <v>621</v>
      </c>
      <c r="N87" s="68" t="s">
        <v>593</v>
      </c>
      <c r="O87" s="34" t="s">
        <v>96</v>
      </c>
      <c r="P87" s="37" t="str">
        <f>MID(All_PCC_a[[#This Row],[Part Number]],7,3)</f>
        <v>100</v>
      </c>
      <c r="Q87" s="87">
        <v>10</v>
      </c>
      <c r="R87" s="87" t="str">
        <f>IF(All_PCC_a[[#This Row],[Lo (uH)]]&lt;1,"&lt;1",IF(All_PCC_a[[#This Row],[Lo (uH)]]&lt;10,"&lt;10",IF(All_PCC_a[[#This Row],[Lo (uH)]]&lt;100,"&lt;100",IF(All_PCC_a[[#This Row],[Lo (uH)]]&lt;2000,"&lt;2000",""))))</f>
        <v>&lt;100</v>
      </c>
      <c r="S87" s="87" t="str">
        <f>IFERROR(VLOOKUP(All_PCC_a[[#This Row],[Lo (uH)]],Utility!$D$5:$E$43,2,1),"-")</f>
        <v>≤  10</v>
      </c>
      <c r="T87" s="88">
        <v>0.2</v>
      </c>
      <c r="U87" s="126">
        <v>71</v>
      </c>
      <c r="V87" s="126">
        <v>78.099999999999994</v>
      </c>
      <c r="W87" s="87">
        <v>10</v>
      </c>
      <c r="X87" s="87">
        <v>3.6</v>
      </c>
      <c r="Y87" s="87">
        <v>2.9</v>
      </c>
      <c r="Z87" s="117">
        <v>5.8</v>
      </c>
      <c r="AA87" s="87">
        <v>4.22</v>
      </c>
      <c r="AB87" s="68">
        <v>6.4</v>
      </c>
      <c r="AC87" s="68">
        <v>6</v>
      </c>
      <c r="AD87" s="87">
        <v>3</v>
      </c>
      <c r="AE87" s="68">
        <f>ROUND(All_PCC_a[[#This Row],[L (mm)]]*All_PCC_a[[#This Row],[W (mm)]],1)</f>
        <v>38.4</v>
      </c>
      <c r="AF87" s="87" t="str">
        <f>All_PCC_a[[#This Row],[L (mm)]]&amp;"  x  "&amp;All_PCC_a[[#This Row],[W (mm)]]</f>
        <v>6.4  x  6</v>
      </c>
      <c r="AG87" s="91" t="s">
        <v>618</v>
      </c>
      <c r="AH87" s="97" t="str">
        <f>IF(All_PCC_a[[#This Row],[Max Height (mm)]]&lt;=9,"≤ "&amp;ROUNDUP(AD87,0),"≤"&amp;ROUNDUP(AD87,0))</f>
        <v>≤ 3</v>
      </c>
      <c r="AI87" s="68">
        <v>-55</v>
      </c>
      <c r="AJ87" s="68">
        <v>155</v>
      </c>
      <c r="AK87" s="68" t="str">
        <f>All_PCC_a[[#This Row],[Min Temp (deg.C)]]&amp;" to +"&amp;All_PCC_a[[#This Row],[Max Temp (deg.C)]]</f>
        <v>-55 to +155</v>
      </c>
      <c r="AL87" s="68"/>
      <c r="AO87" s="68" t="s">
        <v>138</v>
      </c>
      <c r="AP87" s="97" t="str">
        <f t="shared" si="17"/>
        <v>-</v>
      </c>
      <c r="AQ87" s="87" t="s">
        <v>138</v>
      </c>
      <c r="AR87" s="87" t="s">
        <v>138</v>
      </c>
      <c r="AS87" s="68" t="s">
        <v>954</v>
      </c>
      <c r="AT87" s="95" t="s">
        <v>606</v>
      </c>
      <c r="AU87" s="96" t="e" vm="9">
        <f>_xlfn.IMAGE(All_PCC_a[[#This Row],[Image URL]])</f>
        <v>#VALUE!</v>
      </c>
      <c r="AW87" s="68"/>
      <c r="AY87" s="68"/>
      <c r="BC87" s="96">
        <f>IF(Z87&lt;('DCDC Ref'!$J$24/'DCDC Ref'!$J$26)*'DCDC Ref'!$J$28/100,0,1)</f>
        <v>1</v>
      </c>
      <c r="BD87" s="360">
        <f>IF(BC87=1000000000,"",('All Data'!Q87-'DCDC Ref'!$J$30)/'DCDC Ref'!$J$30*100)</f>
        <v>1482.4175824175825</v>
      </c>
      <c r="BE87" s="295">
        <f t="shared" si="12"/>
        <v>1482.4175824175825</v>
      </c>
      <c r="BF87" s="295"/>
      <c r="BG87" s="360"/>
      <c r="BH87" s="361">
        <f t="shared" si="13"/>
        <v>0</v>
      </c>
      <c r="BI87" s="295"/>
      <c r="BJ87" s="96">
        <f>IF(BC87=0,"",('All Data'!Z87-'DCDC Ref'!$J$28*('DCDC Ref'!$J$29/100))/'DCDC Ref'!$J$28*('DCDC Ref'!$J$29/100)*100)</f>
        <v>-48.000000000000007</v>
      </c>
      <c r="BK87" s="361">
        <f t="shared" si="14"/>
        <v>10000</v>
      </c>
      <c r="BL87" s="361"/>
      <c r="BM87" s="361"/>
      <c r="BN87" s="361"/>
      <c r="BO87" s="361"/>
      <c r="BP87" s="96"/>
      <c r="BQ87" s="298">
        <f t="shared" si="15"/>
        <v>7462087.9120879127</v>
      </c>
      <c r="BR87" s="298">
        <f>IF(BQ87="","",RANK(BQ87,BQ$11:BQ$9930,1)+COUNTIF(BQ$11:BQ87,BQ87)-1)</f>
        <v>98</v>
      </c>
      <c r="BS87" s="299">
        <f t="shared" si="11"/>
        <v>98</v>
      </c>
      <c r="BT87" s="96" t="str">
        <f>IFERROR(INDEX($O$11:$O$1013,MATCH(ROWS($BS$11:BS87),$BS$11:$BS$1005,0)),"")</f>
        <v>ETQP8M4R7JFA</v>
      </c>
      <c r="BU87" s="299" t="str">
        <f t="shared" si="16"/>
        <v>ETQP8M4R7JFA</v>
      </c>
      <c r="BV87" s="96"/>
    </row>
    <row r="88" spans="1:74" ht="15">
      <c r="A88" s="95">
        <v>74</v>
      </c>
      <c r="B88" s="259" t="s">
        <v>584</v>
      </c>
      <c r="C88" s="95"/>
      <c r="D88" s="95" t="s">
        <v>585</v>
      </c>
      <c r="E88" s="109"/>
      <c r="F88" s="68" t="s">
        <v>153</v>
      </c>
      <c r="G88" s="69" t="s">
        <v>586</v>
      </c>
      <c r="H88" s="68" t="s">
        <v>587</v>
      </c>
      <c r="I88" s="69" t="s">
        <v>588</v>
      </c>
      <c r="J88" s="68" t="s">
        <v>589</v>
      </c>
      <c r="K88" s="68" t="s">
        <v>601</v>
      </c>
      <c r="L88" s="68" t="s">
        <v>622</v>
      </c>
      <c r="M88" s="68" t="s">
        <v>623</v>
      </c>
      <c r="N88" s="68" t="s">
        <v>593</v>
      </c>
      <c r="O88" s="34" t="s">
        <v>92</v>
      </c>
      <c r="P88" s="37" t="str">
        <f>MID(All_PCC_a[[#This Row],[Part Number]],7,3)</f>
        <v>100</v>
      </c>
      <c r="Q88" s="87">
        <v>10</v>
      </c>
      <c r="R88" s="87" t="str">
        <f>IF(All_PCC_a[[#This Row],[Lo (uH)]]&lt;1,"&lt;1",IF(All_PCC_a[[#This Row],[Lo (uH)]]&lt;10,"&lt;10",IF(All_PCC_a[[#This Row],[Lo (uH)]]&lt;100,"&lt;100",IF(All_PCC_a[[#This Row],[Lo (uH)]]&lt;2000,"&lt;2000",""))))</f>
        <v>&lt;100</v>
      </c>
      <c r="S88" s="87" t="str">
        <f>IFERROR(VLOOKUP(All_PCC_a[[#This Row],[Lo (uH)]],Utility!$D$5:$E$43,2,1),"-")</f>
        <v>≤  10</v>
      </c>
      <c r="T88" s="88">
        <v>0.2</v>
      </c>
      <c r="U88" s="126">
        <v>41.6</v>
      </c>
      <c r="V88" s="126">
        <v>45.760000000000005</v>
      </c>
      <c r="W88" s="87">
        <v>10</v>
      </c>
      <c r="X88" s="87">
        <v>5.2</v>
      </c>
      <c r="Y88" s="87">
        <v>4.4000000000000004</v>
      </c>
      <c r="Z88" s="117">
        <v>9.1</v>
      </c>
      <c r="AA88" s="87">
        <v>6.79</v>
      </c>
      <c r="AB88" s="68">
        <v>8.4</v>
      </c>
      <c r="AC88" s="68">
        <v>8</v>
      </c>
      <c r="AD88" s="87">
        <v>4</v>
      </c>
      <c r="AE88" s="68">
        <f>ROUND(All_PCC_a[[#This Row],[L (mm)]]*All_PCC_a[[#This Row],[W (mm)]],1)</f>
        <v>67.2</v>
      </c>
      <c r="AF88" s="87" t="str">
        <f>All_PCC_a[[#This Row],[L (mm)]]&amp;"  x  "&amp;All_PCC_a[[#This Row],[W (mm)]]</f>
        <v>8.4  x  8</v>
      </c>
      <c r="AG88" s="99" t="s">
        <v>624</v>
      </c>
      <c r="AH88" s="97" t="str">
        <f>IF(All_PCC_a[[#This Row],[Max Height (mm)]]&lt;=9,"≤ "&amp;ROUNDUP(AD88,0),"≤"&amp;ROUNDUP(AD88,0))</f>
        <v>≤ 4</v>
      </c>
      <c r="AI88" s="68">
        <v>-55</v>
      </c>
      <c r="AJ88" s="68">
        <v>155</v>
      </c>
      <c r="AK88" s="68" t="str">
        <f>All_PCC_a[[#This Row],[Min Temp (deg.C)]]&amp;" to +"&amp;All_PCC_a[[#This Row],[Max Temp (deg.C)]]</f>
        <v>-55 to +155</v>
      </c>
      <c r="AL88" s="68"/>
      <c r="AO88" s="87" t="s">
        <v>138</v>
      </c>
      <c r="AP88" s="97" t="str">
        <f t="shared" si="17"/>
        <v>-</v>
      </c>
      <c r="AQ88" s="87" t="s">
        <v>138</v>
      </c>
      <c r="AR88" s="87" t="s">
        <v>138</v>
      </c>
      <c r="AS88" s="68" t="s">
        <v>955</v>
      </c>
      <c r="AT88" s="95" t="s">
        <v>606</v>
      </c>
      <c r="AU88" s="96" t="e" vm="9">
        <f>_xlfn.IMAGE(All_PCC_a[[#This Row],[Image URL]])</f>
        <v>#VALUE!</v>
      </c>
      <c r="AW88" s="68"/>
      <c r="AY88" s="68"/>
      <c r="BC88" s="96">
        <f>IF(Z88&lt;('DCDC Ref'!$J$24/'DCDC Ref'!$J$26)*'DCDC Ref'!$J$28/100,0,1)</f>
        <v>1</v>
      </c>
      <c r="BD88" s="360">
        <f>IF(BC88=1000000000,"",('All Data'!Q88-'DCDC Ref'!$J$30)/'DCDC Ref'!$J$30*100)</f>
        <v>1482.4175824175825</v>
      </c>
      <c r="BE88" s="295">
        <f t="shared" si="12"/>
        <v>1482.4175824175825</v>
      </c>
      <c r="BF88" s="295"/>
      <c r="BG88" s="360"/>
      <c r="BH88" s="361">
        <f t="shared" si="13"/>
        <v>0</v>
      </c>
      <c r="BI88" s="295"/>
      <c r="BJ88" s="96">
        <f>IF(BC88=0,"",('All Data'!Z88-'DCDC Ref'!$J$28*('DCDC Ref'!$J$29/100))/'DCDC Ref'!$J$28*('DCDC Ref'!$J$29/100)*100)</f>
        <v>-18.413793103448288</v>
      </c>
      <c r="BK88" s="361">
        <f t="shared" si="14"/>
        <v>10000</v>
      </c>
      <c r="BL88" s="361"/>
      <c r="BM88" s="361"/>
      <c r="BN88" s="361"/>
      <c r="BO88" s="361"/>
      <c r="BP88" s="96"/>
      <c r="BQ88" s="298">
        <f t="shared" si="15"/>
        <v>7462087.9120879127</v>
      </c>
      <c r="BR88" s="298">
        <f>IF(BQ88="","",RANK(BQ88,BQ$11:BQ$9930,1)+COUNTIF(BQ$11:BQ88,BQ88)-1)</f>
        <v>99</v>
      </c>
      <c r="BS88" s="299">
        <f t="shared" si="11"/>
        <v>99</v>
      </c>
      <c r="BT88" s="96" t="str">
        <f>IFERROR(INDEX($O$11:$O$1013,MATCH(ROWS($BS$11:BS88),$BS$11:$BS$1005,0)),"")</f>
        <v>ETQPAM4R7JFW</v>
      </c>
      <c r="BU88" s="299" t="str">
        <f t="shared" si="16"/>
        <v>ETQPAM4R7JFW</v>
      </c>
      <c r="BV88" s="96"/>
    </row>
    <row r="89" spans="1:74" ht="15">
      <c r="A89" s="95">
        <v>86</v>
      </c>
      <c r="B89" s="259" t="s">
        <v>584</v>
      </c>
      <c r="C89" s="95"/>
      <c r="D89" s="95" t="s">
        <v>585</v>
      </c>
      <c r="E89" s="109"/>
      <c r="F89" s="68" t="s">
        <v>153</v>
      </c>
      <c r="G89" s="69" t="s">
        <v>586</v>
      </c>
      <c r="H89" s="68" t="s">
        <v>587</v>
      </c>
      <c r="I89" s="69" t="s">
        <v>588</v>
      </c>
      <c r="J89" s="68" t="s">
        <v>589</v>
      </c>
      <c r="K89" s="68" t="s">
        <v>601</v>
      </c>
      <c r="L89" s="68" t="s">
        <v>629</v>
      </c>
      <c r="M89" s="68" t="s">
        <v>630</v>
      </c>
      <c r="N89" s="68" t="s">
        <v>593</v>
      </c>
      <c r="O89" s="34" t="s">
        <v>100</v>
      </c>
      <c r="P89" s="37" t="str">
        <f>MID(All_PCC_a[[#This Row],[Part Number]],7,3)</f>
        <v>100</v>
      </c>
      <c r="Q89" s="87">
        <v>10</v>
      </c>
      <c r="R89" s="87" t="str">
        <f>IF(All_PCC_a[[#This Row],[Lo (uH)]]&lt;1,"&lt;1",IF(All_PCC_a[[#This Row],[Lo (uH)]]&lt;10,"&lt;10",IF(All_PCC_a[[#This Row],[Lo (uH)]]&lt;100,"&lt;100",IF(All_PCC_a[[#This Row],[Lo (uH)]]&lt;2000,"&lt;2000",""))))</f>
        <v>&lt;100</v>
      </c>
      <c r="S89" s="87" t="str">
        <f>IFERROR(VLOOKUP(All_PCC_a[[#This Row],[Lo (uH)]],Utility!$D$5:$E$43,2,1),"-")</f>
        <v>≤  10</v>
      </c>
      <c r="T89" s="88">
        <v>0.2</v>
      </c>
      <c r="U89" s="126">
        <v>25.4</v>
      </c>
      <c r="V89" s="126">
        <v>27.94</v>
      </c>
      <c r="W89" s="87">
        <v>10</v>
      </c>
      <c r="X89" s="87">
        <v>7.6</v>
      </c>
      <c r="Y89" s="121">
        <v>6.3</v>
      </c>
      <c r="Z89" s="122">
        <v>10.8</v>
      </c>
      <c r="AA89" s="87">
        <v>8.09</v>
      </c>
      <c r="AB89" s="68">
        <v>10.7</v>
      </c>
      <c r="AC89" s="68">
        <v>10</v>
      </c>
      <c r="AD89" s="87">
        <v>4</v>
      </c>
      <c r="AE89" s="68">
        <f>ROUND(All_PCC_a[[#This Row],[L (mm)]]*All_PCC_a[[#This Row],[W (mm)]],1)</f>
        <v>107</v>
      </c>
      <c r="AF89" s="87" t="str">
        <f>All_PCC_a[[#This Row],[L (mm)]]&amp;"  x  "&amp;All_PCC_a[[#This Row],[W (mm)]]</f>
        <v>10.7  x  10</v>
      </c>
      <c r="AG89" s="91" t="s">
        <v>324</v>
      </c>
      <c r="AH89" s="97" t="str">
        <f>IF(All_PCC_a[[#This Row],[Max Height (mm)]]&lt;=9,"≤ "&amp;ROUNDUP(AD89,0),"≤"&amp;ROUNDUP(AD89,0))</f>
        <v>≤ 4</v>
      </c>
      <c r="AI89" s="68">
        <v>-55</v>
      </c>
      <c r="AJ89" s="68">
        <v>155</v>
      </c>
      <c r="AK89" s="68" t="str">
        <f>All_PCC_a[[#This Row],[Min Temp (deg.C)]]&amp;" to +"&amp;All_PCC_a[[#This Row],[Max Temp (deg.C)]]</f>
        <v>-55 to +155</v>
      </c>
      <c r="AL89" s="68"/>
      <c r="AO89" s="87" t="s">
        <v>138</v>
      </c>
      <c r="AP89" s="97" t="str">
        <f t="shared" si="17"/>
        <v>-</v>
      </c>
      <c r="AQ89" s="87" t="s">
        <v>138</v>
      </c>
      <c r="AR89" s="87" t="s">
        <v>138</v>
      </c>
      <c r="AS89" s="68" t="s">
        <v>956</v>
      </c>
      <c r="AT89" s="95" t="s">
        <v>606</v>
      </c>
      <c r="AU89" s="96" t="e" vm="9">
        <f>_xlfn.IMAGE(All_PCC_a[[#This Row],[Image URL]])</f>
        <v>#VALUE!</v>
      </c>
      <c r="AW89" s="68"/>
      <c r="AY89" s="68"/>
      <c r="BC89" s="96">
        <f>IF(Z89&lt;('DCDC Ref'!$J$24/'DCDC Ref'!$J$26)*'DCDC Ref'!$J$28/100,0,1)</f>
        <v>1</v>
      </c>
      <c r="BD89" s="360">
        <f>IF(BC89=1000000000,"",('All Data'!Q89-'DCDC Ref'!$J$30)/'DCDC Ref'!$J$30*100)</f>
        <v>1482.4175824175825</v>
      </c>
      <c r="BE89" s="295">
        <f t="shared" si="12"/>
        <v>1482.4175824175825</v>
      </c>
      <c r="BF89" s="295"/>
      <c r="BG89" s="360"/>
      <c r="BH89" s="361">
        <f t="shared" si="13"/>
        <v>0</v>
      </c>
      <c r="BI89" s="295"/>
      <c r="BJ89" s="96">
        <f>IF(BC89=0,"",('All Data'!Z89-'DCDC Ref'!$J$28*('DCDC Ref'!$J$29/100))/'DCDC Ref'!$J$28*('DCDC Ref'!$J$29/100)*100)</f>
        <v>-3.1724137931034528</v>
      </c>
      <c r="BK89" s="361">
        <f t="shared" si="14"/>
        <v>10000</v>
      </c>
      <c r="BL89" s="361"/>
      <c r="BM89" s="361"/>
      <c r="BN89" s="361"/>
      <c r="BO89" s="361"/>
      <c r="BP89" s="96"/>
      <c r="BQ89" s="298">
        <f t="shared" si="15"/>
        <v>7462087.9120879127</v>
      </c>
      <c r="BR89" s="298">
        <f>IF(BQ89="","",RANK(BQ89,BQ$11:BQ$9930,1)+COUNTIF(BQ$11:BQ89,BQ89)-1)</f>
        <v>100</v>
      </c>
      <c r="BS89" s="299">
        <f t="shared" si="11"/>
        <v>100</v>
      </c>
      <c r="BT89" s="96" t="str">
        <f>IFERROR(INDEX($O$11:$O$1013,MATCH(ROWS($BS$11:BS89),$BS$11:$BS$1005,0)),"")</f>
        <v>ETQP4M4R7YFP</v>
      </c>
      <c r="BU89" s="299" t="str">
        <f t="shared" si="16"/>
        <v>ETQP4M4R7YFP</v>
      </c>
      <c r="BV89" s="96"/>
    </row>
    <row r="90" spans="1:74" ht="15">
      <c r="A90" s="95">
        <v>94</v>
      </c>
      <c r="B90" s="259" t="s">
        <v>584</v>
      </c>
      <c r="C90" s="95"/>
      <c r="D90" s="95" t="s">
        <v>585</v>
      </c>
      <c r="E90" s="109"/>
      <c r="F90" s="68" t="s">
        <v>153</v>
      </c>
      <c r="G90" s="69" t="s">
        <v>586</v>
      </c>
      <c r="H90" s="68" t="s">
        <v>587</v>
      </c>
      <c r="I90" s="69" t="s">
        <v>588</v>
      </c>
      <c r="J90" s="68" t="s">
        <v>589</v>
      </c>
      <c r="K90" s="68" t="s">
        <v>640</v>
      </c>
      <c r="L90" s="68" t="s">
        <v>674</v>
      </c>
      <c r="M90" s="68" t="s">
        <v>675</v>
      </c>
      <c r="N90" s="68" t="s">
        <v>593</v>
      </c>
      <c r="O90" s="34" t="s">
        <v>99</v>
      </c>
      <c r="P90" s="37" t="str">
        <f>MID(All_PCC_a[[#This Row],[Part Number]],7,3)</f>
        <v>100</v>
      </c>
      <c r="Q90" s="87">
        <v>10</v>
      </c>
      <c r="R90" s="87" t="str">
        <f>IF(All_PCC_a[[#This Row],[Lo (uH)]]&lt;1,"&lt;1",IF(All_PCC_a[[#This Row],[Lo (uH)]]&lt;10,"&lt;10",IF(All_PCC_a[[#This Row],[Lo (uH)]]&lt;100,"&lt;100",IF(All_PCC_a[[#This Row],[Lo (uH)]]&lt;2000,"&lt;2000",""))))</f>
        <v>&lt;100</v>
      </c>
      <c r="S90" s="87" t="str">
        <f>IFERROR(VLOOKUP(All_PCC_a[[#This Row],[Lo (uH)]],Utility!$D$5:$E$43,2,1),"-")</f>
        <v>≤  10</v>
      </c>
      <c r="T90" s="88">
        <v>0.2</v>
      </c>
      <c r="U90" s="126">
        <v>68</v>
      </c>
      <c r="V90" s="126">
        <v>74.8</v>
      </c>
      <c r="W90" s="87">
        <v>20</v>
      </c>
      <c r="X90" s="87">
        <v>3.7</v>
      </c>
      <c r="Y90" s="121">
        <v>3</v>
      </c>
      <c r="Z90" s="122">
        <v>5.5</v>
      </c>
      <c r="AA90" s="87">
        <v>3.8</v>
      </c>
      <c r="AB90" s="68">
        <v>6.5</v>
      </c>
      <c r="AC90" s="68">
        <v>6</v>
      </c>
      <c r="AD90" s="87">
        <v>3</v>
      </c>
      <c r="AE90" s="68">
        <f>ROUND(All_PCC_a[[#This Row],[L (mm)]]*All_PCC_a[[#This Row],[W (mm)]],1)</f>
        <v>39</v>
      </c>
      <c r="AF90" s="87" t="str">
        <f>All_PCC_a[[#This Row],[L (mm)]]&amp;"  x  "&amp;All_PCC_a[[#This Row],[W (mm)]]</f>
        <v>6.5  x  6</v>
      </c>
      <c r="AG90" s="91" t="s">
        <v>618</v>
      </c>
      <c r="AH90" s="97" t="str">
        <f>IF(All_PCC_a[[#This Row],[Max Height (mm)]]&lt;=9,"≤ "&amp;ROUNDUP(AD90,0),"≤"&amp;ROUNDUP(AD90,0))</f>
        <v>≤ 3</v>
      </c>
      <c r="AI90" s="68">
        <v>-40</v>
      </c>
      <c r="AJ90" s="68">
        <v>150</v>
      </c>
      <c r="AK90" s="68" t="str">
        <f>All_PCC_a[[#This Row],[Min Temp (deg.C)]]&amp;" to +"&amp;All_PCC_a[[#This Row],[Max Temp (deg.C)]]</f>
        <v>-40 to +150</v>
      </c>
      <c r="AL90" s="68"/>
      <c r="AO90" s="87" t="s">
        <v>138</v>
      </c>
      <c r="AP90" s="97" t="str">
        <f t="shared" si="17"/>
        <v>-</v>
      </c>
      <c r="AQ90" s="87" t="s">
        <v>138</v>
      </c>
      <c r="AR90" s="87" t="s">
        <v>138</v>
      </c>
      <c r="AS90" s="68" t="s">
        <v>957</v>
      </c>
      <c r="AT90" s="68" t="s">
        <v>644</v>
      </c>
      <c r="AU90" s="96" t="e" vm="11">
        <f>_xlfn.IMAGE(All_PCC_a[[#This Row],[Image URL]])</f>
        <v>#VALUE!</v>
      </c>
      <c r="AW90" s="68"/>
      <c r="AY90" s="68"/>
      <c r="BC90" s="96">
        <f>IF(Z90&lt;('DCDC Ref'!$J$24/'DCDC Ref'!$J$26)*'DCDC Ref'!$J$28/100,0,1)</f>
        <v>1</v>
      </c>
      <c r="BD90" s="360">
        <f>IF(BC90=1000000000,"",('All Data'!Q90-'DCDC Ref'!$J$30)/'DCDC Ref'!$J$30*100)</f>
        <v>1482.4175824175825</v>
      </c>
      <c r="BE90" s="295">
        <f t="shared" si="12"/>
        <v>1482.4175824175825</v>
      </c>
      <c r="BF90" s="295"/>
      <c r="BG90" s="360"/>
      <c r="BH90" s="361">
        <f t="shared" si="13"/>
        <v>0</v>
      </c>
      <c r="BI90" s="295"/>
      <c r="BJ90" s="96">
        <f>IF(BC90=0,"",('All Data'!Z90-'DCDC Ref'!$J$28*('DCDC Ref'!$J$29/100))/'DCDC Ref'!$J$28*('DCDC Ref'!$J$29/100)*100)</f>
        <v>-50.689655172413794</v>
      </c>
      <c r="BK90" s="361">
        <f t="shared" si="14"/>
        <v>10000</v>
      </c>
      <c r="BL90" s="361"/>
      <c r="BM90" s="361"/>
      <c r="BN90" s="361"/>
      <c r="BO90" s="361"/>
      <c r="BP90" s="96"/>
      <c r="BQ90" s="298">
        <f t="shared" si="15"/>
        <v>7462087.9120879127</v>
      </c>
      <c r="BR90" s="298">
        <f>IF(BQ90="","",RANK(BQ90,BQ$11:BQ$9930,1)+COUNTIF(BQ$11:BQ90,BQ90)-1)</f>
        <v>101</v>
      </c>
      <c r="BS90" s="299">
        <f t="shared" si="11"/>
        <v>101</v>
      </c>
      <c r="BT90" s="96" t="str">
        <f>IFERROR(INDEX($O$11:$O$1013,MATCH(ROWS($BS$11:BS90),$BS$11:$BS$1005,0)),"")</f>
        <v>ETQP3M4R7KVP</v>
      </c>
      <c r="BU90" s="299" t="str">
        <f t="shared" si="16"/>
        <v>ETQP3M4R7KVP</v>
      </c>
      <c r="BV90" s="96"/>
    </row>
    <row r="91" spans="1:74" ht="15">
      <c r="A91" s="95">
        <v>99</v>
      </c>
      <c r="B91" s="259" t="s">
        <v>584</v>
      </c>
      <c r="C91" s="95"/>
      <c r="D91" s="95" t="s">
        <v>585</v>
      </c>
      <c r="E91" s="109"/>
      <c r="F91" s="68" t="s">
        <v>153</v>
      </c>
      <c r="G91" s="69" t="s">
        <v>586</v>
      </c>
      <c r="H91" s="68" t="s">
        <v>587</v>
      </c>
      <c r="I91" s="69" t="s">
        <v>588</v>
      </c>
      <c r="J91" s="68" t="s">
        <v>589</v>
      </c>
      <c r="K91" s="68" t="s">
        <v>654</v>
      </c>
      <c r="L91" s="68" t="s">
        <v>655</v>
      </c>
      <c r="M91" s="68" t="s">
        <v>656</v>
      </c>
      <c r="N91" s="68" t="s">
        <v>593</v>
      </c>
      <c r="O91" s="34" t="s">
        <v>91</v>
      </c>
      <c r="P91" s="37" t="str">
        <f>MID(All_PCC_a[[#This Row],[Part Number]],7,3)</f>
        <v>100</v>
      </c>
      <c r="Q91" s="87">
        <v>10</v>
      </c>
      <c r="R91" s="87" t="str">
        <f>IF(All_PCC_a[[#This Row],[Lo (uH)]]&lt;1,"&lt;1",IF(All_PCC_a[[#This Row],[Lo (uH)]]&lt;10,"&lt;10",IF(All_PCC_a[[#This Row],[Lo (uH)]]&lt;100,"&lt;100",IF(All_PCC_a[[#This Row],[Lo (uH)]]&lt;2000,"&lt;2000",""))))</f>
        <v>&lt;100</v>
      </c>
      <c r="S91" s="87" t="str">
        <f>IFERROR(VLOOKUP(All_PCC_a[[#This Row],[Lo (uH)]],Utility!$D$5:$E$43,2,1),"-")</f>
        <v>≤  10</v>
      </c>
      <c r="T91" s="88">
        <v>0.2</v>
      </c>
      <c r="U91" s="126">
        <v>40.4</v>
      </c>
      <c r="V91" s="126">
        <v>44.44</v>
      </c>
      <c r="W91" s="87">
        <v>10</v>
      </c>
      <c r="X91" s="87">
        <v>5.2</v>
      </c>
      <c r="Y91" s="121">
        <v>4.0999999999999996</v>
      </c>
      <c r="Z91" s="122">
        <v>8.1</v>
      </c>
      <c r="AA91" s="87">
        <v>6.6</v>
      </c>
      <c r="AB91" s="68">
        <v>6.4</v>
      </c>
      <c r="AC91" s="68">
        <v>6</v>
      </c>
      <c r="AD91" s="87">
        <v>4.8</v>
      </c>
      <c r="AE91" s="68">
        <f>ROUND(All_PCC_a[[#This Row],[L (mm)]]*All_PCC_a[[#This Row],[W (mm)]],1)</f>
        <v>38.4</v>
      </c>
      <c r="AF91" s="87" t="str">
        <f>All_PCC_a[[#This Row],[L (mm)]]&amp;"  x  "&amp;All_PCC_a[[#This Row],[W (mm)]]</f>
        <v>6.4  x  6</v>
      </c>
      <c r="AG91" s="91" t="s">
        <v>618</v>
      </c>
      <c r="AH91" s="97" t="str">
        <f>IF(All_PCC_a[[#This Row],[Max Height (mm)]]&lt;=9,"≤ "&amp;ROUNDUP(AD91,0),"≤"&amp;ROUNDUP(AD91,0))</f>
        <v>≤ 5</v>
      </c>
      <c r="AI91" s="68">
        <v>-40</v>
      </c>
      <c r="AJ91" s="68">
        <v>150</v>
      </c>
      <c r="AK91" s="68" t="str">
        <f>All_PCC_a[[#This Row],[Min Temp (deg.C)]]&amp;" to +"&amp;All_PCC_a[[#This Row],[Max Temp (deg.C)]]</f>
        <v>-40 to +150</v>
      </c>
      <c r="AL91" s="68"/>
      <c r="AO91" s="87" t="s">
        <v>138</v>
      </c>
      <c r="AP91" s="97" t="str">
        <f t="shared" si="17"/>
        <v>-</v>
      </c>
      <c r="AQ91" s="87" t="s">
        <v>138</v>
      </c>
      <c r="AR91" s="87" t="s">
        <v>138</v>
      </c>
      <c r="AS91" s="68" t="s">
        <v>958</v>
      </c>
      <c r="AT91" s="68" t="s">
        <v>657</v>
      </c>
      <c r="AU91" s="96" t="e" vm="12">
        <f>_xlfn.IMAGE(All_PCC_a[[#This Row],[Image URL]])</f>
        <v>#VALUE!</v>
      </c>
      <c r="AV91" s="95"/>
      <c r="AW91" s="95"/>
      <c r="AY91" s="68"/>
      <c r="BC91" s="96">
        <f>IF(Z91&lt;('DCDC Ref'!$J$24/'DCDC Ref'!$J$26)*'DCDC Ref'!$J$28/100,0,1)</f>
        <v>1</v>
      </c>
      <c r="BD91" s="360">
        <f>IF(BC91=1000000000,"",('All Data'!Q91-'DCDC Ref'!$J$30)/'DCDC Ref'!$J$30*100)</f>
        <v>1482.4175824175825</v>
      </c>
      <c r="BE91" s="295">
        <f t="shared" si="12"/>
        <v>1482.4175824175825</v>
      </c>
      <c r="BF91" s="295"/>
      <c r="BG91" s="360"/>
      <c r="BH91" s="361">
        <f t="shared" si="13"/>
        <v>0</v>
      </c>
      <c r="BI91" s="295"/>
      <c r="BJ91" s="96">
        <f>IF(BC91=0,"",('All Data'!Z91-'DCDC Ref'!$J$28*('DCDC Ref'!$J$29/100))/'DCDC Ref'!$J$28*('DCDC Ref'!$J$29/100)*100)</f>
        <v>-27.379310344827594</v>
      </c>
      <c r="BK91" s="361">
        <f t="shared" si="14"/>
        <v>10000</v>
      </c>
      <c r="BL91" s="361"/>
      <c r="BM91" s="361"/>
      <c r="BN91" s="361"/>
      <c r="BO91" s="361"/>
      <c r="BP91" s="96"/>
      <c r="BQ91" s="298">
        <f t="shared" si="15"/>
        <v>7462087.9120879127</v>
      </c>
      <c r="BR91" s="298">
        <f>IF(BQ91="","",RANK(BQ91,BQ$11:BQ$9930,1)+COUNTIF(BQ$11:BQ91,BQ91)-1)</f>
        <v>102</v>
      </c>
      <c r="BS91" s="299">
        <f t="shared" si="11"/>
        <v>102</v>
      </c>
      <c r="BT91" s="96" t="str">
        <f>IFERROR(INDEX($O$11:$O$1013,MATCH(ROWS($BS$11:BS91),$BS$11:$BS$1005,0)),"")</f>
        <v>ETQP3M4R7KVN</v>
      </c>
      <c r="BU91" s="299" t="str">
        <f t="shared" si="16"/>
        <v>ETQP3M4R7KVN</v>
      </c>
      <c r="BV91" s="96"/>
    </row>
    <row r="92" spans="1:74" ht="15">
      <c r="A92" s="95">
        <v>102</v>
      </c>
      <c r="B92" s="259" t="s">
        <v>584</v>
      </c>
      <c r="C92" s="95"/>
      <c r="D92" s="95" t="s">
        <v>585</v>
      </c>
      <c r="E92" s="109"/>
      <c r="F92" s="68" t="s">
        <v>153</v>
      </c>
      <c r="G92" s="69" t="s">
        <v>586</v>
      </c>
      <c r="H92" s="68" t="s">
        <v>587</v>
      </c>
      <c r="I92" s="69" t="s">
        <v>588</v>
      </c>
      <c r="J92" s="68" t="s">
        <v>589</v>
      </c>
      <c r="K92" s="68" t="s">
        <v>654</v>
      </c>
      <c r="L92" s="68" t="s">
        <v>670</v>
      </c>
      <c r="M92" s="68" t="s">
        <v>671</v>
      </c>
      <c r="N92" s="68" t="s">
        <v>593</v>
      </c>
      <c r="O92" s="34" t="s">
        <v>101</v>
      </c>
      <c r="P92" s="37" t="str">
        <f>MID(All_PCC_a[[#This Row],[Part Number]],7,3)</f>
        <v>100</v>
      </c>
      <c r="Q92" s="87">
        <v>10</v>
      </c>
      <c r="R92" s="87" t="str">
        <f>IF(All_PCC_a[[#This Row],[Lo (uH)]]&lt;1,"&lt;1",IF(All_PCC_a[[#This Row],[Lo (uH)]]&lt;10,"&lt;10",IF(All_PCC_a[[#This Row],[Lo (uH)]]&lt;100,"&lt;100",IF(All_PCC_a[[#This Row],[Lo (uH)]]&lt;2000,"&lt;2000",""))))</f>
        <v>&lt;100</v>
      </c>
      <c r="S92" s="87" t="str">
        <f>IFERROR(VLOOKUP(All_PCC_a[[#This Row],[Lo (uH)]],Utility!$D$5:$E$43,2,1),"-")</f>
        <v>≤  10</v>
      </c>
      <c r="T92" s="88">
        <v>0.2</v>
      </c>
      <c r="U92" s="126">
        <v>36</v>
      </c>
      <c r="V92" s="126">
        <v>39.6</v>
      </c>
      <c r="W92" s="87">
        <v>10</v>
      </c>
      <c r="X92" s="87">
        <v>6</v>
      </c>
      <c r="Y92" s="121">
        <v>4.5</v>
      </c>
      <c r="Z92" s="122">
        <v>9.6</v>
      </c>
      <c r="AA92" s="87">
        <v>6.7</v>
      </c>
      <c r="AB92" s="68">
        <v>7.4</v>
      </c>
      <c r="AC92" s="68">
        <v>7</v>
      </c>
      <c r="AD92" s="87">
        <v>4.8</v>
      </c>
      <c r="AE92" s="68">
        <f>ROUND(All_PCC_a[[#This Row],[L (mm)]]*All_PCC_a[[#This Row],[W (mm)]],1)</f>
        <v>51.8</v>
      </c>
      <c r="AF92" s="87" t="str">
        <f>All_PCC_a[[#This Row],[L (mm)]]&amp;"  x  "&amp;All_PCC_a[[#This Row],[W (mm)]]</f>
        <v>7.4  x  7</v>
      </c>
      <c r="AG92" s="141" t="s">
        <v>661</v>
      </c>
      <c r="AH92" s="97" t="str">
        <f>IF(All_PCC_a[[#This Row],[Max Height (mm)]]&lt;=9,"≤ "&amp;ROUNDUP(AD92,0),"≤"&amp;ROUNDUP(AD92,0))</f>
        <v>≤ 5</v>
      </c>
      <c r="AI92" s="68">
        <v>-40</v>
      </c>
      <c r="AJ92" s="68">
        <v>150</v>
      </c>
      <c r="AK92" s="68" t="str">
        <f>All_PCC_a[[#This Row],[Min Temp (deg.C)]]&amp;" to +"&amp;All_PCC_a[[#This Row],[Max Temp (deg.C)]]</f>
        <v>-40 to +150</v>
      </c>
      <c r="AL92" s="68"/>
      <c r="AO92" s="87" t="s">
        <v>138</v>
      </c>
      <c r="AP92" s="97" t="str">
        <f t="shared" si="17"/>
        <v>-</v>
      </c>
      <c r="AQ92" s="87" t="s">
        <v>138</v>
      </c>
      <c r="AR92" s="87" t="s">
        <v>138</v>
      </c>
      <c r="AS92" s="68" t="s">
        <v>959</v>
      </c>
      <c r="AT92" s="68" t="s">
        <v>657</v>
      </c>
      <c r="AU92" s="96" t="e" vm="12">
        <f>_xlfn.IMAGE(All_PCC_a[[#This Row],[Image URL]])</f>
        <v>#VALUE!</v>
      </c>
      <c r="AV92" s="95"/>
      <c r="AW92" s="95"/>
      <c r="AY92" s="68"/>
      <c r="BC92" s="96">
        <f>IF(Z92&lt;('DCDC Ref'!$J$24/'DCDC Ref'!$J$26)*'DCDC Ref'!$J$28/100,0,1)</f>
        <v>1</v>
      </c>
      <c r="BD92" s="360">
        <f>IF(BC92=1000000000,"",('All Data'!Q92-'DCDC Ref'!$J$30)/'DCDC Ref'!$J$30*100)</f>
        <v>1482.4175824175825</v>
      </c>
      <c r="BE92" s="295">
        <f t="shared" si="12"/>
        <v>1482.4175824175825</v>
      </c>
      <c r="BF92" s="295"/>
      <c r="BG92" s="360"/>
      <c r="BH92" s="361">
        <f t="shared" si="13"/>
        <v>0</v>
      </c>
      <c r="BI92" s="295"/>
      <c r="BJ92" s="96">
        <f>IF(BC92=0,"",('All Data'!Z92-'DCDC Ref'!$J$28*('DCDC Ref'!$J$29/100))/'DCDC Ref'!$J$28*('DCDC Ref'!$J$29/100)*100)</f>
        <v>-13.931034482758633</v>
      </c>
      <c r="BK92" s="361">
        <f t="shared" si="14"/>
        <v>10000</v>
      </c>
      <c r="BL92" s="361"/>
      <c r="BM92" s="361"/>
      <c r="BN92" s="361"/>
      <c r="BO92" s="361"/>
      <c r="BP92" s="96"/>
      <c r="BQ92" s="298">
        <f t="shared" si="15"/>
        <v>7462087.9120879127</v>
      </c>
      <c r="BR92" s="298">
        <f>IF(BQ92="","",RANK(BQ92,BQ$11:BQ$9930,1)+COUNTIF(BQ$11:BQ92,BQ92)-1)</f>
        <v>103</v>
      </c>
      <c r="BS92" s="299">
        <f t="shared" si="11"/>
        <v>103</v>
      </c>
      <c r="BT92" s="96" t="str">
        <f>IFERROR(INDEX($O$11:$O$1013,MATCH(ROWS($BS$11:BS92),$BS$11:$BS$1005,0)),"")</f>
        <v>ETQP4M4R7KFN</v>
      </c>
      <c r="BU92" s="299" t="str">
        <f t="shared" si="16"/>
        <v>ETQP4M4R7KFN</v>
      </c>
      <c r="BV92" s="96"/>
    </row>
    <row r="93" spans="1:74">
      <c r="A93" s="95">
        <v>123</v>
      </c>
      <c r="B93" s="259" t="s">
        <v>584</v>
      </c>
      <c r="C93" s="286">
        <v>44883</v>
      </c>
      <c r="D93" s="95" t="s">
        <v>585</v>
      </c>
      <c r="E93" s="231"/>
      <c r="F93" s="95" t="s">
        <v>23</v>
      </c>
      <c r="G93" s="231" t="s">
        <v>586</v>
      </c>
      <c r="H93" s="95" t="s">
        <v>587</v>
      </c>
      <c r="I93" s="231" t="s">
        <v>588</v>
      </c>
      <c r="J93" s="95" t="s">
        <v>589</v>
      </c>
      <c r="K93" s="95" t="s">
        <v>590</v>
      </c>
      <c r="L93" s="95" t="s">
        <v>676</v>
      </c>
      <c r="M93" s="95" t="s">
        <v>652</v>
      </c>
      <c r="N93" s="95" t="s">
        <v>593</v>
      </c>
      <c r="O93" s="34" t="s">
        <v>677</v>
      </c>
      <c r="P93" s="37" t="str">
        <f>MID(All_PCC_a[[#This Row],[Part Number]],7,3)</f>
        <v>100</v>
      </c>
      <c r="Q93" s="129">
        <v>10</v>
      </c>
      <c r="R93" s="130" t="str">
        <f>IF(All_PCC_a[[#This Row],[Lo (uH)]]&lt;1,"&lt;1",IF(All_PCC_a[[#This Row],[Lo (uH)]]&lt;10,"&lt;10",IF(All_PCC_a[[#This Row],[Lo (uH)]]&lt;100,"&lt;100",IF(All_PCC_a[[#This Row],[Lo (uH)]]&lt;2000,"&lt;2000",""))))</f>
        <v>&lt;100</v>
      </c>
      <c r="S93" s="97" t="str">
        <f>IFERROR(VLOOKUP(All_PCC_a[[#This Row],[Lo (uH)]],Utility!$D$5:$E$43,2,1),"-")</f>
        <v>≤  10</v>
      </c>
      <c r="T93" s="250">
        <v>0.2</v>
      </c>
      <c r="U93" s="131">
        <v>31.5</v>
      </c>
      <c r="V93" s="125">
        <v>34.65</v>
      </c>
      <c r="W93" s="87">
        <v>10</v>
      </c>
      <c r="X93" s="130">
        <v>6.9</v>
      </c>
      <c r="Y93" s="129">
        <v>5.9</v>
      </c>
      <c r="Z93" s="251">
        <v>11.1</v>
      </c>
      <c r="AA93" s="129">
        <v>7.7</v>
      </c>
      <c r="AB93" s="95">
        <v>8.5</v>
      </c>
      <c r="AC93" s="95">
        <v>8</v>
      </c>
      <c r="AD93" s="129">
        <v>5.4</v>
      </c>
      <c r="AE93" s="95">
        <f>ROUND(All_PCC_a[[#This Row],[L (mm)]]*All_PCC_a[[#This Row],[W (mm)]],1)</f>
        <v>68</v>
      </c>
      <c r="AF93" s="87" t="str">
        <f>All_PCC_a[[#This Row],[L (mm)]]&amp;"  x  "&amp;All_PCC_a[[#This Row],[W (mm)]]</f>
        <v>8.5  x  8</v>
      </c>
      <c r="AG93" s="91" t="s">
        <v>624</v>
      </c>
      <c r="AH93" s="97" t="str">
        <f>IF(All_PCC_a[[#This Row],[Max Height (mm)]]&lt;=9,"≤ "&amp;ROUNDUP(AD93,0),"≤"&amp;ROUNDUP(AD93,0))</f>
        <v>≤ 6</v>
      </c>
      <c r="AI93" s="95">
        <v>-40</v>
      </c>
      <c r="AJ93" s="95">
        <v>150</v>
      </c>
      <c r="AK93" s="68" t="str">
        <f>All_PCC_a[[#This Row],[Min Temp (deg.C)]]&amp;" to +"&amp;All_PCC_a[[#This Row],[Max Temp (deg.C)]]</f>
        <v>-40 to +150</v>
      </c>
      <c r="AL93" s="95"/>
      <c r="AM93" s="95"/>
      <c r="AN93" s="95"/>
      <c r="AO93" s="87" t="s">
        <v>138</v>
      </c>
      <c r="AP93" s="130" t="str">
        <f t="shared" si="17"/>
        <v>-</v>
      </c>
      <c r="AQ93" s="87" t="s">
        <v>138</v>
      </c>
      <c r="AR93" s="87" t="s">
        <v>138</v>
      </c>
      <c r="AS93" s="95" t="s">
        <v>960</v>
      </c>
      <c r="AT93" s="95" t="s">
        <v>594</v>
      </c>
      <c r="AU93" s="96" t="e" vm="7">
        <f>_xlfn.IMAGE(All_PCC_a[[#This Row],[Image URL]])</f>
        <v>#VALUE!</v>
      </c>
      <c r="AV93" s="95"/>
      <c r="AW93" s="95"/>
      <c r="AY93" s="68"/>
      <c r="BC93" s="96">
        <f>IF(Z93&lt;('DCDC Ref'!$J$24/'DCDC Ref'!$J$26)*'DCDC Ref'!$J$28/100,0,1)</f>
        <v>1</v>
      </c>
      <c r="BD93" s="360">
        <f>IF(BC93=1000000000,"",('All Data'!Q93-'DCDC Ref'!$J$30)/'DCDC Ref'!$J$30*100)</f>
        <v>1482.4175824175825</v>
      </c>
      <c r="BE93" s="295">
        <f t="shared" si="12"/>
        <v>1482.4175824175825</v>
      </c>
      <c r="BF93" s="295"/>
      <c r="BG93" s="360"/>
      <c r="BH93" s="361">
        <f t="shared" si="13"/>
        <v>0</v>
      </c>
      <c r="BI93" s="295"/>
      <c r="BJ93" s="96">
        <f>IF(BC93=0,"",('All Data'!Z93-'DCDC Ref'!$J$28*('DCDC Ref'!$J$29/100))/'DCDC Ref'!$J$28*('DCDC Ref'!$J$29/100)*100)</f>
        <v>-0.48275862068966935</v>
      </c>
      <c r="BK93" s="361">
        <f t="shared" si="14"/>
        <v>10000</v>
      </c>
      <c r="BL93" s="361"/>
      <c r="BM93" s="361"/>
      <c r="BN93" s="361"/>
      <c r="BO93" s="361"/>
      <c r="BP93" s="96"/>
      <c r="BQ93" s="298">
        <f t="shared" si="15"/>
        <v>7462087.9120879127</v>
      </c>
      <c r="BR93" s="298">
        <f>IF(BQ93="","",RANK(BQ93,BQ$11:BQ$9930,1)+COUNTIF(BQ$11:BQ93,BQ93)-1)</f>
        <v>104</v>
      </c>
      <c r="BS93" s="299">
        <f t="shared" si="11"/>
        <v>104</v>
      </c>
      <c r="BT93" s="96" t="str">
        <f>IFERROR(INDEX($O$11:$O$1013,MATCH(ROWS($BS$11:BS93),$BS$11:$BS$1005,0)),"")</f>
        <v>ETQP4M4R7KFM</v>
      </c>
      <c r="BU93" s="299" t="str">
        <f t="shared" si="16"/>
        <v>ETQP4M4R7KFM</v>
      </c>
      <c r="BV93" s="96"/>
    </row>
    <row r="94" spans="1:74" ht="15">
      <c r="A94" s="95">
        <v>112</v>
      </c>
      <c r="B94" s="259" t="s">
        <v>584</v>
      </c>
      <c r="C94" s="95" t="s">
        <v>678</v>
      </c>
      <c r="D94" s="133" t="s">
        <v>585</v>
      </c>
      <c r="E94" s="237"/>
      <c r="F94" s="133" t="s">
        <v>153</v>
      </c>
      <c r="G94" s="156" t="s">
        <v>586</v>
      </c>
      <c r="H94" s="132" t="s">
        <v>587</v>
      </c>
      <c r="I94" s="156" t="s">
        <v>588</v>
      </c>
      <c r="J94" s="132" t="s">
        <v>589</v>
      </c>
      <c r="K94" s="133" t="s">
        <v>590</v>
      </c>
      <c r="L94" s="133" t="s">
        <v>679</v>
      </c>
      <c r="M94" s="246" t="s">
        <v>634</v>
      </c>
      <c r="N94" s="133" t="s">
        <v>593</v>
      </c>
      <c r="O94" s="34" t="s">
        <v>102</v>
      </c>
      <c r="P94" s="37" t="str">
        <f>MID(All_PCC_a[[#This Row],[Part Number]],7,3)</f>
        <v>150</v>
      </c>
      <c r="Q94" s="252">
        <v>14</v>
      </c>
      <c r="R94" s="240" t="str">
        <f>IF(All_PCC_a[[#This Row],[Lo (uH)]]&lt;1,"&lt;1",IF(All_PCC_a[[#This Row],[Lo (uH)]]&lt;10,"&lt;10",IF(All_PCC_a[[#This Row],[Lo (uH)]]&lt;100,"&lt;100",IF(All_PCC_a[[#This Row],[Lo (uH)]]&lt;2000,"&lt;2000",""))))</f>
        <v>&lt;100</v>
      </c>
      <c r="S94" s="137" t="str">
        <f>IFERROR(VLOOKUP(All_PCC_a[[#This Row],[Lo (uH)]],Utility!$D$5:$E$43,2,1),"-")</f>
        <v>≤  20</v>
      </c>
      <c r="T94" s="136">
        <v>0.2</v>
      </c>
      <c r="U94" s="242">
        <v>28</v>
      </c>
      <c r="V94" s="245">
        <v>30.800000000000004</v>
      </c>
      <c r="W94" s="171">
        <v>10</v>
      </c>
      <c r="X94" s="253">
        <v>7.9</v>
      </c>
      <c r="Y94" s="239">
        <v>6.5</v>
      </c>
      <c r="Z94" s="241">
        <v>11.2</v>
      </c>
      <c r="AA94" s="239">
        <v>8</v>
      </c>
      <c r="AB94" s="133">
        <v>10.9</v>
      </c>
      <c r="AC94" s="133">
        <v>10</v>
      </c>
      <c r="AD94" s="239">
        <v>6</v>
      </c>
      <c r="AE94" s="133">
        <f>ROUND(All_PCC_a[[#This Row],[L (mm)]]*All_PCC_a[[#This Row],[W (mm)]],1)</f>
        <v>109</v>
      </c>
      <c r="AF94" s="87" t="str">
        <f>All_PCC_a[[#This Row],[L (mm)]]&amp;"  x  "&amp;All_PCC_a[[#This Row],[W (mm)]]</f>
        <v>10.9  x  10</v>
      </c>
      <c r="AG94" s="141" t="s">
        <v>614</v>
      </c>
      <c r="AH94" s="97" t="str">
        <f>IF(All_PCC_a[[#This Row],[Max Height (mm)]]&lt;=9,"≤ "&amp;ROUNDUP(AD94,0),"≤"&amp;ROUNDUP(AD94,0))</f>
        <v>≤ 6</v>
      </c>
      <c r="AI94" s="133">
        <v>-40</v>
      </c>
      <c r="AJ94" s="133">
        <v>150</v>
      </c>
      <c r="AK94" s="68" t="str">
        <f>All_PCC_a[[#This Row],[Min Temp (deg.C)]]&amp;" to +"&amp;All_PCC_a[[#This Row],[Max Temp (deg.C)]]</f>
        <v>-40 to +150</v>
      </c>
      <c r="AL94" s="133"/>
      <c r="AM94" s="133"/>
      <c r="AN94" s="133"/>
      <c r="AO94" s="135" t="s">
        <v>138</v>
      </c>
      <c r="AP94" s="240" t="str">
        <f t="shared" si="17"/>
        <v>-</v>
      </c>
      <c r="AQ94" s="135" t="s">
        <v>138</v>
      </c>
      <c r="AR94" s="135" t="s">
        <v>138</v>
      </c>
      <c r="AS94" s="132" t="s">
        <v>961</v>
      </c>
      <c r="AT94" s="95" t="s">
        <v>594</v>
      </c>
      <c r="AU94" s="96" t="e" vm="7">
        <f>_xlfn.IMAGE(All_PCC_a[[#This Row],[Image URL]])</f>
        <v>#VALUE!</v>
      </c>
      <c r="AV94" s="133"/>
      <c r="AW94" s="133"/>
      <c r="AY94" s="68"/>
      <c r="BC94" s="96">
        <f>IF(Z94&lt;('DCDC Ref'!$J$24/'DCDC Ref'!$J$26)*'DCDC Ref'!$J$28/100,0,1)</f>
        <v>1</v>
      </c>
      <c r="BD94" s="360">
        <f>IF(BC94=1000000000,"",('All Data'!Q94-'DCDC Ref'!$J$30)/'DCDC Ref'!$J$30*100)</f>
        <v>2115.3846153846152</v>
      </c>
      <c r="BE94" s="295">
        <f t="shared" si="12"/>
        <v>2115.3846153846152</v>
      </c>
      <c r="BF94" s="295"/>
      <c r="BG94" s="360"/>
      <c r="BH94" s="361">
        <f t="shared" si="13"/>
        <v>0</v>
      </c>
      <c r="BI94" s="295"/>
      <c r="BJ94" s="96">
        <f>IF(BC94=0,"",('All Data'!Z94-'DCDC Ref'!$J$28*('DCDC Ref'!$J$29/100))/'DCDC Ref'!$J$28*('DCDC Ref'!$J$29/100)*100)</f>
        <v>0.41379310344825843</v>
      </c>
      <c r="BK94" s="361">
        <f t="shared" si="14"/>
        <v>0.41379310344825843</v>
      </c>
      <c r="BL94" s="361"/>
      <c r="BM94" s="361"/>
      <c r="BN94" s="361"/>
      <c r="BO94" s="361"/>
      <c r="BP94" s="96"/>
      <c r="BQ94" s="298">
        <f t="shared" si="15"/>
        <v>10576925.145888593</v>
      </c>
      <c r="BR94" s="298">
        <f>IF(BQ94="","",RANK(BQ94,BQ$11:BQ$9930,1)+COUNTIF(BQ$11:BQ94,BQ94)-1)</f>
        <v>106</v>
      </c>
      <c r="BS94" s="299">
        <f t="shared" si="11"/>
        <v>106</v>
      </c>
      <c r="BT94" s="96" t="str">
        <f>IFERROR(INDEX($O$11:$O$1013,MATCH(ROWS($BS$11:BS94),$BS$11:$BS$1005,0)),"")</f>
        <v>ETQP5M6R8YFM</v>
      </c>
      <c r="BU94" s="299" t="str">
        <f t="shared" si="16"/>
        <v>ETQP5M6R8YFM</v>
      </c>
      <c r="BV94" s="96"/>
    </row>
    <row r="95" spans="1:74" ht="15">
      <c r="A95" s="95">
        <v>18</v>
      </c>
      <c r="B95" s="259" t="s">
        <v>584</v>
      </c>
      <c r="C95" s="95"/>
      <c r="D95" s="95" t="s">
        <v>585</v>
      </c>
      <c r="E95" s="109"/>
      <c r="F95" s="68" t="s">
        <v>153</v>
      </c>
      <c r="G95" s="69" t="s">
        <v>586</v>
      </c>
      <c r="H95" s="68" t="s">
        <v>587</v>
      </c>
      <c r="I95" s="69" t="s">
        <v>588</v>
      </c>
      <c r="J95" s="68" t="s">
        <v>589</v>
      </c>
      <c r="K95" s="68" t="s">
        <v>590</v>
      </c>
      <c r="L95" s="68" t="s">
        <v>631</v>
      </c>
      <c r="M95" s="68" t="s">
        <v>632</v>
      </c>
      <c r="N95" s="68" t="s">
        <v>593</v>
      </c>
      <c r="O95" s="34" t="s">
        <v>104</v>
      </c>
      <c r="P95" s="37" t="str">
        <f>MID(All_PCC_a[[#This Row],[Part Number]],7,3)</f>
        <v>150</v>
      </c>
      <c r="Q95" s="87">
        <v>15</v>
      </c>
      <c r="R95" s="87" t="str">
        <f>IF(All_PCC_a[[#This Row],[Lo (uH)]]&lt;1,"&lt;1",IF(All_PCC_a[[#This Row],[Lo (uH)]]&lt;10,"&lt;10",IF(All_PCC_a[[#This Row],[Lo (uH)]]&lt;100,"&lt;100",IF(All_PCC_a[[#This Row],[Lo (uH)]]&lt;2000,"&lt;2000",""))))</f>
        <v>&lt;100</v>
      </c>
      <c r="S95" s="87" t="str">
        <f>IFERROR(VLOOKUP(All_PCC_a[[#This Row],[Lo (uH)]],Utility!$D$5:$E$43,2,1),"-")</f>
        <v>≤  20</v>
      </c>
      <c r="T95" s="88">
        <v>0.2</v>
      </c>
      <c r="U95" s="126">
        <v>35.6</v>
      </c>
      <c r="V95" s="126">
        <v>39.159999999999997</v>
      </c>
      <c r="W95" s="87">
        <v>10</v>
      </c>
      <c r="X95" s="87">
        <v>7</v>
      </c>
      <c r="Y95" s="87">
        <v>5.8</v>
      </c>
      <c r="Z95" s="117">
        <v>12</v>
      </c>
      <c r="AA95" s="87">
        <v>7.33</v>
      </c>
      <c r="AB95" s="68">
        <v>10.7</v>
      </c>
      <c r="AC95" s="68">
        <v>10</v>
      </c>
      <c r="AD95" s="87">
        <v>5.4</v>
      </c>
      <c r="AE95" s="68">
        <f>ROUND(All_PCC_a[[#This Row],[L (mm)]]*All_PCC_a[[#This Row],[W (mm)]],1)</f>
        <v>107</v>
      </c>
      <c r="AF95" s="87" t="str">
        <f>All_PCC_a[[#This Row],[L (mm)]]&amp;"  x  "&amp;All_PCC_a[[#This Row],[W (mm)]]</f>
        <v>10.7  x  10</v>
      </c>
      <c r="AG95" s="91" t="s">
        <v>324</v>
      </c>
      <c r="AH95" s="97" t="str">
        <f>IF(All_PCC_a[[#This Row],[Max Height (mm)]]&lt;=9,"≤ "&amp;ROUNDUP(AD95,0),"≤"&amp;ROUNDUP(AD95,0))</f>
        <v>≤ 6</v>
      </c>
      <c r="AI95" s="68">
        <v>-40</v>
      </c>
      <c r="AJ95" s="68">
        <v>150</v>
      </c>
      <c r="AK95" s="68" t="str">
        <f>All_PCC_a[[#This Row],[Min Temp (deg.C)]]&amp;" to +"&amp;All_PCC_a[[#This Row],[Max Temp (deg.C)]]</f>
        <v>-40 to +150</v>
      </c>
      <c r="AL95" s="68"/>
      <c r="AO95" s="87" t="s">
        <v>138</v>
      </c>
      <c r="AP95" s="97" t="str">
        <f t="shared" si="17"/>
        <v>-</v>
      </c>
      <c r="AQ95" s="87" t="s">
        <v>138</v>
      </c>
      <c r="AR95" s="87" t="s">
        <v>138</v>
      </c>
      <c r="AS95" s="68" t="s">
        <v>962</v>
      </c>
      <c r="AT95" s="68" t="s">
        <v>594</v>
      </c>
      <c r="AU95" s="96" t="e" vm="7">
        <f>_xlfn.IMAGE(All_PCC_a[[#This Row],[Image URL]])</f>
        <v>#VALUE!</v>
      </c>
      <c r="AV95" s="95"/>
      <c r="AW95" s="95"/>
      <c r="AY95" s="68"/>
      <c r="BC95" s="96">
        <f>IF(Z95&lt;('DCDC Ref'!$J$24/'DCDC Ref'!$J$26)*'DCDC Ref'!$J$28/100,0,1)</f>
        <v>1</v>
      </c>
      <c r="BD95" s="360">
        <f>IF(BC95=1000000000,"",('All Data'!Q95-'DCDC Ref'!$J$30)/'DCDC Ref'!$J$30*100)</f>
        <v>2273.6263736263736</v>
      </c>
      <c r="BE95" s="295">
        <f t="shared" si="12"/>
        <v>2273.6263736263736</v>
      </c>
      <c r="BF95" s="295"/>
      <c r="BG95" s="360"/>
      <c r="BH95" s="361">
        <f t="shared" si="13"/>
        <v>0</v>
      </c>
      <c r="BI95" s="295"/>
      <c r="BJ95" s="96">
        <f>IF(BC95=0,"",('All Data'!Z95-'DCDC Ref'!$J$28*('DCDC Ref'!$J$29/100))/'DCDC Ref'!$J$28*('DCDC Ref'!$J$29/100)*100)</f>
        <v>7.5862068965517127</v>
      </c>
      <c r="BK95" s="361">
        <f t="shared" si="14"/>
        <v>7.5862068965517127</v>
      </c>
      <c r="BL95" s="361"/>
      <c r="BM95" s="361"/>
      <c r="BN95" s="361"/>
      <c r="BO95" s="361"/>
      <c r="BP95" s="96"/>
      <c r="BQ95" s="298">
        <f t="shared" si="15"/>
        <v>11368169.799166352</v>
      </c>
      <c r="BR95" s="298">
        <f>IF(BQ95="","",RANK(BQ95,BQ$11:BQ$9930,1)+COUNTIF(BQ$11:BQ95,BQ95)-1)</f>
        <v>107</v>
      </c>
      <c r="BS95" s="299">
        <f t="shared" si="11"/>
        <v>107</v>
      </c>
      <c r="BT95" s="96" t="str">
        <f>IFERROR(INDEX($O$11:$O$1013,MATCH(ROWS($BS$11:BS95),$BS$11:$BS$1005,0)),"")</f>
        <v>ETQP4M6R8KVC</v>
      </c>
      <c r="BU95" s="299" t="str">
        <f t="shared" si="16"/>
        <v>ETQP4M6R8KVC</v>
      </c>
      <c r="BV95" s="96"/>
    </row>
    <row r="96" spans="1:74" ht="15">
      <c r="A96" s="95">
        <v>26</v>
      </c>
      <c r="B96" s="259" t="s">
        <v>584</v>
      </c>
      <c r="C96" s="95"/>
      <c r="D96" s="95" t="s">
        <v>585</v>
      </c>
      <c r="E96" s="109"/>
      <c r="F96" s="68" t="s">
        <v>153</v>
      </c>
      <c r="G96" s="69" t="s">
        <v>586</v>
      </c>
      <c r="H96" s="68" t="s">
        <v>587</v>
      </c>
      <c r="I96" s="69" t="s">
        <v>588</v>
      </c>
      <c r="J96" s="68" t="s">
        <v>589</v>
      </c>
      <c r="K96" s="68" t="s">
        <v>590</v>
      </c>
      <c r="L96" s="68" t="s">
        <v>651</v>
      </c>
      <c r="M96" s="96" t="s">
        <v>652</v>
      </c>
      <c r="N96" s="68" t="s">
        <v>593</v>
      </c>
      <c r="O96" s="34" t="s">
        <v>106</v>
      </c>
      <c r="P96" s="37" t="str">
        <f>MID(All_PCC_a[[#This Row],[Part Number]],7,3)</f>
        <v>150</v>
      </c>
      <c r="Q96" s="87">
        <v>15</v>
      </c>
      <c r="R96" s="87" t="str">
        <f>IF(All_PCC_a[[#This Row],[Lo (uH)]]&lt;1,"&lt;1",IF(All_PCC_a[[#This Row],[Lo (uH)]]&lt;10,"&lt;10",IF(All_PCC_a[[#This Row],[Lo (uH)]]&lt;100,"&lt;100",IF(All_PCC_a[[#This Row],[Lo (uH)]]&lt;2000,"&lt;2000",""))))</f>
        <v>&lt;100</v>
      </c>
      <c r="S96" s="87" t="str">
        <f>IFERROR(VLOOKUP(All_PCC_a[[#This Row],[Lo (uH)]],Utility!$D$5:$E$43,2,1),"-")</f>
        <v>≤  20</v>
      </c>
      <c r="T96" s="88">
        <v>0.2</v>
      </c>
      <c r="U96" s="126">
        <v>48.2</v>
      </c>
      <c r="V96" s="126">
        <v>53.1</v>
      </c>
      <c r="W96" s="87">
        <v>10</v>
      </c>
      <c r="X96" s="87">
        <v>5.5</v>
      </c>
      <c r="Y96" s="87">
        <v>4.7</v>
      </c>
      <c r="Z96" s="117">
        <v>7.2</v>
      </c>
      <c r="AA96" s="87">
        <v>5.58</v>
      </c>
      <c r="AB96" s="68">
        <v>8.5</v>
      </c>
      <c r="AC96" s="68">
        <v>8</v>
      </c>
      <c r="AD96" s="87">
        <v>5.4</v>
      </c>
      <c r="AE96" s="68">
        <f>ROUND(All_PCC_a[[#This Row],[L (mm)]]*All_PCC_a[[#This Row],[W (mm)]],1)</f>
        <v>68</v>
      </c>
      <c r="AF96" s="87" t="str">
        <f>All_PCC_a[[#This Row],[L (mm)]]&amp;"  x  "&amp;All_PCC_a[[#This Row],[W (mm)]]</f>
        <v>8.5  x  8</v>
      </c>
      <c r="AG96" s="91" t="s">
        <v>624</v>
      </c>
      <c r="AH96" s="97" t="str">
        <f>IF(All_PCC_a[[#This Row],[Max Height (mm)]]&lt;=9,"≤ "&amp;ROUNDUP(AD96,0),"≤"&amp;ROUNDUP(AD96,0))</f>
        <v>≤ 6</v>
      </c>
      <c r="AI96" s="68">
        <v>-40</v>
      </c>
      <c r="AJ96" s="68">
        <v>150</v>
      </c>
      <c r="AK96" s="68" t="str">
        <f>All_PCC_a[[#This Row],[Min Temp (deg.C)]]&amp;" to +"&amp;All_PCC_a[[#This Row],[Max Temp (deg.C)]]</f>
        <v>-40 to +150</v>
      </c>
      <c r="AL96" s="68"/>
      <c r="AO96" s="87" t="s">
        <v>138</v>
      </c>
      <c r="AP96" s="97" t="str">
        <f t="shared" si="17"/>
        <v>-</v>
      </c>
      <c r="AQ96" s="87" t="s">
        <v>138</v>
      </c>
      <c r="AR96" s="87" t="s">
        <v>138</v>
      </c>
      <c r="AS96" s="68" t="s">
        <v>963</v>
      </c>
      <c r="AT96" s="68" t="s">
        <v>594</v>
      </c>
      <c r="AU96" s="96" t="e" vm="7">
        <f>_xlfn.IMAGE(All_PCC_a[[#This Row],[Image URL]])</f>
        <v>#VALUE!</v>
      </c>
      <c r="AW96" s="68"/>
      <c r="AY96" s="68"/>
      <c r="BC96" s="96">
        <f>IF(Z96&lt;('DCDC Ref'!$J$24/'DCDC Ref'!$J$26)*'DCDC Ref'!$J$28/100,0,1)</f>
        <v>1</v>
      </c>
      <c r="BD96" s="360">
        <f>IF(BC96=1000000000,"",('All Data'!Q96-'DCDC Ref'!$J$30)/'DCDC Ref'!$J$30*100)</f>
        <v>2273.6263736263736</v>
      </c>
      <c r="BE96" s="295">
        <f t="shared" si="12"/>
        <v>2273.6263736263736</v>
      </c>
      <c r="BF96" s="295"/>
      <c r="BG96" s="360"/>
      <c r="BH96" s="361">
        <f t="shared" si="13"/>
        <v>0</v>
      </c>
      <c r="BI96" s="295"/>
      <c r="BJ96" s="96">
        <f>IF(BC96=0,"",('All Data'!Z96-'DCDC Ref'!$J$28*('DCDC Ref'!$J$29/100))/'DCDC Ref'!$J$28*('DCDC Ref'!$J$29/100)*100)</f>
        <v>-35.448275862068975</v>
      </c>
      <c r="BK96" s="361">
        <f t="shared" si="14"/>
        <v>10000</v>
      </c>
      <c r="BL96" s="361"/>
      <c r="BM96" s="361"/>
      <c r="BN96" s="361"/>
      <c r="BO96" s="361"/>
      <c r="BP96" s="96"/>
      <c r="BQ96" s="298">
        <f t="shared" si="15"/>
        <v>11418131.868131869</v>
      </c>
      <c r="BR96" s="298">
        <f>IF(BQ96="","",RANK(BQ96,BQ$11:BQ$9930,1)+COUNTIF(BQ$11:BQ96,BQ96)-1)</f>
        <v>108</v>
      </c>
      <c r="BS96" s="299">
        <f t="shared" si="11"/>
        <v>108</v>
      </c>
      <c r="BT96" s="96" t="str">
        <f>IFERROR(INDEX($O$11:$O$1013,MATCH(ROWS($BS$11:BS96),$BS$11:$BS$1005,0)),"")</f>
        <v>ETQP5M6R8GAK</v>
      </c>
      <c r="BU96" s="299" t="str">
        <f t="shared" si="16"/>
        <v>ETQP5M6R8GAK</v>
      </c>
      <c r="BV96" s="96"/>
    </row>
    <row r="97" spans="1:75" ht="15">
      <c r="A97" s="95">
        <v>62</v>
      </c>
      <c r="B97" s="259" t="s">
        <v>584</v>
      </c>
      <c r="C97" s="95"/>
      <c r="D97" s="95" t="s">
        <v>585</v>
      </c>
      <c r="E97" s="109"/>
      <c r="F97" s="68" t="s">
        <v>153</v>
      </c>
      <c r="G97" s="69" t="s">
        <v>586</v>
      </c>
      <c r="H97" s="68" t="s">
        <v>587</v>
      </c>
      <c r="I97" s="69" t="s">
        <v>588</v>
      </c>
      <c r="J97" s="68" t="s">
        <v>589</v>
      </c>
      <c r="K97" s="68" t="s">
        <v>601</v>
      </c>
      <c r="L97" s="68" t="s">
        <v>620</v>
      </c>
      <c r="M97" s="68" t="s">
        <v>621</v>
      </c>
      <c r="N97" s="68" t="s">
        <v>593</v>
      </c>
      <c r="O97" s="34" t="s">
        <v>108</v>
      </c>
      <c r="P97" s="37" t="str">
        <f>MID(All_PCC_a[[#This Row],[Part Number]],7,3)</f>
        <v>150</v>
      </c>
      <c r="Q97" s="87">
        <v>15</v>
      </c>
      <c r="R97" s="87" t="str">
        <f>IF(All_PCC_a[[#This Row],[Lo (uH)]]&lt;1,"&lt;1",IF(All_PCC_a[[#This Row],[Lo (uH)]]&lt;10,"&lt;10",IF(All_PCC_a[[#This Row],[Lo (uH)]]&lt;100,"&lt;100",IF(All_PCC_a[[#This Row],[Lo (uH)]]&lt;2000,"&lt;2000",""))))</f>
        <v>&lt;100</v>
      </c>
      <c r="S97" s="87" t="str">
        <f>IFERROR(VLOOKUP(All_PCC_a[[#This Row],[Lo (uH)]],Utility!$D$5:$E$43,2,1),"-")</f>
        <v>≤  20</v>
      </c>
      <c r="T97" s="88">
        <v>0.2</v>
      </c>
      <c r="U97" s="126">
        <v>99.2</v>
      </c>
      <c r="V97" s="126">
        <v>109.12000000000002</v>
      </c>
      <c r="W97" s="87">
        <v>10</v>
      </c>
      <c r="X97" s="87">
        <v>3</v>
      </c>
      <c r="Y97" s="87">
        <v>2.5</v>
      </c>
      <c r="Z97" s="117">
        <v>5.0999999999999996</v>
      </c>
      <c r="AA97" s="87">
        <v>3.45</v>
      </c>
      <c r="AB97" s="68">
        <v>6.4</v>
      </c>
      <c r="AC97" s="68">
        <v>6</v>
      </c>
      <c r="AD97" s="87">
        <v>3</v>
      </c>
      <c r="AE97" s="68">
        <f>ROUND(All_PCC_a[[#This Row],[L (mm)]]*All_PCC_a[[#This Row],[W (mm)]],1)</f>
        <v>38.4</v>
      </c>
      <c r="AF97" s="87" t="str">
        <f>All_PCC_a[[#This Row],[L (mm)]]&amp;"  x  "&amp;All_PCC_a[[#This Row],[W (mm)]]</f>
        <v>6.4  x  6</v>
      </c>
      <c r="AG97" s="91" t="s">
        <v>618</v>
      </c>
      <c r="AH97" s="97" t="str">
        <f>IF(All_PCC_a[[#This Row],[Max Height (mm)]]&lt;=9,"≤ "&amp;ROUNDUP(AD97,0),"≤"&amp;ROUNDUP(AD97,0))</f>
        <v>≤ 3</v>
      </c>
      <c r="AI97" s="68">
        <v>-55</v>
      </c>
      <c r="AJ97" s="68">
        <v>155</v>
      </c>
      <c r="AK97" s="68" t="str">
        <f>All_PCC_a[[#This Row],[Min Temp (deg.C)]]&amp;" to +"&amp;All_PCC_a[[#This Row],[Max Temp (deg.C)]]</f>
        <v>-55 to +155</v>
      </c>
      <c r="AL97" s="68"/>
      <c r="AO97" s="87" t="s">
        <v>138</v>
      </c>
      <c r="AP97" s="97" t="str">
        <f t="shared" si="17"/>
        <v>-</v>
      </c>
      <c r="AQ97" s="87" t="s">
        <v>138</v>
      </c>
      <c r="AR97" s="87" t="s">
        <v>138</v>
      </c>
      <c r="AS97" s="68" t="s">
        <v>964</v>
      </c>
      <c r="AT97" s="95" t="s">
        <v>606</v>
      </c>
      <c r="AU97" s="96" t="e" vm="9">
        <f>_xlfn.IMAGE(All_PCC_a[[#This Row],[Image URL]])</f>
        <v>#VALUE!</v>
      </c>
      <c r="AW97" s="68"/>
      <c r="AY97" s="68"/>
      <c r="BC97" s="96">
        <f>IF(Z97&lt;('DCDC Ref'!$J$24/'DCDC Ref'!$J$26)*'DCDC Ref'!$J$28/100,0,1)</f>
        <v>1</v>
      </c>
      <c r="BD97" s="360">
        <f>IF(BC97=1000000000,"",('All Data'!Q97-'DCDC Ref'!$J$30)/'DCDC Ref'!$J$30*100)</f>
        <v>2273.6263736263736</v>
      </c>
      <c r="BE97" s="295">
        <f t="shared" si="12"/>
        <v>2273.6263736263736</v>
      </c>
      <c r="BF97" s="295"/>
      <c r="BG97" s="360"/>
      <c r="BH97" s="361">
        <f t="shared" si="13"/>
        <v>0</v>
      </c>
      <c r="BI97" s="295"/>
      <c r="BJ97" s="96">
        <f>IF(BC97=0,"",('All Data'!Z97-'DCDC Ref'!$J$28*('DCDC Ref'!$J$29/100))/'DCDC Ref'!$J$28*('DCDC Ref'!$J$29/100)*100)</f>
        <v>-54.27586206896553</v>
      </c>
      <c r="BK97" s="361">
        <f t="shared" si="14"/>
        <v>10000</v>
      </c>
      <c r="BL97" s="361"/>
      <c r="BM97" s="361"/>
      <c r="BN97" s="361"/>
      <c r="BO97" s="361"/>
      <c r="BP97" s="96"/>
      <c r="BQ97" s="298">
        <f t="shared" si="15"/>
        <v>11418131.868131869</v>
      </c>
      <c r="BR97" s="298">
        <f>IF(BQ97="","",RANK(BQ97,BQ$11:BQ$9930,1)+COUNTIF(BQ$11:BQ97,BQ97)-1)</f>
        <v>109</v>
      </c>
      <c r="BS97" s="299">
        <f t="shared" si="11"/>
        <v>109</v>
      </c>
      <c r="BT97" s="96" t="str">
        <f>IFERROR(INDEX($O$11:$O$1013,MATCH(ROWS($BS$11:BS97),$BS$11:$BS$1005,0)),"")</f>
        <v>ETQP4M6R8YFN</v>
      </c>
      <c r="BU97" s="299" t="str">
        <f t="shared" si="16"/>
        <v>ETQP4M6R8YFN</v>
      </c>
      <c r="BV97" s="96"/>
    </row>
    <row r="98" spans="1:75" ht="15">
      <c r="A98" s="95">
        <v>73</v>
      </c>
      <c r="B98" s="259" t="s">
        <v>584</v>
      </c>
      <c r="C98" s="95"/>
      <c r="D98" s="95" t="s">
        <v>585</v>
      </c>
      <c r="E98" s="109"/>
      <c r="F98" s="68" t="s">
        <v>153</v>
      </c>
      <c r="G98" s="69" t="s">
        <v>586</v>
      </c>
      <c r="H98" s="68" t="s">
        <v>587</v>
      </c>
      <c r="I98" s="69" t="s">
        <v>588</v>
      </c>
      <c r="J98" s="68" t="s">
        <v>589</v>
      </c>
      <c r="K98" s="68" t="s">
        <v>601</v>
      </c>
      <c r="L98" s="68" t="s">
        <v>622</v>
      </c>
      <c r="M98" s="68" t="s">
        <v>623</v>
      </c>
      <c r="N98" s="68" t="s">
        <v>593</v>
      </c>
      <c r="O98" s="34" t="s">
        <v>103</v>
      </c>
      <c r="P98" s="37" t="str">
        <f>MID(All_PCC_a[[#This Row],[Part Number]],7,3)</f>
        <v>150</v>
      </c>
      <c r="Q98" s="87">
        <v>15</v>
      </c>
      <c r="R98" s="87" t="str">
        <f>IF(All_PCC_a[[#This Row],[Lo (uH)]]&lt;1,"&lt;1",IF(All_PCC_a[[#This Row],[Lo (uH)]]&lt;10,"&lt;10",IF(All_PCC_a[[#This Row],[Lo (uH)]]&lt;100,"&lt;100",IF(All_PCC_a[[#This Row],[Lo (uH)]]&lt;2000,"&lt;2000",""))))</f>
        <v>&lt;100</v>
      </c>
      <c r="S98" s="87" t="str">
        <f>IFERROR(VLOOKUP(All_PCC_a[[#This Row],[Lo (uH)]],Utility!$D$5:$E$43,2,1),"-")</f>
        <v>≤  20</v>
      </c>
      <c r="T98" s="88">
        <v>0.2</v>
      </c>
      <c r="U98" s="126">
        <v>55</v>
      </c>
      <c r="V98" s="126">
        <v>60.500000000000007</v>
      </c>
      <c r="W98" s="87">
        <v>10</v>
      </c>
      <c r="X98" s="87">
        <v>4.5</v>
      </c>
      <c r="Y98" s="87">
        <v>3.8</v>
      </c>
      <c r="Z98" s="117">
        <v>7.6</v>
      </c>
      <c r="AA98" s="87">
        <v>5.82</v>
      </c>
      <c r="AB98" s="68">
        <v>8.4</v>
      </c>
      <c r="AC98" s="68">
        <v>8</v>
      </c>
      <c r="AD98" s="87">
        <v>4</v>
      </c>
      <c r="AE98" s="68">
        <f>ROUND(All_PCC_a[[#This Row],[L (mm)]]*All_PCC_a[[#This Row],[W (mm)]],1)</f>
        <v>67.2</v>
      </c>
      <c r="AF98" s="87" t="str">
        <f>All_PCC_a[[#This Row],[L (mm)]]&amp;"  x  "&amp;All_PCC_a[[#This Row],[W (mm)]]</f>
        <v>8.4  x  8</v>
      </c>
      <c r="AG98" s="99" t="s">
        <v>624</v>
      </c>
      <c r="AH98" s="97" t="str">
        <f>IF(All_PCC_a[[#This Row],[Max Height (mm)]]&lt;=9,"≤ "&amp;ROUNDUP(AD98,0),"≤"&amp;ROUNDUP(AD98,0))</f>
        <v>≤ 4</v>
      </c>
      <c r="AI98" s="68">
        <v>-55</v>
      </c>
      <c r="AJ98" s="68">
        <v>155</v>
      </c>
      <c r="AK98" s="68" t="str">
        <f>All_PCC_a[[#This Row],[Min Temp (deg.C)]]&amp;" to +"&amp;All_PCC_a[[#This Row],[Max Temp (deg.C)]]</f>
        <v>-55 to +155</v>
      </c>
      <c r="AL98" s="68"/>
      <c r="AO98" s="87" t="s">
        <v>138</v>
      </c>
      <c r="AP98" s="97" t="str">
        <f t="shared" si="17"/>
        <v>-</v>
      </c>
      <c r="AQ98" s="87" t="s">
        <v>138</v>
      </c>
      <c r="AR98" s="87" t="s">
        <v>138</v>
      </c>
      <c r="AS98" s="68" t="s">
        <v>965</v>
      </c>
      <c r="AT98" s="95" t="s">
        <v>606</v>
      </c>
      <c r="AU98" s="96" t="e" vm="9">
        <f>_xlfn.IMAGE(All_PCC_a[[#This Row],[Image URL]])</f>
        <v>#VALUE!</v>
      </c>
      <c r="AW98" s="68"/>
      <c r="AY98" s="68"/>
      <c r="BC98" s="96">
        <f>IF(Z98&lt;('DCDC Ref'!$J$24/'DCDC Ref'!$J$26)*'DCDC Ref'!$J$28/100,0,1)</f>
        <v>1</v>
      </c>
      <c r="BD98" s="360">
        <f>IF(BC98=1000000000,"",('All Data'!Q98-'DCDC Ref'!$J$30)/'DCDC Ref'!$J$30*100)</f>
        <v>2273.6263736263736</v>
      </c>
      <c r="BE98" s="295">
        <f t="shared" si="12"/>
        <v>2273.6263736263736</v>
      </c>
      <c r="BF98" s="295"/>
      <c r="BG98" s="360"/>
      <c r="BH98" s="361">
        <f t="shared" si="13"/>
        <v>0</v>
      </c>
      <c r="BI98" s="295"/>
      <c r="BJ98" s="96">
        <f>IF(BC98=0,"",('All Data'!Z98-'DCDC Ref'!$J$28*('DCDC Ref'!$J$29/100))/'DCDC Ref'!$J$28*('DCDC Ref'!$J$29/100)*100)</f>
        <v>-31.862068965517253</v>
      </c>
      <c r="BK98" s="361">
        <f t="shared" si="14"/>
        <v>10000</v>
      </c>
      <c r="BL98" s="361"/>
      <c r="BM98" s="361"/>
      <c r="BN98" s="361"/>
      <c r="BO98" s="361"/>
      <c r="BP98" s="96"/>
      <c r="BQ98" s="298">
        <f t="shared" si="15"/>
        <v>11418131.868131869</v>
      </c>
      <c r="BR98" s="298">
        <f>IF(BQ98="","",RANK(BQ98,BQ$11:BQ$9930,1)+COUNTIF(BQ$11:BQ98,BQ98)-1)</f>
        <v>110</v>
      </c>
      <c r="BS98" s="299">
        <f t="shared" si="11"/>
        <v>110</v>
      </c>
      <c r="BT98" s="96" t="str">
        <f>IFERROR(INDEX($O$11:$O$1013,MATCH(ROWS($BS$11:BS98),$BS$11:$BS$1005,0)),"")</f>
        <v>ETQP3M6R8KVP</v>
      </c>
      <c r="BU98" s="299" t="str">
        <f t="shared" si="16"/>
        <v>ETQP3M6R8KVP</v>
      </c>
      <c r="BV98" s="96"/>
    </row>
    <row r="99" spans="1:75" ht="15">
      <c r="A99" s="95">
        <v>85</v>
      </c>
      <c r="B99" s="259" t="s">
        <v>584</v>
      </c>
      <c r="C99" s="95"/>
      <c r="D99" s="95" t="s">
        <v>585</v>
      </c>
      <c r="E99" s="109"/>
      <c r="F99" s="68" t="s">
        <v>153</v>
      </c>
      <c r="G99" s="69" t="s">
        <v>586</v>
      </c>
      <c r="H99" s="68" t="s">
        <v>587</v>
      </c>
      <c r="I99" s="69" t="s">
        <v>588</v>
      </c>
      <c r="J99" s="68" t="s">
        <v>589</v>
      </c>
      <c r="K99" s="68" t="s">
        <v>601</v>
      </c>
      <c r="L99" s="68" t="s">
        <v>629</v>
      </c>
      <c r="M99" s="68" t="s">
        <v>630</v>
      </c>
      <c r="N99" s="68" t="s">
        <v>593</v>
      </c>
      <c r="O99" s="34" t="s">
        <v>107</v>
      </c>
      <c r="P99" s="37" t="str">
        <f>MID(All_PCC_a[[#This Row],[Part Number]],7,3)</f>
        <v>150</v>
      </c>
      <c r="Q99" s="87">
        <v>15</v>
      </c>
      <c r="R99" s="87" t="str">
        <f>IF(All_PCC_a[[#This Row],[Lo (uH)]]&lt;1,"&lt;1",IF(All_PCC_a[[#This Row],[Lo (uH)]]&lt;10,"&lt;10",IF(All_PCC_a[[#This Row],[Lo (uH)]]&lt;100,"&lt;100",IF(All_PCC_a[[#This Row],[Lo (uH)]]&lt;2000,"&lt;2000",""))))</f>
        <v>&lt;100</v>
      </c>
      <c r="S99" s="87" t="str">
        <f>IFERROR(VLOOKUP(All_PCC_a[[#This Row],[Lo (uH)]],Utility!$D$5:$E$43,2,1),"-")</f>
        <v>≤  20</v>
      </c>
      <c r="T99" s="88">
        <v>0.2</v>
      </c>
      <c r="U99" s="126">
        <v>37</v>
      </c>
      <c r="V99" s="126">
        <v>40.700000000000003</v>
      </c>
      <c r="W99" s="87">
        <v>10</v>
      </c>
      <c r="X99" s="87">
        <v>6.3</v>
      </c>
      <c r="Y99" s="121">
        <v>5.2</v>
      </c>
      <c r="Z99" s="122">
        <v>9.1999999999999993</v>
      </c>
      <c r="AA99" s="87">
        <v>5.96</v>
      </c>
      <c r="AB99" s="68">
        <v>10.7</v>
      </c>
      <c r="AC99" s="68">
        <v>10</v>
      </c>
      <c r="AD99" s="87">
        <v>4</v>
      </c>
      <c r="AE99" s="68">
        <f>ROUND(All_PCC_a[[#This Row],[L (mm)]]*All_PCC_a[[#This Row],[W (mm)]],1)</f>
        <v>107</v>
      </c>
      <c r="AF99" s="87" t="str">
        <f>All_PCC_a[[#This Row],[L (mm)]]&amp;"  x  "&amp;All_PCC_a[[#This Row],[W (mm)]]</f>
        <v>10.7  x  10</v>
      </c>
      <c r="AG99" s="91" t="s">
        <v>324</v>
      </c>
      <c r="AH99" s="97" t="str">
        <f>IF(All_PCC_a[[#This Row],[Max Height (mm)]]&lt;=9,"≤ "&amp;ROUNDUP(AD99,0),"≤"&amp;ROUNDUP(AD99,0))</f>
        <v>≤ 4</v>
      </c>
      <c r="AI99" s="68">
        <v>-55</v>
      </c>
      <c r="AJ99" s="68">
        <v>155</v>
      </c>
      <c r="AK99" s="68" t="str">
        <f>All_PCC_a[[#This Row],[Min Temp (deg.C)]]&amp;" to +"&amp;All_PCC_a[[#This Row],[Max Temp (deg.C)]]</f>
        <v>-55 to +155</v>
      </c>
      <c r="AL99" s="68"/>
      <c r="AO99" s="87" t="s">
        <v>138</v>
      </c>
      <c r="AP99" s="97" t="str">
        <f t="shared" si="17"/>
        <v>-</v>
      </c>
      <c r="AQ99" s="87" t="s">
        <v>138</v>
      </c>
      <c r="AR99" s="87" t="s">
        <v>138</v>
      </c>
      <c r="AS99" s="68" t="s">
        <v>966</v>
      </c>
      <c r="AT99" s="95" t="s">
        <v>606</v>
      </c>
      <c r="AU99" s="96" t="e" vm="9">
        <f>_xlfn.IMAGE(All_PCC_a[[#This Row],[Image URL]])</f>
        <v>#VALUE!</v>
      </c>
      <c r="AW99" s="68"/>
      <c r="AY99" s="68"/>
      <c r="BC99" s="96">
        <f>IF(Z99&lt;('DCDC Ref'!$J$24/'DCDC Ref'!$J$26)*'DCDC Ref'!$J$28/100,0,1)</f>
        <v>1</v>
      </c>
      <c r="BD99" s="360">
        <f>IF(BC99=1000000000,"",('All Data'!Q99-'DCDC Ref'!$J$30)/'DCDC Ref'!$J$30*100)</f>
        <v>2273.6263736263736</v>
      </c>
      <c r="BE99" s="295">
        <f t="shared" si="12"/>
        <v>2273.6263736263736</v>
      </c>
      <c r="BF99" s="295"/>
      <c r="BG99" s="360"/>
      <c r="BH99" s="361">
        <f t="shared" si="13"/>
        <v>0</v>
      </c>
      <c r="BI99" s="295"/>
      <c r="BJ99" s="96">
        <f>IF(BC99=0,"",('All Data'!Z99-'DCDC Ref'!$J$28*('DCDC Ref'!$J$29/100))/'DCDC Ref'!$J$28*('DCDC Ref'!$J$29/100)*100)</f>
        <v>-17.517241379310359</v>
      </c>
      <c r="BK99" s="361">
        <f t="shared" si="14"/>
        <v>10000</v>
      </c>
      <c r="BL99" s="361"/>
      <c r="BM99" s="361"/>
      <c r="BN99" s="361"/>
      <c r="BO99" s="361"/>
      <c r="BP99" s="96"/>
      <c r="BQ99" s="298">
        <f t="shared" si="15"/>
        <v>11418131.868131869</v>
      </c>
      <c r="BR99" s="298">
        <f>IF(BQ99="","",RANK(BQ99,BQ$11:BQ$9930,1)+COUNTIF(BQ$11:BQ99,BQ99)-1)</f>
        <v>111</v>
      </c>
      <c r="BS99" s="299">
        <f t="shared" si="11"/>
        <v>111</v>
      </c>
      <c r="BT99" s="96" t="str">
        <f>IFERROR(INDEX($O$11:$O$1013,MATCH(ROWS($BS$11:BS99),$BS$11:$BS$1005,0)),"")</f>
        <v>ETQP3M6R8KVN</v>
      </c>
      <c r="BU99" s="299" t="str">
        <f t="shared" si="16"/>
        <v>ETQP3M6R8KVN</v>
      </c>
      <c r="BV99" s="96"/>
    </row>
    <row r="100" spans="1:75" ht="15">
      <c r="A100" s="95">
        <v>100</v>
      </c>
      <c r="B100" s="259" t="s">
        <v>584</v>
      </c>
      <c r="C100" s="95"/>
      <c r="D100" s="95" t="s">
        <v>585</v>
      </c>
      <c r="E100" s="109"/>
      <c r="F100" s="68" t="s">
        <v>153</v>
      </c>
      <c r="G100" s="69" t="s">
        <v>586</v>
      </c>
      <c r="H100" s="68" t="s">
        <v>587</v>
      </c>
      <c r="I100" s="69" t="s">
        <v>588</v>
      </c>
      <c r="J100" s="68" t="s">
        <v>589</v>
      </c>
      <c r="K100" s="68" t="s">
        <v>654</v>
      </c>
      <c r="L100" s="68" t="s">
        <v>655</v>
      </c>
      <c r="M100" s="68" t="s">
        <v>656</v>
      </c>
      <c r="N100" s="68" t="s">
        <v>593</v>
      </c>
      <c r="O100" s="34" t="s">
        <v>105</v>
      </c>
      <c r="P100" s="37" t="str">
        <f>MID(All_PCC_a[[#This Row],[Part Number]],7,3)</f>
        <v>150</v>
      </c>
      <c r="Q100" s="87">
        <v>15</v>
      </c>
      <c r="R100" s="87" t="str">
        <f>IF(All_PCC_a[[#This Row],[Lo (uH)]]&lt;1,"&lt;1",IF(All_PCC_a[[#This Row],[Lo (uH)]]&lt;10,"&lt;10",IF(All_PCC_a[[#This Row],[Lo (uH)]]&lt;100,"&lt;100",IF(All_PCC_a[[#This Row],[Lo (uH)]]&lt;2000,"&lt;2000",""))))</f>
        <v>&lt;100</v>
      </c>
      <c r="S100" s="87" t="str">
        <f>IFERROR(VLOOKUP(All_PCC_a[[#This Row],[Lo (uH)]],Utility!$D$5:$E$43,2,1),"-")</f>
        <v>≤  20</v>
      </c>
      <c r="T100" s="88">
        <v>0.2</v>
      </c>
      <c r="U100" s="126">
        <v>63.8</v>
      </c>
      <c r="V100" s="126">
        <v>70.180000000000007</v>
      </c>
      <c r="W100" s="87">
        <v>10</v>
      </c>
      <c r="X100" s="87">
        <v>4.2</v>
      </c>
      <c r="Y100" s="121">
        <v>3.3</v>
      </c>
      <c r="Z100" s="122">
        <v>6.7</v>
      </c>
      <c r="AA100" s="87">
        <v>5</v>
      </c>
      <c r="AB100" s="68">
        <v>6.4</v>
      </c>
      <c r="AC100" s="68">
        <v>6</v>
      </c>
      <c r="AD100" s="87">
        <v>4.8</v>
      </c>
      <c r="AE100" s="68">
        <f>ROUND(All_PCC_a[[#This Row],[L (mm)]]*All_PCC_a[[#This Row],[W (mm)]],1)</f>
        <v>38.4</v>
      </c>
      <c r="AF100" s="87" t="str">
        <f>All_PCC_a[[#This Row],[L (mm)]]&amp;"  x  "&amp;All_PCC_a[[#This Row],[W (mm)]]</f>
        <v>6.4  x  6</v>
      </c>
      <c r="AG100" s="91" t="s">
        <v>618</v>
      </c>
      <c r="AH100" s="97" t="str">
        <f>IF(All_PCC_a[[#This Row],[Max Height (mm)]]&lt;=9,"≤ "&amp;ROUNDUP(AD100,0),"≤"&amp;ROUNDUP(AD100,0))</f>
        <v>≤ 5</v>
      </c>
      <c r="AI100" s="68">
        <v>-40</v>
      </c>
      <c r="AJ100" s="68">
        <v>150</v>
      </c>
      <c r="AK100" s="68" t="str">
        <f>All_PCC_a[[#This Row],[Min Temp (deg.C)]]&amp;" to +"&amp;All_PCC_a[[#This Row],[Max Temp (deg.C)]]</f>
        <v>-40 to +150</v>
      </c>
      <c r="AL100" s="68"/>
      <c r="AO100" s="87" t="s">
        <v>138</v>
      </c>
      <c r="AP100" s="97" t="str">
        <f t="shared" si="17"/>
        <v>-</v>
      </c>
      <c r="AQ100" s="87" t="s">
        <v>138</v>
      </c>
      <c r="AR100" s="87" t="s">
        <v>138</v>
      </c>
      <c r="AS100" s="68" t="s">
        <v>967</v>
      </c>
      <c r="AT100" s="68" t="s">
        <v>657</v>
      </c>
      <c r="AU100" s="96" t="e" vm="12">
        <f>_xlfn.IMAGE(All_PCC_a[[#This Row],[Image URL]])</f>
        <v>#VALUE!</v>
      </c>
      <c r="AV100" s="95"/>
      <c r="AW100" s="95"/>
      <c r="AY100" s="68"/>
      <c r="BC100" s="96">
        <f>IF(Z100&lt;('DCDC Ref'!$J$24/'DCDC Ref'!$J$26)*'DCDC Ref'!$J$28/100,0,1)</f>
        <v>1</v>
      </c>
      <c r="BD100" s="360">
        <f>IF(BC100=1000000000,"",('All Data'!Q100-'DCDC Ref'!$J$30)/'DCDC Ref'!$J$30*100)</f>
        <v>2273.6263736263736</v>
      </c>
      <c r="BE100" s="295">
        <f t="shared" si="12"/>
        <v>2273.6263736263736</v>
      </c>
      <c r="BF100" s="295"/>
      <c r="BG100" s="360"/>
      <c r="BH100" s="361">
        <f t="shared" si="13"/>
        <v>0</v>
      </c>
      <c r="BI100" s="295"/>
      <c r="BJ100" s="96">
        <f>IF(BC100=0,"",('All Data'!Z100-'DCDC Ref'!$J$28*('DCDC Ref'!$J$29/100))/'DCDC Ref'!$J$28*('DCDC Ref'!$J$29/100)*100)</f>
        <v>-39.931034482758626</v>
      </c>
      <c r="BK100" s="361">
        <f t="shared" si="14"/>
        <v>10000</v>
      </c>
      <c r="BL100" s="361"/>
      <c r="BM100" s="361"/>
      <c r="BN100" s="361"/>
      <c r="BO100" s="361"/>
      <c r="BP100" s="96"/>
      <c r="BQ100" s="298">
        <f t="shared" si="15"/>
        <v>11418131.868131869</v>
      </c>
      <c r="BR100" s="298">
        <f>IF(BQ100="","",RANK(BQ100,BQ$11:BQ$9930,1)+COUNTIF(BQ$11:BQ100,BQ100)-1)</f>
        <v>112</v>
      </c>
      <c r="BS100" s="299">
        <f t="shared" si="11"/>
        <v>112</v>
      </c>
      <c r="BT100" s="96" t="str">
        <f>IFERROR(INDEX($O$11:$O$1013,MATCH(ROWS($BS$11:BS100),$BS$11:$BS$1005,0)),"")</f>
        <v>ETQP4M6R8KVK</v>
      </c>
      <c r="BU100" s="299" t="str">
        <f t="shared" si="16"/>
        <v>ETQP4M6R8KVK</v>
      </c>
      <c r="BV100" s="96"/>
    </row>
    <row r="101" spans="1:75">
      <c r="A101" s="95">
        <v>122</v>
      </c>
      <c r="B101" s="259" t="s">
        <v>584</v>
      </c>
      <c r="C101" s="286">
        <v>44883</v>
      </c>
      <c r="D101" s="95" t="s">
        <v>585</v>
      </c>
      <c r="E101" s="231"/>
      <c r="F101" s="95" t="s">
        <v>23</v>
      </c>
      <c r="G101" s="231" t="s">
        <v>586</v>
      </c>
      <c r="H101" s="95" t="s">
        <v>587</v>
      </c>
      <c r="I101" s="231" t="s">
        <v>588</v>
      </c>
      <c r="J101" s="95" t="s">
        <v>589</v>
      </c>
      <c r="K101" s="95" t="s">
        <v>680</v>
      </c>
      <c r="L101" s="95" t="s">
        <v>670</v>
      </c>
      <c r="M101" s="95" t="s">
        <v>671</v>
      </c>
      <c r="N101" s="95" t="s">
        <v>593</v>
      </c>
      <c r="O101" s="34" t="s">
        <v>681</v>
      </c>
      <c r="P101" s="37" t="str">
        <f>MID(All_PCC_a[[#This Row],[Part Number]],7,3)</f>
        <v>150</v>
      </c>
      <c r="Q101" s="129">
        <v>15</v>
      </c>
      <c r="R101" s="130" t="str">
        <f>IF(All_PCC_a[[#This Row],[Lo (uH)]]&lt;1,"&lt;1",IF(All_PCC_a[[#This Row],[Lo (uH)]]&lt;10,"&lt;10",IF(All_PCC_a[[#This Row],[Lo (uH)]]&lt;100,"&lt;100",IF(All_PCC_a[[#This Row],[Lo (uH)]]&lt;2000,"&lt;2000",""))))</f>
        <v>&lt;100</v>
      </c>
      <c r="S101" s="97" t="str">
        <f>IFERROR(VLOOKUP(All_PCC_a[[#This Row],[Lo (uH)]],Utility!$D$5:$E$43,2,1),"-")</f>
        <v>≤  20</v>
      </c>
      <c r="T101" s="250">
        <v>0.2</v>
      </c>
      <c r="U101" s="131">
        <v>60.7</v>
      </c>
      <c r="V101" s="125">
        <v>66.77</v>
      </c>
      <c r="W101" s="87">
        <v>10</v>
      </c>
      <c r="X101" s="130">
        <v>4.5999999999999996</v>
      </c>
      <c r="Y101" s="129">
        <v>3.4</v>
      </c>
      <c r="Z101" s="251">
        <v>7.2</v>
      </c>
      <c r="AA101" s="129">
        <v>5.2</v>
      </c>
      <c r="AB101" s="95">
        <v>7.4</v>
      </c>
      <c r="AC101" s="95">
        <v>7</v>
      </c>
      <c r="AD101" s="129">
        <v>4.8</v>
      </c>
      <c r="AE101" s="95">
        <f>ROUND(All_PCC_a[[#This Row],[L (mm)]]*All_PCC_a[[#This Row],[W (mm)]],1)</f>
        <v>51.8</v>
      </c>
      <c r="AF101" s="87" t="str">
        <f>All_PCC_a[[#This Row],[L (mm)]]&amp;"  x  "&amp;All_PCC_a[[#This Row],[W (mm)]]</f>
        <v>7.4  x  7</v>
      </c>
      <c r="AG101" s="141" t="s">
        <v>661</v>
      </c>
      <c r="AH101" s="97" t="str">
        <f>IF(All_PCC_a[[#This Row],[Max Height (mm)]]&lt;=9,"≤ "&amp;ROUNDUP(AD101,0),"≤"&amp;ROUNDUP(AD101,0))</f>
        <v>≤ 5</v>
      </c>
      <c r="AI101" s="95">
        <v>-40</v>
      </c>
      <c r="AJ101" s="95">
        <v>150</v>
      </c>
      <c r="AK101" s="68" t="str">
        <f>All_PCC_a[[#This Row],[Min Temp (deg.C)]]&amp;" to +"&amp;All_PCC_a[[#This Row],[Max Temp (deg.C)]]</f>
        <v>-40 to +150</v>
      </c>
      <c r="AL101" s="95"/>
      <c r="AM101" s="95"/>
      <c r="AN101" s="95"/>
      <c r="AO101" s="87" t="s">
        <v>138</v>
      </c>
      <c r="AP101" s="130" t="str">
        <f t="shared" si="17"/>
        <v>-</v>
      </c>
      <c r="AQ101" s="87" t="s">
        <v>138</v>
      </c>
      <c r="AR101" s="87" t="s">
        <v>138</v>
      </c>
      <c r="AS101" s="95" t="s">
        <v>968</v>
      </c>
      <c r="AT101" s="68" t="s">
        <v>657</v>
      </c>
      <c r="AU101" s="96" t="e" vm="12">
        <f>_xlfn.IMAGE(All_PCC_a[[#This Row],[Image URL]])</f>
        <v>#VALUE!</v>
      </c>
      <c r="AV101" s="95"/>
      <c r="AW101" s="95"/>
      <c r="AY101" s="68"/>
      <c r="BC101" s="96">
        <f>IF(Z101&lt;('DCDC Ref'!$J$24/'DCDC Ref'!$J$26)*'DCDC Ref'!$J$28/100,0,1)</f>
        <v>1</v>
      </c>
      <c r="BD101" s="360">
        <f>IF(BC101=1000000000,"",('All Data'!Q101-'DCDC Ref'!$J$30)/'DCDC Ref'!$J$30*100)</f>
        <v>2273.6263736263736</v>
      </c>
      <c r="BE101" s="295">
        <f t="shared" si="12"/>
        <v>2273.6263736263736</v>
      </c>
      <c r="BF101" s="295"/>
      <c r="BG101" s="360"/>
      <c r="BH101" s="361">
        <f t="shared" si="13"/>
        <v>0</v>
      </c>
      <c r="BI101" s="295"/>
      <c r="BJ101" s="96">
        <f>IF(BC101=0,"",('All Data'!Z101-'DCDC Ref'!$J$28*('DCDC Ref'!$J$29/100))/'DCDC Ref'!$J$28*('DCDC Ref'!$J$29/100)*100)</f>
        <v>-35.448275862068975</v>
      </c>
      <c r="BK101" s="361">
        <f t="shared" si="14"/>
        <v>10000</v>
      </c>
      <c r="BL101" s="361"/>
      <c r="BM101" s="361"/>
      <c r="BN101" s="361"/>
      <c r="BO101" s="361"/>
      <c r="BP101" s="96"/>
      <c r="BQ101" s="298">
        <f t="shared" si="15"/>
        <v>11418131.868131869</v>
      </c>
      <c r="BR101" s="298">
        <f>IF(BQ101="","",RANK(BQ101,BQ$11:BQ$9930,1)+COUNTIF(BQ$11:BQ101,BQ101)-1)</f>
        <v>113</v>
      </c>
      <c r="BS101" s="299">
        <f t="shared" si="11"/>
        <v>113</v>
      </c>
      <c r="BT101" s="96" t="str">
        <f>IFERROR(INDEX($O$11:$O$1013,MATCH(ROWS($BS$11:BS101),$BS$11:$BS$1005,0)),"")</f>
        <v>ETQP4M6R8KFN</v>
      </c>
      <c r="BU101" s="299" t="str">
        <f t="shared" si="16"/>
        <v>ETQP4M6R8KFN</v>
      </c>
      <c r="BV101" s="96"/>
    </row>
    <row r="102" spans="1:75">
      <c r="A102" s="95">
        <v>6</v>
      </c>
      <c r="B102" s="259" t="s">
        <v>584</v>
      </c>
      <c r="C102" s="95"/>
      <c r="D102" s="95" t="s">
        <v>585</v>
      </c>
      <c r="E102" s="109"/>
      <c r="F102" s="68" t="s">
        <v>153</v>
      </c>
      <c r="G102" s="69" t="s">
        <v>586</v>
      </c>
      <c r="H102" s="68" t="s">
        <v>587</v>
      </c>
      <c r="I102" s="69" t="s">
        <v>588</v>
      </c>
      <c r="J102" s="68" t="s">
        <v>589</v>
      </c>
      <c r="K102" s="68" t="s">
        <v>590</v>
      </c>
      <c r="L102" s="68" t="s">
        <v>645</v>
      </c>
      <c r="M102" s="68" t="s">
        <v>653</v>
      </c>
      <c r="N102" s="68" t="s">
        <v>593</v>
      </c>
      <c r="O102" s="34" t="s">
        <v>109</v>
      </c>
      <c r="P102" s="37" t="str">
        <f>MID(All_PCC_a[[#This Row],[Part Number]],7,3)</f>
        <v>220</v>
      </c>
      <c r="Q102" s="87">
        <v>22</v>
      </c>
      <c r="R102" s="87" t="str">
        <f>IF(All_PCC_a[[#This Row],[Lo (uH)]]&lt;1,"&lt;1",IF(All_PCC_a[[#This Row],[Lo (uH)]]&lt;10,"&lt;10",IF(All_PCC_a[[#This Row],[Lo (uH)]]&lt;100,"&lt;100",IF(All_PCC_a[[#This Row],[Lo (uH)]]&lt;2000,"&lt;2000",""))))</f>
        <v>&lt;100</v>
      </c>
      <c r="S102" s="87" t="str">
        <f>IFERROR(VLOOKUP(All_PCC_a[[#This Row],[Lo (uH)]],Utility!$D$5:$E$43,2,1),"-")</f>
        <v>≤  30</v>
      </c>
      <c r="T102" s="88">
        <v>0.2</v>
      </c>
      <c r="U102" s="125">
        <v>126</v>
      </c>
      <c r="V102" s="125">
        <v>138.6</v>
      </c>
      <c r="W102" s="87">
        <v>10</v>
      </c>
      <c r="X102" s="87">
        <v>2.9</v>
      </c>
      <c r="Y102" s="87">
        <v>2.2999999999999998</v>
      </c>
      <c r="Z102" s="117">
        <v>6</v>
      </c>
      <c r="AA102" s="87">
        <v>3.94</v>
      </c>
      <c r="AB102" s="68">
        <v>6.5</v>
      </c>
      <c r="AC102" s="68">
        <v>6</v>
      </c>
      <c r="AD102" s="87">
        <v>4.5</v>
      </c>
      <c r="AE102" s="68">
        <f>ROUND(All_PCC_a[[#This Row],[L (mm)]]*All_PCC_a[[#This Row],[W (mm)]],1)</f>
        <v>39</v>
      </c>
      <c r="AF102" s="87" t="str">
        <f>All_PCC_a[[#This Row],[L (mm)]]&amp;"  x  "&amp;All_PCC_a[[#This Row],[W (mm)]]</f>
        <v>6.5  x  6</v>
      </c>
      <c r="AG102" s="91" t="s">
        <v>618</v>
      </c>
      <c r="AH102" s="97" t="str">
        <f>IF(All_PCC_a[[#This Row],[Max Height (mm)]]&lt;=9,"≤ "&amp;ROUNDUP(AD102,0),"≤"&amp;ROUNDUP(AD102,0))</f>
        <v>≤ 5</v>
      </c>
      <c r="AI102" s="68">
        <v>-40</v>
      </c>
      <c r="AJ102" s="68">
        <v>150</v>
      </c>
      <c r="AK102" s="68" t="str">
        <f>All_PCC_a[[#This Row],[Min Temp (deg.C)]]&amp;" to +"&amp;All_PCC_a[[#This Row],[Max Temp (deg.C)]]</f>
        <v>-40 to +150</v>
      </c>
      <c r="AL102" s="68"/>
      <c r="AO102" s="87" t="s">
        <v>138</v>
      </c>
      <c r="AP102" s="97" t="str">
        <f t="shared" si="17"/>
        <v>-</v>
      </c>
      <c r="AQ102" s="87" t="s">
        <v>138</v>
      </c>
      <c r="AR102" s="87" t="s">
        <v>138</v>
      </c>
      <c r="AS102" s="68" t="s">
        <v>969</v>
      </c>
      <c r="AT102" s="68" t="s">
        <v>594</v>
      </c>
      <c r="AU102" s="96" t="e" vm="7">
        <f>_xlfn.IMAGE(All_PCC_a[[#This Row],[Image URL]])</f>
        <v>#VALUE!</v>
      </c>
      <c r="AV102" s="95"/>
      <c r="AW102" s="95"/>
      <c r="AY102" s="68"/>
      <c r="BC102" s="96">
        <f>IF(Z102&lt;('DCDC Ref'!$J$24/'DCDC Ref'!$J$26)*'DCDC Ref'!$J$28/100,0,1)</f>
        <v>1</v>
      </c>
      <c r="BD102" s="360">
        <f>IF(BC102=1000000000,"",('All Data'!Q102-'DCDC Ref'!$J$30)/'DCDC Ref'!$J$30*100)</f>
        <v>3381.3186813186817</v>
      </c>
      <c r="BE102" s="295">
        <f t="shared" si="12"/>
        <v>3381.3186813186817</v>
      </c>
      <c r="BF102" s="295"/>
      <c r="BG102" s="360"/>
      <c r="BH102" s="361">
        <f t="shared" si="13"/>
        <v>0</v>
      </c>
      <c r="BI102" s="295"/>
      <c r="BJ102" s="96">
        <f>IF(BC102=0,"",('All Data'!Z102-'DCDC Ref'!$J$28*('DCDC Ref'!$J$29/100))/'DCDC Ref'!$J$28*('DCDC Ref'!$J$29/100)*100)</f>
        <v>-46.206896551724142</v>
      </c>
      <c r="BK102" s="361">
        <f t="shared" si="14"/>
        <v>10000</v>
      </c>
      <c r="BL102" s="361"/>
      <c r="BM102" s="361"/>
      <c r="BN102" s="361"/>
      <c r="BO102" s="361"/>
      <c r="BP102" s="96"/>
      <c r="BQ102" s="298">
        <f t="shared" si="15"/>
        <v>16956593.406593408</v>
      </c>
      <c r="BR102" s="298">
        <f>IF(BQ102="","",RANK(BQ102,BQ$11:BQ$9930,1)+COUNTIF(BQ$11:BQ102,BQ102)-1)</f>
        <v>115</v>
      </c>
      <c r="BS102" s="299">
        <f t="shared" si="11"/>
        <v>115</v>
      </c>
      <c r="BT102" s="96" t="str">
        <f>IFERROR(INDEX($O$11:$O$1013,MATCH(ROWS($BS$11:BS102),$BS$11:$BS$1005,0)),"")</f>
        <v>ETQP5M100YFK</v>
      </c>
      <c r="BU102" s="299" t="str">
        <f t="shared" si="16"/>
        <v>ETQP5M100YFK</v>
      </c>
      <c r="BV102" s="96"/>
    </row>
    <row r="103" spans="1:75">
      <c r="A103" s="95">
        <v>12</v>
      </c>
      <c r="B103" s="259" t="s">
        <v>584</v>
      </c>
      <c r="C103" s="95"/>
      <c r="D103" s="95" t="s">
        <v>585</v>
      </c>
      <c r="E103" s="110"/>
      <c r="F103" s="68" t="s">
        <v>153</v>
      </c>
      <c r="G103" s="69" t="s">
        <v>586</v>
      </c>
      <c r="H103" s="68" t="s">
        <v>587</v>
      </c>
      <c r="I103" s="69" t="s">
        <v>588</v>
      </c>
      <c r="J103" s="68" t="s">
        <v>589</v>
      </c>
      <c r="K103" s="68" t="s">
        <v>590</v>
      </c>
      <c r="L103" s="68" t="s">
        <v>667</v>
      </c>
      <c r="M103" s="68" t="s">
        <v>668</v>
      </c>
      <c r="N103" s="68" t="s">
        <v>22</v>
      </c>
      <c r="O103" s="34" t="s">
        <v>113</v>
      </c>
      <c r="P103" s="37" t="str">
        <f>MID(All_PCC_a[[#This Row],[Part Number]],7,3)</f>
        <v>220</v>
      </c>
      <c r="Q103" s="90">
        <v>22</v>
      </c>
      <c r="R103" s="87" t="str">
        <f>IF(All_PCC_a[[#This Row],[Lo (uH)]]&lt;1,"&lt;1",IF(All_PCC_a[[#This Row],[Lo (uH)]]&lt;10,"&lt;10",IF(All_PCC_a[[#This Row],[Lo (uH)]]&lt;100,"&lt;100",IF(All_PCC_a[[#This Row],[Lo (uH)]]&lt;2000,"&lt;2000",""))))</f>
        <v>&lt;100</v>
      </c>
      <c r="S103" s="87" t="str">
        <f>IFERROR(VLOOKUP(All_PCC_a[[#This Row],[Lo (uH)]],Utility!$D$5:$E$43,2,1),"-")</f>
        <v>≤  30</v>
      </c>
      <c r="T103" s="88">
        <v>0.2</v>
      </c>
      <c r="U103" s="125">
        <v>163</v>
      </c>
      <c r="V103" s="125">
        <v>179</v>
      </c>
      <c r="W103" s="87">
        <v>10</v>
      </c>
      <c r="X103" s="87">
        <v>2.2999999999999998</v>
      </c>
      <c r="Y103" s="87">
        <v>1.9</v>
      </c>
      <c r="Z103" s="117">
        <v>3.1</v>
      </c>
      <c r="AA103" s="87">
        <v>2.35</v>
      </c>
      <c r="AB103" s="68">
        <v>5.5</v>
      </c>
      <c r="AC103" s="68">
        <v>5</v>
      </c>
      <c r="AD103" s="87">
        <v>4</v>
      </c>
      <c r="AE103" s="68">
        <f>ROUND(All_PCC_a[[#This Row],[L (mm)]]*All_PCC_a[[#This Row],[W (mm)]],1)</f>
        <v>27.5</v>
      </c>
      <c r="AF103" s="87" t="str">
        <f>All_PCC_a[[#This Row],[L (mm)]]&amp;"  x  "&amp;All_PCC_a[[#This Row],[W (mm)]]</f>
        <v>5.5  x  5</v>
      </c>
      <c r="AG103" s="91" t="s">
        <v>605</v>
      </c>
      <c r="AH103" s="87" t="str">
        <f>IF(All_PCC_a[[#This Row],[Max Height (mm)]]&lt;=9,"≤ "&amp;ROUNDUP(AD103,0),"≤"&amp;ROUNDUP(AD103,0))</f>
        <v>≤ 4</v>
      </c>
      <c r="AI103" s="72">
        <v>-40</v>
      </c>
      <c r="AJ103" s="72">
        <v>150</v>
      </c>
      <c r="AK103" s="68" t="str">
        <f>All_PCC_a[[#This Row],[Min Temp (deg.C)]]&amp;" to +"&amp;All_PCC_a[[#This Row],[Max Temp (deg.C)]]</f>
        <v>-40 to +150</v>
      </c>
      <c r="AL103" s="68"/>
      <c r="AO103" s="87" t="s">
        <v>124</v>
      </c>
      <c r="AP103" s="87" t="str">
        <f t="shared" si="17"/>
        <v>-</v>
      </c>
      <c r="AQ103" s="88" t="s">
        <v>138</v>
      </c>
      <c r="AR103" s="87" t="s">
        <v>138</v>
      </c>
      <c r="AS103" s="68" t="s">
        <v>970</v>
      </c>
      <c r="AT103" s="68" t="s">
        <v>594</v>
      </c>
      <c r="AU103" s="96" t="e" vm="7">
        <f>_xlfn.IMAGE(All_PCC_a[[#This Row],[Image URL]])</f>
        <v>#VALUE!</v>
      </c>
      <c r="AW103" s="68"/>
      <c r="AY103" s="68"/>
      <c r="BC103" s="96">
        <f>IF(Z103&lt;('DCDC Ref'!$J$24/'DCDC Ref'!$J$26)*'DCDC Ref'!$J$28/100,0,1)</f>
        <v>1</v>
      </c>
      <c r="BD103" s="360">
        <f>IF(BC103=1000000000,"",('All Data'!Q103-'DCDC Ref'!$J$30)/'DCDC Ref'!$J$30*100)</f>
        <v>3381.3186813186817</v>
      </c>
      <c r="BE103" s="295">
        <f t="shared" si="12"/>
        <v>3381.3186813186817</v>
      </c>
      <c r="BF103" s="295"/>
      <c r="BG103" s="360"/>
      <c r="BH103" s="361">
        <f t="shared" si="13"/>
        <v>0</v>
      </c>
      <c r="BI103" s="295"/>
      <c r="BJ103" s="96">
        <f>IF(BC103=0,"",('All Data'!Z103-'DCDC Ref'!$J$28*('DCDC Ref'!$J$29/100))/'DCDC Ref'!$J$28*('DCDC Ref'!$J$29/100)*100)</f>
        <v>-72.206896551724142</v>
      </c>
      <c r="BK103" s="361">
        <f t="shared" si="14"/>
        <v>10000</v>
      </c>
      <c r="BL103" s="361"/>
      <c r="BM103" s="361"/>
      <c r="BN103" s="361"/>
      <c r="BO103" s="361"/>
      <c r="BP103" s="96"/>
      <c r="BQ103" s="298">
        <f t="shared" si="15"/>
        <v>16956593.406593408</v>
      </c>
      <c r="BR103" s="298">
        <f>IF(BQ103="","",RANK(BQ103,BQ$11:BQ$9930,1)+COUNTIF(BQ$11:BQ103,BQ103)-1)</f>
        <v>116</v>
      </c>
      <c r="BS103" s="299">
        <f t="shared" si="11"/>
        <v>116</v>
      </c>
      <c r="BT103" s="96" t="str">
        <f>IFERROR(INDEX($O$11:$O$1013,MATCH(ROWS($BS$11:BS103),$BS$11:$BS$1005,0)),"")</f>
        <v>ETQP6M100GAC</v>
      </c>
      <c r="BU103" s="299" t="str">
        <f t="shared" si="16"/>
        <v>ETQP6M100GAC</v>
      </c>
      <c r="BV103" s="96"/>
    </row>
    <row r="104" spans="1:75" ht="15">
      <c r="A104" s="95">
        <v>19</v>
      </c>
      <c r="B104" s="259" t="s">
        <v>584</v>
      </c>
      <c r="C104" s="95"/>
      <c r="D104" s="95" t="s">
        <v>585</v>
      </c>
      <c r="E104" s="110"/>
      <c r="F104" s="68" t="s">
        <v>153</v>
      </c>
      <c r="G104" s="155" t="s">
        <v>586</v>
      </c>
      <c r="H104" s="101" t="s">
        <v>587</v>
      </c>
      <c r="I104" s="155" t="s">
        <v>588</v>
      </c>
      <c r="J104" s="101" t="s">
        <v>589</v>
      </c>
      <c r="K104" s="96" t="s">
        <v>590</v>
      </c>
      <c r="L104" s="68" t="s">
        <v>631</v>
      </c>
      <c r="M104" s="68" t="s">
        <v>632</v>
      </c>
      <c r="N104" s="101" t="s">
        <v>22</v>
      </c>
      <c r="O104" s="102" t="s">
        <v>682</v>
      </c>
      <c r="P104" s="37" t="str">
        <f>MID(All_PCC_a[[#This Row],[Part Number]],7,3)</f>
        <v>220</v>
      </c>
      <c r="Q104" s="103">
        <v>22</v>
      </c>
      <c r="R104" s="87" t="str">
        <f>IF(All_PCC_a[[#This Row],[Lo (uH)]]&lt;1,"&lt;1",IF(All_PCC_a[[#This Row],[Lo (uH)]]&lt;10,"&lt;10",IF(All_PCC_a[[#This Row],[Lo (uH)]]&lt;100,"&lt;100",IF(All_PCC_a[[#This Row],[Lo (uH)]]&lt;2000,"&lt;2000",""))))</f>
        <v>&lt;100</v>
      </c>
      <c r="S104" s="87" t="str">
        <f>IFERROR(VLOOKUP(All_PCC_a[[#This Row],[Lo (uH)]],Utility!$D$5:$E$43,2,1),"-")</f>
        <v>≤  30</v>
      </c>
      <c r="T104" s="104">
        <v>0.2</v>
      </c>
      <c r="U104" s="124">
        <v>45</v>
      </c>
      <c r="V104" s="124">
        <v>50</v>
      </c>
      <c r="W104" s="103">
        <v>10</v>
      </c>
      <c r="X104" s="87">
        <v>6.2</v>
      </c>
      <c r="Y104" s="103">
        <v>5.2</v>
      </c>
      <c r="Z104" s="564">
        <v>9.1999999999999993</v>
      </c>
      <c r="AA104" s="560">
        <v>6.64</v>
      </c>
      <c r="AB104" s="96">
        <v>10.7</v>
      </c>
      <c r="AC104" s="96">
        <v>10</v>
      </c>
      <c r="AD104" s="103">
        <v>5.4</v>
      </c>
      <c r="AE104" s="96">
        <f>ROUND(All_PCC_a[[#This Row],[L (mm)]]*All_PCC_a[[#This Row],[W (mm)]],1)</f>
        <v>107</v>
      </c>
      <c r="AF104" s="87" t="str">
        <f>All_PCC_a[[#This Row],[L (mm)]]&amp;"  x  "&amp;All_PCC_a[[#This Row],[W (mm)]]</f>
        <v>10.7  x  10</v>
      </c>
      <c r="AG104" s="105" t="s">
        <v>324</v>
      </c>
      <c r="AH104" s="103" t="str">
        <f>IF(All_PCC_a[[#This Row],[Max Height (mm)]]&lt;=9,"≤ "&amp;ROUNDUP(AD104,0),"≤"&amp;ROUNDUP(AD104,0))</f>
        <v>≤ 6</v>
      </c>
      <c r="AI104" s="100">
        <v>-40</v>
      </c>
      <c r="AJ104" s="100">
        <v>150</v>
      </c>
      <c r="AK104" s="68" t="str">
        <f>All_PCC_a[[#This Row],[Min Temp (deg.C)]]&amp;" to +"&amp;All_PCC_a[[#This Row],[Max Temp (deg.C)]]</f>
        <v>-40 to +150</v>
      </c>
      <c r="AL104" s="96"/>
      <c r="AM104" s="96"/>
      <c r="AN104" s="96"/>
      <c r="AO104" s="103" t="s">
        <v>124</v>
      </c>
      <c r="AP104" s="103" t="str">
        <f t="shared" si="17"/>
        <v>-</v>
      </c>
      <c r="AQ104" s="97" t="s">
        <v>138</v>
      </c>
      <c r="AR104" s="87" t="s">
        <v>138</v>
      </c>
      <c r="AS104" s="68" t="s">
        <v>971</v>
      </c>
      <c r="AT104" s="96" t="s">
        <v>594</v>
      </c>
      <c r="AU104" s="96" t="e" vm="7">
        <f>_xlfn.IMAGE(All_PCC_a[[#This Row],[Image URL]])</f>
        <v>#VALUE!</v>
      </c>
      <c r="AV104" s="96"/>
      <c r="AW104" s="96"/>
      <c r="AY104" s="68"/>
      <c r="BC104" s="96">
        <f>IF(Z104&lt;('DCDC Ref'!$J$24/'DCDC Ref'!$J$26)*'DCDC Ref'!$J$28/100,0,1)</f>
        <v>1</v>
      </c>
      <c r="BD104" s="360">
        <f>IF(BC104=1000000000,"",('All Data'!Q104-'DCDC Ref'!$J$30)/'DCDC Ref'!$J$30*100)</f>
        <v>3381.3186813186817</v>
      </c>
      <c r="BE104" s="295">
        <f t="shared" si="12"/>
        <v>3381.3186813186817</v>
      </c>
      <c r="BF104" s="295"/>
      <c r="BG104" s="360"/>
      <c r="BH104" s="361">
        <f t="shared" si="13"/>
        <v>0</v>
      </c>
      <c r="BI104" s="295"/>
      <c r="BJ104" s="96">
        <f>IF(BC104=0,"",('All Data'!Z104-'DCDC Ref'!$J$28*('DCDC Ref'!$J$29/100))/'DCDC Ref'!$J$28*('DCDC Ref'!$J$29/100)*100)</f>
        <v>-17.517241379310359</v>
      </c>
      <c r="BK104" s="361">
        <f t="shared" si="14"/>
        <v>10000</v>
      </c>
      <c r="BL104" s="361"/>
      <c r="BM104" s="361"/>
      <c r="BN104" s="361"/>
      <c r="BO104" s="361"/>
      <c r="BP104" s="96"/>
      <c r="BQ104" s="298">
        <f t="shared" si="15"/>
        <v>16956593.406593408</v>
      </c>
      <c r="BR104" s="298">
        <f>IF(BQ104="","",RANK(BQ104,BQ$11:BQ$9930,1)+COUNTIF(BQ$11:BQ104,BQ104)-1)</f>
        <v>117</v>
      </c>
      <c r="BS104" s="299">
        <f t="shared" si="11"/>
        <v>117</v>
      </c>
      <c r="BT104" s="96" t="str">
        <f>IFERROR(INDEX($O$11:$O$1013,MATCH(ROWS($BS$11:BS104),$BS$11:$BS$1005,0)),"")</f>
        <v>ETQP4M100YFN</v>
      </c>
      <c r="BU104" s="299" t="str">
        <f t="shared" si="16"/>
        <v>ETQP4M100YFN</v>
      </c>
      <c r="BV104" s="96"/>
    </row>
    <row r="105" spans="1:75" s="132" customFormat="1" ht="15">
      <c r="A105" s="95">
        <v>27</v>
      </c>
      <c r="B105" s="259" t="s">
        <v>584</v>
      </c>
      <c r="C105" s="95"/>
      <c r="D105" s="95" t="s">
        <v>585</v>
      </c>
      <c r="E105" s="110"/>
      <c r="F105" s="68" t="s">
        <v>153</v>
      </c>
      <c r="G105" s="154" t="s">
        <v>586</v>
      </c>
      <c r="H105" s="96" t="s">
        <v>587</v>
      </c>
      <c r="I105" s="154" t="s">
        <v>588</v>
      </c>
      <c r="J105" s="96" t="s">
        <v>589</v>
      </c>
      <c r="K105" s="96" t="s">
        <v>590</v>
      </c>
      <c r="L105" s="96" t="s">
        <v>651</v>
      </c>
      <c r="M105" s="96" t="s">
        <v>652</v>
      </c>
      <c r="N105" s="96" t="s">
        <v>22</v>
      </c>
      <c r="O105" s="34" t="s">
        <v>112</v>
      </c>
      <c r="P105" s="37" t="str">
        <f>MID(All_PCC_a[[#This Row],[Part Number]],7,3)</f>
        <v>220</v>
      </c>
      <c r="Q105" s="97">
        <v>22</v>
      </c>
      <c r="R105" s="87" t="str">
        <f>IF(All_PCC_a[[#This Row],[Lo (uH)]]&lt;1,"&lt;1",IF(All_PCC_a[[#This Row],[Lo (uH)]]&lt;10,"&lt;10",IF(All_PCC_a[[#This Row],[Lo (uH)]]&lt;100,"&lt;100",IF(All_PCC_a[[#This Row],[Lo (uH)]]&lt;2000,"&lt;2000",""))))</f>
        <v>&lt;100</v>
      </c>
      <c r="S105" s="87" t="str">
        <f>IFERROR(VLOOKUP(All_PCC_a[[#This Row],[Lo (uH)]],Utility!$D$5:$E$43,2,1),"-")</f>
        <v>≤  30</v>
      </c>
      <c r="T105" s="98">
        <v>0.2</v>
      </c>
      <c r="U105" s="127">
        <v>63</v>
      </c>
      <c r="V105" s="127">
        <v>70</v>
      </c>
      <c r="W105" s="97">
        <v>10</v>
      </c>
      <c r="X105" s="87">
        <v>4.8</v>
      </c>
      <c r="Y105" s="97">
        <v>4.0999999999999996</v>
      </c>
      <c r="Z105" s="118">
        <v>6.9</v>
      </c>
      <c r="AA105" s="87">
        <v>4.92</v>
      </c>
      <c r="AB105" s="96">
        <v>8.5</v>
      </c>
      <c r="AC105" s="96">
        <v>8</v>
      </c>
      <c r="AD105" s="97">
        <v>5.4</v>
      </c>
      <c r="AE105" s="96">
        <f>ROUND(All_PCC_a[[#This Row],[L (mm)]]*All_PCC_a[[#This Row],[W (mm)]],1)</f>
        <v>68</v>
      </c>
      <c r="AF105" s="87" t="str">
        <f>All_PCC_a[[#This Row],[L (mm)]]&amp;"  x  "&amp;All_PCC_a[[#This Row],[W (mm)]]</f>
        <v>8.5  x  8</v>
      </c>
      <c r="AG105" s="99" t="s">
        <v>624</v>
      </c>
      <c r="AH105" s="97" t="str">
        <f>IF(All_PCC_a[[#This Row],[Max Height (mm)]]&lt;=9,"≤ "&amp;ROUNDUP(AD105,0),"≤"&amp;ROUNDUP(AD105,0))</f>
        <v>≤ 6</v>
      </c>
      <c r="AI105" s="100">
        <v>-40</v>
      </c>
      <c r="AJ105" s="100">
        <v>150</v>
      </c>
      <c r="AK105" s="68" t="str">
        <f>All_PCC_a[[#This Row],[Min Temp (deg.C)]]&amp;" to +"&amp;All_PCC_a[[#This Row],[Max Temp (deg.C)]]</f>
        <v>-40 to +150</v>
      </c>
      <c r="AL105" s="96"/>
      <c r="AM105" s="96"/>
      <c r="AN105" s="96"/>
      <c r="AO105" s="97" t="s">
        <v>124</v>
      </c>
      <c r="AP105" s="97" t="str">
        <f t="shared" si="17"/>
        <v>-</v>
      </c>
      <c r="AQ105" s="98" t="s">
        <v>138</v>
      </c>
      <c r="AR105" s="87" t="s">
        <v>138</v>
      </c>
      <c r="AS105" s="68" t="s">
        <v>972</v>
      </c>
      <c r="AT105" s="96" t="s">
        <v>594</v>
      </c>
      <c r="AU105" s="96" t="e" vm="7">
        <f>_xlfn.IMAGE(All_PCC_a[[#This Row],[Image URL]])</f>
        <v>#VALUE!</v>
      </c>
      <c r="AV105" s="96"/>
      <c r="AW105" s="96"/>
      <c r="BC105" s="96">
        <f>IF(Z105&lt;('DCDC Ref'!$J$24/'DCDC Ref'!$J$26)*'DCDC Ref'!$J$28/100,0,1)</f>
        <v>1</v>
      </c>
      <c r="BD105" s="360">
        <f>IF(BC105=1000000000,"",('All Data'!Q105-'DCDC Ref'!$J$30)/'DCDC Ref'!$J$30*100)</f>
        <v>3381.3186813186817</v>
      </c>
      <c r="BE105" s="295">
        <f t="shared" si="12"/>
        <v>3381.3186813186817</v>
      </c>
      <c r="BF105" s="295"/>
      <c r="BG105" s="360"/>
      <c r="BH105" s="361">
        <f t="shared" si="13"/>
        <v>0</v>
      </c>
      <c r="BI105" s="295"/>
      <c r="BJ105" s="96">
        <f>IF(BC105=0,"",('All Data'!Z105-'DCDC Ref'!$J$28*('DCDC Ref'!$J$29/100))/'DCDC Ref'!$J$28*('DCDC Ref'!$J$29/100)*100)</f>
        <v>-38.137931034482762</v>
      </c>
      <c r="BK105" s="361">
        <f t="shared" si="14"/>
        <v>10000</v>
      </c>
      <c r="BL105" s="361"/>
      <c r="BM105" s="361"/>
      <c r="BN105" s="361"/>
      <c r="BO105" s="361"/>
      <c r="BP105" s="96"/>
      <c r="BQ105" s="298">
        <f t="shared" si="15"/>
        <v>16956593.406593408</v>
      </c>
      <c r="BR105" s="298">
        <f>IF(BQ105="","",RANK(BQ105,BQ$11:BQ$9930,1)+COUNTIF(BQ$11:BQ105,BQ105)-1)</f>
        <v>118</v>
      </c>
      <c r="BS105" s="299">
        <f t="shared" si="11"/>
        <v>118</v>
      </c>
      <c r="BT105" s="96" t="str">
        <f>IFERROR(INDEX($O$11:$O$1013,MATCH(ROWS($BS$11:BS105),$BS$11:$BS$1005,0)),"")</f>
        <v>ETQP5M100YFC</v>
      </c>
      <c r="BU105" s="299" t="str">
        <f t="shared" si="16"/>
        <v>ETQP5M100YFC</v>
      </c>
      <c r="BV105" s="96"/>
      <c r="BW105" s="68"/>
    </row>
    <row r="106" spans="1:75" ht="15">
      <c r="A106" s="95">
        <v>33</v>
      </c>
      <c r="B106" s="259" t="s">
        <v>584</v>
      </c>
      <c r="C106" s="95"/>
      <c r="D106" s="95" t="s">
        <v>585</v>
      </c>
      <c r="E106" s="110"/>
      <c r="F106" s="68" t="s">
        <v>153</v>
      </c>
      <c r="G106" s="154" t="s">
        <v>586</v>
      </c>
      <c r="H106" s="96" t="s">
        <v>587</v>
      </c>
      <c r="I106" s="154" t="s">
        <v>588</v>
      </c>
      <c r="J106" s="96" t="s">
        <v>589</v>
      </c>
      <c r="K106" s="96" t="s">
        <v>590</v>
      </c>
      <c r="L106" s="96" t="s">
        <v>658</v>
      </c>
      <c r="M106" s="96" t="s">
        <v>669</v>
      </c>
      <c r="N106" s="96" t="s">
        <v>22</v>
      </c>
      <c r="O106" s="34" t="s">
        <v>115</v>
      </c>
      <c r="P106" s="37" t="str">
        <f>MID(All_PCC_a[[#This Row],[Part Number]],7,3)</f>
        <v>220</v>
      </c>
      <c r="Q106" s="97">
        <v>22</v>
      </c>
      <c r="R106" s="87" t="str">
        <f>IF(All_PCC_a[[#This Row],[Lo (uH)]]&lt;1,"&lt;1",IF(All_PCC_a[[#This Row],[Lo (uH)]]&lt;10,"&lt;10",IF(All_PCC_a[[#This Row],[Lo (uH)]]&lt;100,"&lt;100",IF(All_PCC_a[[#This Row],[Lo (uH)]]&lt;2000,"&lt;2000",""))))</f>
        <v>&lt;100</v>
      </c>
      <c r="S106" s="87" t="str">
        <f>IFERROR(VLOOKUP(All_PCC_a[[#This Row],[Lo (uH)]],Utility!$D$5:$E$43,2,1),"-")</f>
        <v>≤  30</v>
      </c>
      <c r="T106" s="98">
        <v>0.2</v>
      </c>
      <c r="U106" s="127">
        <v>92</v>
      </c>
      <c r="V106" s="127">
        <v>102</v>
      </c>
      <c r="W106" s="97">
        <v>10</v>
      </c>
      <c r="X106" s="87">
        <v>3.7</v>
      </c>
      <c r="Y106" s="97">
        <v>3</v>
      </c>
      <c r="Z106" s="118">
        <v>5.8</v>
      </c>
      <c r="AA106" s="87">
        <v>3.97</v>
      </c>
      <c r="AB106" s="96">
        <v>7.5</v>
      </c>
      <c r="AC106" s="96">
        <v>7</v>
      </c>
      <c r="AD106" s="97">
        <v>5.4</v>
      </c>
      <c r="AE106" s="96">
        <f>ROUND(All_PCC_a[[#This Row],[L (mm)]]*All_PCC_a[[#This Row],[W (mm)]],1)</f>
        <v>52.5</v>
      </c>
      <c r="AF106" s="87" t="str">
        <f>All_PCC_a[[#This Row],[L (mm)]]&amp;"  x  "&amp;All_PCC_a[[#This Row],[W (mm)]]</f>
        <v>7.5  x  7</v>
      </c>
      <c r="AG106" s="319" t="s">
        <v>661</v>
      </c>
      <c r="AH106" s="97" t="str">
        <f>IF(All_PCC_a[[#This Row],[Max Height (mm)]]&lt;=9,"≤ "&amp;ROUNDUP(AD106,0),"≤"&amp;ROUNDUP(AD106,0))</f>
        <v>≤ 6</v>
      </c>
      <c r="AI106" s="100">
        <v>-40</v>
      </c>
      <c r="AJ106" s="100">
        <v>150</v>
      </c>
      <c r="AK106" s="68" t="str">
        <f>All_PCC_a[[#This Row],[Min Temp (deg.C)]]&amp;" to +"&amp;All_PCC_a[[#This Row],[Max Temp (deg.C)]]</f>
        <v>-40 to +150</v>
      </c>
      <c r="AL106" s="96"/>
      <c r="AM106" s="96"/>
      <c r="AN106" s="96"/>
      <c r="AO106" s="97" t="s">
        <v>124</v>
      </c>
      <c r="AP106" s="97" t="str">
        <f t="shared" si="17"/>
        <v>-</v>
      </c>
      <c r="AQ106" s="97" t="s">
        <v>138</v>
      </c>
      <c r="AR106" s="87" t="s">
        <v>138</v>
      </c>
      <c r="AS106" s="68" t="s">
        <v>973</v>
      </c>
      <c r="AT106" s="96" t="s">
        <v>594</v>
      </c>
      <c r="AU106" s="96" t="e" vm="7">
        <f>_xlfn.IMAGE(All_PCC_a[[#This Row],[Image URL]])</f>
        <v>#VALUE!</v>
      </c>
      <c r="AV106" s="96"/>
      <c r="AW106" s="96"/>
      <c r="AY106" s="68"/>
      <c r="BC106" s="96">
        <f>IF(Z106&lt;('DCDC Ref'!$J$24/'DCDC Ref'!$J$26)*'DCDC Ref'!$J$28/100,0,1)</f>
        <v>1</v>
      </c>
      <c r="BD106" s="360">
        <f>IF(BC106=1000000000,"",('All Data'!Q106-'DCDC Ref'!$J$30)/'DCDC Ref'!$J$30*100)</f>
        <v>3381.3186813186817</v>
      </c>
      <c r="BE106" s="295">
        <f t="shared" si="12"/>
        <v>3381.3186813186817</v>
      </c>
      <c r="BF106" s="295"/>
      <c r="BG106" s="360"/>
      <c r="BH106" s="361">
        <f t="shared" si="13"/>
        <v>0</v>
      </c>
      <c r="BI106" s="295"/>
      <c r="BJ106" s="96">
        <f>IF(BC106=0,"",('All Data'!Z106-'DCDC Ref'!$J$28*('DCDC Ref'!$J$29/100))/'DCDC Ref'!$J$28*('DCDC Ref'!$J$29/100)*100)</f>
        <v>-48.000000000000007</v>
      </c>
      <c r="BK106" s="361">
        <f t="shared" si="14"/>
        <v>10000</v>
      </c>
      <c r="BL106" s="361"/>
      <c r="BM106" s="361"/>
      <c r="BN106" s="361"/>
      <c r="BO106" s="361"/>
      <c r="BP106" s="96"/>
      <c r="BQ106" s="298">
        <f t="shared" si="15"/>
        <v>16956593.406593408</v>
      </c>
      <c r="BR106" s="298">
        <f>IF(BQ106="","",RANK(BQ106,BQ$11:BQ$9930,1)+COUNTIF(BQ$11:BQ106,BQ106)-1)</f>
        <v>119</v>
      </c>
      <c r="BS106" s="299">
        <f t="shared" si="11"/>
        <v>119</v>
      </c>
      <c r="BT106" s="96" t="str">
        <f>IFERROR(INDEX($O$11:$O$1013,MATCH(ROWS($BS$11:BS106),$BS$11:$BS$1005,0)),"")</f>
        <v>ETQP5M100YFM</v>
      </c>
      <c r="BU106" s="299" t="str">
        <f t="shared" si="16"/>
        <v>ETQP5M100YFM</v>
      </c>
      <c r="BV106" s="96"/>
    </row>
    <row r="107" spans="1:75" ht="15">
      <c r="A107" s="95">
        <v>61</v>
      </c>
      <c r="B107" s="259" t="s">
        <v>584</v>
      </c>
      <c r="C107" s="95"/>
      <c r="D107" s="95" t="s">
        <v>585</v>
      </c>
      <c r="E107" s="109"/>
      <c r="F107" s="68" t="s">
        <v>153</v>
      </c>
      <c r="G107" s="69" t="s">
        <v>586</v>
      </c>
      <c r="H107" s="68" t="s">
        <v>587</v>
      </c>
      <c r="I107" s="69" t="s">
        <v>588</v>
      </c>
      <c r="J107" s="68" t="s">
        <v>589</v>
      </c>
      <c r="K107" s="68" t="s">
        <v>601</v>
      </c>
      <c r="L107" s="68" t="s">
        <v>620</v>
      </c>
      <c r="M107" s="68" t="s">
        <v>621</v>
      </c>
      <c r="N107" s="68" t="s">
        <v>593</v>
      </c>
      <c r="O107" s="34" t="s">
        <v>114</v>
      </c>
      <c r="P107" s="37" t="str">
        <f>MID(All_PCC_a[[#This Row],[Part Number]],7,3)</f>
        <v>220</v>
      </c>
      <c r="Q107" s="87">
        <v>22</v>
      </c>
      <c r="R107" s="87" t="str">
        <f>IF(All_PCC_a[[#This Row],[Lo (uH)]]&lt;1,"&lt;1",IF(All_PCC_a[[#This Row],[Lo (uH)]]&lt;10,"&lt;10",IF(All_PCC_a[[#This Row],[Lo (uH)]]&lt;100,"&lt;100",IF(All_PCC_a[[#This Row],[Lo (uH)]]&lt;2000,"&lt;2000",""))))</f>
        <v>&lt;100</v>
      </c>
      <c r="S107" s="87" t="str">
        <f>IFERROR(VLOOKUP(All_PCC_a[[#This Row],[Lo (uH)]],Utility!$D$5:$E$43,2,1),"-")</f>
        <v>≤  30</v>
      </c>
      <c r="T107" s="88">
        <v>0.2</v>
      </c>
      <c r="U107" s="126">
        <v>128</v>
      </c>
      <c r="V107" s="126">
        <v>140.80000000000001</v>
      </c>
      <c r="W107" s="87">
        <v>10</v>
      </c>
      <c r="X107" s="87">
        <v>2.7</v>
      </c>
      <c r="Y107" s="87">
        <v>2.2000000000000002</v>
      </c>
      <c r="Z107" s="117">
        <v>4.3</v>
      </c>
      <c r="AA107" s="87">
        <v>2.79</v>
      </c>
      <c r="AB107" s="68">
        <v>6.4</v>
      </c>
      <c r="AC107" s="68">
        <v>6</v>
      </c>
      <c r="AD107" s="87">
        <v>3</v>
      </c>
      <c r="AE107" s="68">
        <f>ROUND(All_PCC_a[[#This Row],[L (mm)]]*All_PCC_a[[#This Row],[W (mm)]],1)</f>
        <v>38.4</v>
      </c>
      <c r="AF107" s="87" t="str">
        <f>All_PCC_a[[#This Row],[L (mm)]]&amp;"  x  "&amp;All_PCC_a[[#This Row],[W (mm)]]</f>
        <v>6.4  x  6</v>
      </c>
      <c r="AG107" s="91" t="s">
        <v>618</v>
      </c>
      <c r="AH107" s="97" t="str">
        <f>IF(All_PCC_a[[#This Row],[Max Height (mm)]]&lt;=9,"≤ "&amp;ROUNDUP(AD107,0),"≤"&amp;ROUNDUP(AD107,0))</f>
        <v>≤ 3</v>
      </c>
      <c r="AI107" s="68">
        <v>-55</v>
      </c>
      <c r="AJ107" s="68">
        <v>155</v>
      </c>
      <c r="AK107" s="68" t="str">
        <f>All_PCC_a[[#This Row],[Min Temp (deg.C)]]&amp;" to +"&amp;All_PCC_a[[#This Row],[Max Temp (deg.C)]]</f>
        <v>-55 to +155</v>
      </c>
      <c r="AL107" s="68"/>
      <c r="AO107" s="87" t="s">
        <v>138</v>
      </c>
      <c r="AP107" s="97" t="str">
        <f t="shared" si="17"/>
        <v>-</v>
      </c>
      <c r="AQ107" s="87" t="s">
        <v>138</v>
      </c>
      <c r="AR107" s="87" t="s">
        <v>138</v>
      </c>
      <c r="AS107" s="68" t="s">
        <v>974</v>
      </c>
      <c r="AT107" s="95" t="s">
        <v>606</v>
      </c>
      <c r="AU107" s="96" t="e" vm="9">
        <f>_xlfn.IMAGE(All_PCC_a[[#This Row],[Image URL]])</f>
        <v>#VALUE!</v>
      </c>
      <c r="AW107" s="68"/>
      <c r="AY107" s="68"/>
      <c r="BC107" s="96">
        <f>IF(Z107&lt;('DCDC Ref'!$J$24/'DCDC Ref'!$J$26)*'DCDC Ref'!$J$28/100,0,1)</f>
        <v>1</v>
      </c>
      <c r="BD107" s="360">
        <f>IF(BC107=1000000000,"",('All Data'!Q107-'DCDC Ref'!$J$30)/'DCDC Ref'!$J$30*100)</f>
        <v>3381.3186813186817</v>
      </c>
      <c r="BE107" s="295">
        <f t="shared" si="12"/>
        <v>3381.3186813186817</v>
      </c>
      <c r="BF107" s="295"/>
      <c r="BG107" s="360"/>
      <c r="BH107" s="361">
        <f t="shared" si="13"/>
        <v>0</v>
      </c>
      <c r="BI107" s="295"/>
      <c r="BJ107" s="96">
        <f>IF(BC107=0,"",('All Data'!Z107-'DCDC Ref'!$J$28*('DCDC Ref'!$J$29/100))/'DCDC Ref'!$J$28*('DCDC Ref'!$J$29/100)*100)</f>
        <v>-61.448275862068968</v>
      </c>
      <c r="BK107" s="361">
        <f t="shared" si="14"/>
        <v>10000</v>
      </c>
      <c r="BL107" s="361"/>
      <c r="BM107" s="361"/>
      <c r="BN107" s="361"/>
      <c r="BO107" s="361"/>
      <c r="BP107" s="96"/>
      <c r="BQ107" s="298">
        <f t="shared" si="15"/>
        <v>16956593.406593408</v>
      </c>
      <c r="BR107" s="298">
        <f>IF(BQ107="","",RANK(BQ107,BQ$11:BQ$9930,1)+COUNTIF(BQ$11:BQ107,BQ107)-1)</f>
        <v>120</v>
      </c>
      <c r="BS107" s="299">
        <f t="shared" ref="BS107:BS138" si="18">RANK(BR107,BR$11:BR$9930,1)</f>
        <v>120</v>
      </c>
      <c r="BT107" s="96" t="str">
        <f>IFERROR(INDEX($O$11:$O$1013,MATCH(ROWS($BS$11:BS107),$BS$11:$BS$1005,0)),"")</f>
        <v>ETQP3M100KVP</v>
      </c>
      <c r="BU107" s="299" t="str">
        <f t="shared" si="16"/>
        <v>ETQP3M100KVP</v>
      </c>
      <c r="BV107" s="96"/>
    </row>
    <row r="108" spans="1:75" ht="15">
      <c r="A108" s="95">
        <v>72</v>
      </c>
      <c r="B108" s="259" t="s">
        <v>584</v>
      </c>
      <c r="C108" s="95"/>
      <c r="D108" s="95" t="s">
        <v>585</v>
      </c>
      <c r="E108" s="109"/>
      <c r="F108" s="68" t="s">
        <v>153</v>
      </c>
      <c r="G108" s="69" t="s">
        <v>586</v>
      </c>
      <c r="H108" s="68" t="s">
        <v>587</v>
      </c>
      <c r="I108" s="69" t="s">
        <v>588</v>
      </c>
      <c r="J108" s="68" t="s">
        <v>589</v>
      </c>
      <c r="K108" s="68" t="s">
        <v>601</v>
      </c>
      <c r="L108" s="68" t="s">
        <v>622</v>
      </c>
      <c r="M108" s="68" t="s">
        <v>623</v>
      </c>
      <c r="N108" s="68" t="s">
        <v>593</v>
      </c>
      <c r="O108" s="34" t="s">
        <v>116</v>
      </c>
      <c r="P108" s="37" t="str">
        <f>MID(All_PCC_a[[#This Row],[Part Number]],7,3)</f>
        <v>220</v>
      </c>
      <c r="Q108" s="87">
        <v>22</v>
      </c>
      <c r="R108" s="87" t="str">
        <f>IF(All_PCC_a[[#This Row],[Lo (uH)]]&lt;1,"&lt;1",IF(All_PCC_a[[#This Row],[Lo (uH)]]&lt;10,"&lt;10",IF(All_PCC_a[[#This Row],[Lo (uH)]]&lt;100,"&lt;100",IF(All_PCC_a[[#This Row],[Lo (uH)]]&lt;2000,"&lt;2000",""))))</f>
        <v>&lt;100</v>
      </c>
      <c r="S108" s="87" t="str">
        <f>IFERROR(VLOOKUP(All_PCC_a[[#This Row],[Lo (uH)]],Utility!$D$5:$E$43,2,1),"-")</f>
        <v>≤  30</v>
      </c>
      <c r="T108" s="88">
        <v>0.2</v>
      </c>
      <c r="U108" s="126">
        <v>78.400000000000006</v>
      </c>
      <c r="V108" s="126">
        <v>86.24</v>
      </c>
      <c r="W108" s="87">
        <v>10</v>
      </c>
      <c r="X108" s="87">
        <v>3.8</v>
      </c>
      <c r="Y108" s="87">
        <v>3.2</v>
      </c>
      <c r="Z108" s="117">
        <v>6</v>
      </c>
      <c r="AA108" s="87">
        <v>5</v>
      </c>
      <c r="AB108" s="68">
        <v>8.4</v>
      </c>
      <c r="AC108" s="68">
        <v>8</v>
      </c>
      <c r="AD108" s="87">
        <v>4</v>
      </c>
      <c r="AE108" s="68">
        <f>ROUND(All_PCC_a[[#This Row],[L (mm)]]*All_PCC_a[[#This Row],[W (mm)]],1)</f>
        <v>67.2</v>
      </c>
      <c r="AF108" s="87" t="str">
        <f>All_PCC_a[[#This Row],[L (mm)]]&amp;"  x  "&amp;All_PCC_a[[#This Row],[W (mm)]]</f>
        <v>8.4  x  8</v>
      </c>
      <c r="AG108" s="99" t="s">
        <v>624</v>
      </c>
      <c r="AH108" s="97" t="str">
        <f>IF(All_PCC_a[[#This Row],[Max Height (mm)]]&lt;=9,"≤ "&amp;ROUNDUP(AD108,0),"≤"&amp;ROUNDUP(AD108,0))</f>
        <v>≤ 4</v>
      </c>
      <c r="AI108" s="68">
        <v>-55</v>
      </c>
      <c r="AJ108" s="68">
        <v>155</v>
      </c>
      <c r="AK108" s="68" t="str">
        <f>All_PCC_a[[#This Row],[Min Temp (deg.C)]]&amp;" to +"&amp;All_PCC_a[[#This Row],[Max Temp (deg.C)]]</f>
        <v>-55 to +155</v>
      </c>
      <c r="AL108" s="68"/>
      <c r="AO108" s="87" t="s">
        <v>138</v>
      </c>
      <c r="AP108" s="97" t="str">
        <f t="shared" si="17"/>
        <v>-</v>
      </c>
      <c r="AQ108" s="87" t="s">
        <v>138</v>
      </c>
      <c r="AR108" s="87" t="s">
        <v>138</v>
      </c>
      <c r="AS108" s="68" t="s">
        <v>975</v>
      </c>
      <c r="AT108" s="95" t="s">
        <v>606</v>
      </c>
      <c r="AU108" s="96" t="e" vm="9">
        <f>_xlfn.IMAGE(All_PCC_a[[#This Row],[Image URL]])</f>
        <v>#VALUE!</v>
      </c>
      <c r="AW108" s="68"/>
      <c r="AY108" s="68"/>
      <c r="BC108" s="96">
        <f>IF(Z108&lt;('DCDC Ref'!$J$24/'DCDC Ref'!$J$26)*'DCDC Ref'!$J$28/100,0,1)</f>
        <v>1</v>
      </c>
      <c r="BD108" s="360">
        <f>IF(BC108=1000000000,"",('All Data'!Q108-'DCDC Ref'!$J$30)/'DCDC Ref'!$J$30*100)</f>
        <v>3381.3186813186817</v>
      </c>
      <c r="BE108" s="295">
        <f t="shared" si="12"/>
        <v>3381.3186813186817</v>
      </c>
      <c r="BF108" s="295"/>
      <c r="BG108" s="360"/>
      <c r="BH108" s="361">
        <f t="shared" si="13"/>
        <v>0</v>
      </c>
      <c r="BI108" s="295"/>
      <c r="BJ108" s="96">
        <f>IF(BC108=0,"",('All Data'!Z108-'DCDC Ref'!$J$28*('DCDC Ref'!$J$29/100))/'DCDC Ref'!$J$28*('DCDC Ref'!$J$29/100)*100)</f>
        <v>-46.206896551724142</v>
      </c>
      <c r="BK108" s="361">
        <f t="shared" si="14"/>
        <v>10000</v>
      </c>
      <c r="BL108" s="361"/>
      <c r="BM108" s="361"/>
      <c r="BN108" s="361"/>
      <c r="BO108" s="361"/>
      <c r="BP108" s="96"/>
      <c r="BQ108" s="298">
        <f t="shared" si="15"/>
        <v>16956593.406593408</v>
      </c>
      <c r="BR108" s="298">
        <f>IF(BQ108="","",RANK(BQ108,BQ$11:BQ$9930,1)+COUNTIF(BQ$11:BQ108,BQ108)-1)</f>
        <v>121</v>
      </c>
      <c r="BS108" s="299">
        <f t="shared" si="18"/>
        <v>121</v>
      </c>
      <c r="BT108" s="96" t="str">
        <f>IFERROR(INDEX($O$11:$O$1013,MATCH(ROWS($BS$11:BS108),$BS$11:$BS$1005,0)),"")</f>
        <v>ETQP3M100KVN</v>
      </c>
      <c r="BU108" s="299" t="str">
        <f t="shared" si="16"/>
        <v>ETQP3M100KVN</v>
      </c>
      <c r="BV108" s="96"/>
    </row>
    <row r="109" spans="1:75" ht="15">
      <c r="A109" s="95">
        <v>84</v>
      </c>
      <c r="B109" s="259" t="s">
        <v>584</v>
      </c>
      <c r="C109" s="95"/>
      <c r="D109" s="95" t="s">
        <v>585</v>
      </c>
      <c r="E109" s="109"/>
      <c r="F109" s="68" t="s">
        <v>153</v>
      </c>
      <c r="G109" s="69" t="s">
        <v>586</v>
      </c>
      <c r="H109" s="68" t="s">
        <v>587</v>
      </c>
      <c r="I109" s="69" t="s">
        <v>588</v>
      </c>
      <c r="J109" s="68" t="s">
        <v>589</v>
      </c>
      <c r="K109" s="68" t="s">
        <v>601</v>
      </c>
      <c r="L109" s="68" t="s">
        <v>629</v>
      </c>
      <c r="M109" s="68" t="s">
        <v>630</v>
      </c>
      <c r="N109" s="68" t="s">
        <v>593</v>
      </c>
      <c r="O109" s="34" t="s">
        <v>111</v>
      </c>
      <c r="P109" s="37" t="str">
        <f>MID(All_PCC_a[[#This Row],[Part Number]],7,3)</f>
        <v>220</v>
      </c>
      <c r="Q109" s="87">
        <v>22</v>
      </c>
      <c r="R109" s="87" t="str">
        <f>IF(All_PCC_a[[#This Row],[Lo (uH)]]&lt;1,"&lt;1",IF(All_PCC_a[[#This Row],[Lo (uH)]]&lt;10,"&lt;10",IF(All_PCC_a[[#This Row],[Lo (uH)]]&lt;100,"&lt;100",IF(All_PCC_a[[#This Row],[Lo (uH)]]&lt;2000,"&lt;2000",""))))</f>
        <v>&lt;100</v>
      </c>
      <c r="S109" s="87" t="str">
        <f>IFERROR(VLOOKUP(All_PCC_a[[#This Row],[Lo (uH)]],Utility!$D$5:$E$43,2,1),"-")</f>
        <v>≤  30</v>
      </c>
      <c r="T109" s="88">
        <v>0.2</v>
      </c>
      <c r="U109" s="126">
        <v>60</v>
      </c>
      <c r="V109" s="126">
        <v>66</v>
      </c>
      <c r="W109" s="87">
        <v>10</v>
      </c>
      <c r="X109" s="87">
        <v>5</v>
      </c>
      <c r="Y109" s="121">
        <v>4.0999999999999996</v>
      </c>
      <c r="Z109" s="122">
        <v>7.4</v>
      </c>
      <c r="AA109" s="87">
        <v>5.63</v>
      </c>
      <c r="AB109" s="68">
        <v>10.7</v>
      </c>
      <c r="AC109" s="68">
        <v>10</v>
      </c>
      <c r="AD109" s="87">
        <v>4</v>
      </c>
      <c r="AE109" s="68">
        <f>ROUND(All_PCC_a[[#This Row],[L (mm)]]*All_PCC_a[[#This Row],[W (mm)]],1)</f>
        <v>107</v>
      </c>
      <c r="AF109" s="87" t="str">
        <f>All_PCC_a[[#This Row],[L (mm)]]&amp;"  x  "&amp;All_PCC_a[[#This Row],[W (mm)]]</f>
        <v>10.7  x  10</v>
      </c>
      <c r="AG109" s="91" t="s">
        <v>324</v>
      </c>
      <c r="AH109" s="97" t="str">
        <f>IF(All_PCC_a[[#This Row],[Max Height (mm)]]&lt;=9,"≤ "&amp;ROUNDUP(AD109,0),"≤"&amp;ROUNDUP(AD109,0))</f>
        <v>≤ 4</v>
      </c>
      <c r="AI109" s="68">
        <v>-55</v>
      </c>
      <c r="AJ109" s="68">
        <v>155</v>
      </c>
      <c r="AK109" s="68" t="str">
        <f>All_PCC_a[[#This Row],[Min Temp (deg.C)]]&amp;" to +"&amp;All_PCC_a[[#This Row],[Max Temp (deg.C)]]</f>
        <v>-55 to +155</v>
      </c>
      <c r="AL109" s="68"/>
      <c r="AO109" s="87" t="s">
        <v>138</v>
      </c>
      <c r="AP109" s="97" t="str">
        <f t="shared" si="17"/>
        <v>-</v>
      </c>
      <c r="AQ109" s="87" t="s">
        <v>138</v>
      </c>
      <c r="AR109" s="87" t="s">
        <v>138</v>
      </c>
      <c r="AS109" s="68" t="s">
        <v>976</v>
      </c>
      <c r="AT109" s="95" t="s">
        <v>606</v>
      </c>
      <c r="AU109" s="96" t="e" vm="9">
        <f>_xlfn.IMAGE(All_PCC_a[[#This Row],[Image URL]])</f>
        <v>#VALUE!</v>
      </c>
      <c r="AW109" s="68"/>
      <c r="AY109" s="68"/>
      <c r="BC109" s="96">
        <f>IF(Z109&lt;('DCDC Ref'!$J$24/'DCDC Ref'!$J$26)*'DCDC Ref'!$J$28/100,0,1)</f>
        <v>1</v>
      </c>
      <c r="BD109" s="360">
        <f>IF(BC109=1000000000,"",('All Data'!Q109-'DCDC Ref'!$J$30)/'DCDC Ref'!$J$30*100)</f>
        <v>3381.3186813186817</v>
      </c>
      <c r="BE109" s="295">
        <f t="shared" si="12"/>
        <v>3381.3186813186817</v>
      </c>
      <c r="BF109" s="295"/>
      <c r="BG109" s="360"/>
      <c r="BH109" s="361">
        <f t="shared" si="13"/>
        <v>0</v>
      </c>
      <c r="BI109" s="295"/>
      <c r="BJ109" s="96">
        <f>IF(BC109=0,"",('All Data'!Z109-'DCDC Ref'!$J$28*('DCDC Ref'!$J$29/100))/'DCDC Ref'!$J$28*('DCDC Ref'!$J$29/100)*100)</f>
        <v>-33.655172413793103</v>
      </c>
      <c r="BK109" s="361">
        <f t="shared" si="14"/>
        <v>10000</v>
      </c>
      <c r="BL109" s="361"/>
      <c r="BM109" s="361"/>
      <c r="BN109" s="361"/>
      <c r="BO109" s="361"/>
      <c r="BP109" s="96"/>
      <c r="BQ109" s="298">
        <f t="shared" si="15"/>
        <v>16956593.406593408</v>
      </c>
      <c r="BR109" s="298">
        <f>IF(BQ109="","",RANK(BQ109,BQ$11:BQ$9930,1)+COUNTIF(BQ$11:BQ109,BQ109)-1)</f>
        <v>122</v>
      </c>
      <c r="BS109" s="299">
        <f t="shared" si="18"/>
        <v>122</v>
      </c>
      <c r="BT109" s="96" t="str">
        <f>IFERROR(INDEX($O$11:$O$1013,MATCH(ROWS($BS$11:BS109),$BS$11:$BS$1005,0)),"")</f>
        <v>ETQP4M100KVK</v>
      </c>
      <c r="BU109" s="299" t="str">
        <f t="shared" si="16"/>
        <v>ETQP4M100KVK</v>
      </c>
      <c r="BV109" s="96"/>
    </row>
    <row r="110" spans="1:75" ht="15">
      <c r="A110" s="95">
        <v>95</v>
      </c>
      <c r="B110" s="259" t="s">
        <v>584</v>
      </c>
      <c r="C110" s="95"/>
      <c r="D110" s="95" t="s">
        <v>585</v>
      </c>
      <c r="E110" s="109"/>
      <c r="F110" s="68" t="s">
        <v>153</v>
      </c>
      <c r="G110" s="69" t="s">
        <v>586</v>
      </c>
      <c r="H110" s="68" t="s">
        <v>587</v>
      </c>
      <c r="I110" s="69" t="s">
        <v>588</v>
      </c>
      <c r="J110" s="68" t="s">
        <v>589</v>
      </c>
      <c r="K110" s="68" t="s">
        <v>640</v>
      </c>
      <c r="L110" s="68" t="s">
        <v>674</v>
      </c>
      <c r="M110" s="68" t="s">
        <v>675</v>
      </c>
      <c r="N110" s="68" t="s">
        <v>593</v>
      </c>
      <c r="O110" s="34" t="s">
        <v>110</v>
      </c>
      <c r="P110" s="37" t="str">
        <f>MID(All_PCC_a[[#This Row],[Part Number]],7,3)</f>
        <v>220</v>
      </c>
      <c r="Q110" s="87">
        <v>22</v>
      </c>
      <c r="R110" s="87" t="str">
        <f>IF(All_PCC_a[[#This Row],[Lo (uH)]]&lt;1,"&lt;1",IF(All_PCC_a[[#This Row],[Lo (uH)]]&lt;10,"&lt;10",IF(All_PCC_a[[#This Row],[Lo (uH)]]&lt;100,"&lt;100",IF(All_PCC_a[[#This Row],[Lo (uH)]]&lt;2000,"&lt;2000",""))))</f>
        <v>&lt;100</v>
      </c>
      <c r="S110" s="87" t="str">
        <f>IFERROR(VLOOKUP(All_PCC_a[[#This Row],[Lo (uH)]],Utility!$D$5:$E$43,2,1),"-")</f>
        <v>≤  30</v>
      </c>
      <c r="T110" s="88">
        <v>0.2</v>
      </c>
      <c r="U110" s="126">
        <v>144</v>
      </c>
      <c r="V110" s="126">
        <v>158.4</v>
      </c>
      <c r="W110" s="87">
        <v>20</v>
      </c>
      <c r="X110" s="87">
        <v>2.5</v>
      </c>
      <c r="Y110" s="121">
        <v>2.1</v>
      </c>
      <c r="Z110" s="122">
        <v>4</v>
      </c>
      <c r="AA110" s="87">
        <v>2.9</v>
      </c>
      <c r="AB110" s="68">
        <v>6.5</v>
      </c>
      <c r="AC110" s="68">
        <v>6</v>
      </c>
      <c r="AD110" s="87">
        <v>3</v>
      </c>
      <c r="AE110" s="68">
        <f>ROUND(All_PCC_a[[#This Row],[L (mm)]]*All_PCC_a[[#This Row],[W (mm)]],1)</f>
        <v>39</v>
      </c>
      <c r="AF110" s="87" t="str">
        <f>All_PCC_a[[#This Row],[L (mm)]]&amp;"  x  "&amp;All_PCC_a[[#This Row],[W (mm)]]</f>
        <v>6.5  x  6</v>
      </c>
      <c r="AG110" s="91" t="s">
        <v>618</v>
      </c>
      <c r="AH110" s="97" t="str">
        <f>IF(All_PCC_a[[#This Row],[Max Height (mm)]]&lt;=9,"≤ "&amp;ROUNDUP(AD110,0),"≤"&amp;ROUNDUP(AD110,0))</f>
        <v>≤ 3</v>
      </c>
      <c r="AI110" s="68">
        <v>-40</v>
      </c>
      <c r="AJ110" s="68">
        <v>150</v>
      </c>
      <c r="AK110" s="68" t="str">
        <f>All_PCC_a[[#This Row],[Min Temp (deg.C)]]&amp;" to +"&amp;All_PCC_a[[#This Row],[Max Temp (deg.C)]]</f>
        <v>-40 to +150</v>
      </c>
      <c r="AL110" s="68"/>
      <c r="AO110" s="87" t="s">
        <v>138</v>
      </c>
      <c r="AP110" s="97" t="str">
        <f t="shared" ref="AP110:AP134" si="19">IFERROR(IF(L1Round&gt;1,ROUND(L1Round,1),L1Round),"-")</f>
        <v>-</v>
      </c>
      <c r="AQ110" s="87" t="s">
        <v>138</v>
      </c>
      <c r="AR110" s="87" t="s">
        <v>138</v>
      </c>
      <c r="AS110" s="68" t="s">
        <v>977</v>
      </c>
      <c r="AT110" s="68" t="s">
        <v>644</v>
      </c>
      <c r="AU110" s="96" t="e" vm="11">
        <f>_xlfn.IMAGE(All_PCC_a[[#This Row],[Image URL]])</f>
        <v>#VALUE!</v>
      </c>
      <c r="AV110" s="95"/>
      <c r="AW110" s="95"/>
      <c r="AY110" s="68"/>
      <c r="BC110" s="96">
        <f>IF(Z110&lt;('DCDC Ref'!$J$24/'DCDC Ref'!$J$26)*'DCDC Ref'!$J$28/100,0,1)</f>
        <v>1</v>
      </c>
      <c r="BD110" s="360">
        <f>IF(BC110=1000000000,"",('All Data'!Q110-'DCDC Ref'!$J$30)/'DCDC Ref'!$J$30*100)</f>
        <v>3381.3186813186817</v>
      </c>
      <c r="BE110" s="295">
        <f t="shared" si="12"/>
        <v>3381.3186813186817</v>
      </c>
      <c r="BF110" s="295"/>
      <c r="BG110" s="360"/>
      <c r="BH110" s="361">
        <f t="shared" si="13"/>
        <v>0</v>
      </c>
      <c r="BI110" s="295"/>
      <c r="BJ110" s="96">
        <f>IF(BC110=0,"",('All Data'!Z110-'DCDC Ref'!$J$28*('DCDC Ref'!$J$29/100))/'DCDC Ref'!$J$28*('DCDC Ref'!$J$29/100)*100)</f>
        <v>-64.137931034482762</v>
      </c>
      <c r="BK110" s="361">
        <f t="shared" si="14"/>
        <v>10000</v>
      </c>
      <c r="BL110" s="361"/>
      <c r="BM110" s="361"/>
      <c r="BN110" s="361"/>
      <c r="BO110" s="361"/>
      <c r="BP110" s="96"/>
      <c r="BQ110" s="298">
        <f t="shared" si="15"/>
        <v>16956593.406593408</v>
      </c>
      <c r="BR110" s="298">
        <f>IF(BQ110="","",RANK(BQ110,BQ$11:BQ$9930,1)+COUNTIF(BQ$11:BQ110,BQ110)-1)</f>
        <v>123</v>
      </c>
      <c r="BS110" s="299">
        <f t="shared" si="18"/>
        <v>123</v>
      </c>
      <c r="BT110" s="96" t="str">
        <f>IFERROR(INDEX($O$11:$O$1013,MATCH(ROWS($BS$11:BS110),$BS$11:$BS$1005,0)),"")</f>
        <v>ETQP4M100KVC</v>
      </c>
      <c r="BU110" s="299" t="str">
        <f t="shared" si="16"/>
        <v>ETQP4M100KVC</v>
      </c>
      <c r="BV110" s="96"/>
    </row>
    <row r="111" spans="1:75" ht="15">
      <c r="A111" s="95">
        <v>103</v>
      </c>
      <c r="B111" s="259" t="s">
        <v>584</v>
      </c>
      <c r="C111" s="95"/>
      <c r="D111" s="95" t="s">
        <v>585</v>
      </c>
      <c r="E111" s="109"/>
      <c r="F111" s="68" t="s">
        <v>153</v>
      </c>
      <c r="G111" s="69" t="s">
        <v>586</v>
      </c>
      <c r="H111" s="68" t="s">
        <v>587</v>
      </c>
      <c r="I111" s="69" t="s">
        <v>588</v>
      </c>
      <c r="J111" s="68" t="s">
        <v>589</v>
      </c>
      <c r="K111" s="68" t="s">
        <v>654</v>
      </c>
      <c r="L111" s="68" t="s">
        <v>670</v>
      </c>
      <c r="M111" s="68" t="s">
        <v>671</v>
      </c>
      <c r="N111" s="68" t="s">
        <v>593</v>
      </c>
      <c r="O111" s="34" t="s">
        <v>117</v>
      </c>
      <c r="P111" s="37" t="str">
        <f>MID(All_PCC_a[[#This Row],[Part Number]],7,3)</f>
        <v>220</v>
      </c>
      <c r="Q111" s="87">
        <v>22</v>
      </c>
      <c r="R111" s="87" t="str">
        <f>IF(All_PCC_a[[#This Row],[Lo (uH)]]&lt;1,"&lt;1",IF(All_PCC_a[[#This Row],[Lo (uH)]]&lt;10,"&lt;10",IF(All_PCC_a[[#This Row],[Lo (uH)]]&lt;100,"&lt;100",IF(All_PCC_a[[#This Row],[Lo (uH)]]&lt;2000,"&lt;2000",""))))</f>
        <v>&lt;100</v>
      </c>
      <c r="S111" s="87" t="str">
        <f>IFERROR(VLOOKUP(All_PCC_a[[#This Row],[Lo (uH)]],Utility!$D$5:$E$43,2,1),"-")</f>
        <v>≤  30</v>
      </c>
      <c r="T111" s="88">
        <v>0.2</v>
      </c>
      <c r="U111" s="126">
        <v>84.1</v>
      </c>
      <c r="V111" s="126">
        <v>92.51</v>
      </c>
      <c r="W111" s="87">
        <v>10</v>
      </c>
      <c r="X111" s="87">
        <v>3.9</v>
      </c>
      <c r="Y111" s="121">
        <v>2.9</v>
      </c>
      <c r="Z111" s="122">
        <v>4.5999999999999996</v>
      </c>
      <c r="AA111" s="87">
        <v>3.7</v>
      </c>
      <c r="AB111" s="68">
        <v>7.4</v>
      </c>
      <c r="AC111" s="68">
        <v>7</v>
      </c>
      <c r="AD111" s="87">
        <v>4.8</v>
      </c>
      <c r="AE111" s="68">
        <f>ROUND(All_PCC_a[[#This Row],[L (mm)]]*All_PCC_a[[#This Row],[W (mm)]],1)</f>
        <v>51.8</v>
      </c>
      <c r="AF111" s="87" t="str">
        <f>All_PCC_a[[#This Row],[L (mm)]]&amp;"  x  "&amp;All_PCC_a[[#This Row],[W (mm)]]</f>
        <v>7.4  x  7</v>
      </c>
      <c r="AG111" s="141" t="s">
        <v>661</v>
      </c>
      <c r="AH111" s="97" t="str">
        <f>IF(All_PCC_a[[#This Row],[Max Height (mm)]]&lt;=9,"≤ "&amp;ROUNDUP(AD111,0),"≤"&amp;ROUNDUP(AD111,0))</f>
        <v>≤ 5</v>
      </c>
      <c r="AI111" s="68">
        <v>-40</v>
      </c>
      <c r="AJ111" s="68">
        <v>150</v>
      </c>
      <c r="AK111" s="68" t="str">
        <f>All_PCC_a[[#This Row],[Min Temp (deg.C)]]&amp;" to +"&amp;All_PCC_a[[#This Row],[Max Temp (deg.C)]]</f>
        <v>-40 to +150</v>
      </c>
      <c r="AL111" s="68"/>
      <c r="AO111" s="87" t="s">
        <v>138</v>
      </c>
      <c r="AP111" s="97" t="str">
        <f t="shared" si="19"/>
        <v>-</v>
      </c>
      <c r="AQ111" s="87" t="s">
        <v>138</v>
      </c>
      <c r="AR111" s="87" t="s">
        <v>138</v>
      </c>
      <c r="AS111" s="68" t="s">
        <v>978</v>
      </c>
      <c r="AT111" s="68" t="s">
        <v>657</v>
      </c>
      <c r="AU111" s="96" t="e" vm="12">
        <f>_xlfn.IMAGE(All_PCC_a[[#This Row],[Image URL]])</f>
        <v>#VALUE!</v>
      </c>
      <c r="AV111" s="95"/>
      <c r="AW111" s="95"/>
      <c r="AY111" s="68"/>
      <c r="BC111" s="96">
        <f>IF(Z111&lt;('DCDC Ref'!$J$24/'DCDC Ref'!$J$26)*'DCDC Ref'!$J$28/100,0,1)</f>
        <v>1</v>
      </c>
      <c r="BD111" s="360">
        <f>IF(BC111=1000000000,"",('All Data'!Q111-'DCDC Ref'!$J$30)/'DCDC Ref'!$J$30*100)</f>
        <v>3381.3186813186817</v>
      </c>
      <c r="BE111" s="295">
        <f t="shared" si="12"/>
        <v>3381.3186813186817</v>
      </c>
      <c r="BF111" s="295"/>
      <c r="BG111" s="360"/>
      <c r="BH111" s="361">
        <f t="shared" si="13"/>
        <v>0</v>
      </c>
      <c r="BI111" s="295"/>
      <c r="BJ111" s="96">
        <f>IF(BC111=0,"",('All Data'!Z111-'DCDC Ref'!$J$28*('DCDC Ref'!$J$29/100))/'DCDC Ref'!$J$28*('DCDC Ref'!$J$29/100)*100)</f>
        <v>-58.758620689655181</v>
      </c>
      <c r="BK111" s="361">
        <f t="shared" si="14"/>
        <v>10000</v>
      </c>
      <c r="BL111" s="361"/>
      <c r="BM111" s="361"/>
      <c r="BN111" s="361"/>
      <c r="BO111" s="361"/>
      <c r="BP111" s="96"/>
      <c r="BQ111" s="298">
        <f t="shared" si="15"/>
        <v>16956593.406593408</v>
      </c>
      <c r="BR111" s="298">
        <f>IF(BQ111="","",RANK(BQ111,BQ$11:BQ$9930,1)+COUNTIF(BQ$11:BQ111,BQ111)-1)</f>
        <v>124</v>
      </c>
      <c r="BS111" s="299">
        <f t="shared" si="18"/>
        <v>124</v>
      </c>
      <c r="BT111" s="96" t="str">
        <f>IFERROR(INDEX($O$11:$O$1013,MATCH(ROWS($BS$11:BS111),$BS$11:$BS$1005,0)),"")</f>
        <v>ETQP3M100HFN</v>
      </c>
      <c r="BU111" s="299" t="str">
        <f t="shared" si="16"/>
        <v>ETQP3M100HFN</v>
      </c>
      <c r="BV111" s="96"/>
    </row>
    <row r="112" spans="1:75">
      <c r="A112" s="95">
        <v>121</v>
      </c>
      <c r="B112" s="259" t="s">
        <v>584</v>
      </c>
      <c r="C112" s="286">
        <v>44883</v>
      </c>
      <c r="D112" s="95" t="s">
        <v>585</v>
      </c>
      <c r="E112" s="231"/>
      <c r="F112" s="95" t="s">
        <v>23</v>
      </c>
      <c r="G112" s="231" t="s">
        <v>586</v>
      </c>
      <c r="H112" s="95" t="s">
        <v>587</v>
      </c>
      <c r="I112" s="231" t="s">
        <v>588</v>
      </c>
      <c r="J112" s="95" t="s">
        <v>589</v>
      </c>
      <c r="K112" s="95" t="s">
        <v>680</v>
      </c>
      <c r="L112" s="95" t="s">
        <v>670</v>
      </c>
      <c r="M112" s="95" t="s">
        <v>656</v>
      </c>
      <c r="N112" s="95" t="s">
        <v>593</v>
      </c>
      <c r="O112" s="34" t="s">
        <v>683</v>
      </c>
      <c r="P112" s="37" t="str">
        <f>MID(All_PCC_a[[#This Row],[Part Number]],7,3)</f>
        <v>220</v>
      </c>
      <c r="Q112" s="129">
        <v>22</v>
      </c>
      <c r="R112" s="130" t="str">
        <f>IF(All_PCC_a[[#This Row],[Lo (uH)]]&lt;1,"&lt;1",IF(All_PCC_a[[#This Row],[Lo (uH)]]&lt;10,"&lt;10",IF(All_PCC_a[[#This Row],[Lo (uH)]]&lt;100,"&lt;100",IF(All_PCC_a[[#This Row],[Lo (uH)]]&lt;2000,"&lt;2000",""))))</f>
        <v>&lt;100</v>
      </c>
      <c r="S112" s="97" t="str">
        <f>IFERROR(VLOOKUP(All_PCC_a[[#This Row],[Lo (uH)]],Utility!$D$5:$E$43,2,1),"-")</f>
        <v>≤  30</v>
      </c>
      <c r="T112" s="250">
        <v>0.2</v>
      </c>
      <c r="U112" s="131">
        <v>113</v>
      </c>
      <c r="V112" s="125">
        <v>124.3</v>
      </c>
      <c r="W112" s="87">
        <v>10</v>
      </c>
      <c r="X112" s="130">
        <v>3.1</v>
      </c>
      <c r="Y112" s="129">
        <v>2.4</v>
      </c>
      <c r="Z112" s="251">
        <v>4.0999999999999996</v>
      </c>
      <c r="AA112" s="129">
        <v>2.9</v>
      </c>
      <c r="AB112" s="95">
        <v>6.4</v>
      </c>
      <c r="AC112" s="95">
        <v>6</v>
      </c>
      <c r="AD112" s="129">
        <v>4.8</v>
      </c>
      <c r="AE112" s="95">
        <f>ROUND(All_PCC_a[[#This Row],[L (mm)]]*All_PCC_a[[#This Row],[W (mm)]],1)</f>
        <v>38.4</v>
      </c>
      <c r="AF112" s="87" t="str">
        <f>All_PCC_a[[#This Row],[L (mm)]]&amp;"  x  "&amp;All_PCC_a[[#This Row],[W (mm)]]</f>
        <v>6.4  x  6</v>
      </c>
      <c r="AG112" s="91" t="s">
        <v>618</v>
      </c>
      <c r="AH112" s="97" t="str">
        <f>IF(All_PCC_a[[#This Row],[Max Height (mm)]]&lt;=9,"≤ "&amp;ROUNDUP(AD112,0),"≤"&amp;ROUNDUP(AD112,0))</f>
        <v>≤ 5</v>
      </c>
      <c r="AI112" s="68">
        <v>-40</v>
      </c>
      <c r="AJ112" s="68">
        <v>150</v>
      </c>
      <c r="AK112" s="68" t="str">
        <f>All_PCC_a[[#This Row],[Min Temp (deg.C)]]&amp;" to +"&amp;All_PCC_a[[#This Row],[Max Temp (deg.C)]]</f>
        <v>-40 to +150</v>
      </c>
      <c r="AL112" s="95"/>
      <c r="AM112" s="95"/>
      <c r="AN112" s="95"/>
      <c r="AO112" s="87" t="s">
        <v>138</v>
      </c>
      <c r="AP112" s="130" t="str">
        <f t="shared" si="19"/>
        <v>-</v>
      </c>
      <c r="AQ112" s="87" t="s">
        <v>138</v>
      </c>
      <c r="AR112" s="87" t="s">
        <v>138</v>
      </c>
      <c r="AS112" s="95" t="s">
        <v>979</v>
      </c>
      <c r="AT112" s="68" t="s">
        <v>657</v>
      </c>
      <c r="AU112" s="96" t="e" vm="12">
        <f>_xlfn.IMAGE(All_PCC_a[[#This Row],[Image URL]])</f>
        <v>#VALUE!</v>
      </c>
      <c r="AV112" s="95"/>
      <c r="AW112" s="95"/>
      <c r="AY112" s="68"/>
      <c r="BC112" s="96">
        <f>IF(Z112&lt;('DCDC Ref'!$J$24/'DCDC Ref'!$J$26)*'DCDC Ref'!$J$28/100,0,1)</f>
        <v>1</v>
      </c>
      <c r="BD112" s="360">
        <f>IF(BC112=1000000000,"",('All Data'!Q112-'DCDC Ref'!$J$30)/'DCDC Ref'!$J$30*100)</f>
        <v>3381.3186813186817</v>
      </c>
      <c r="BE112" s="295">
        <f t="shared" si="12"/>
        <v>3381.3186813186817</v>
      </c>
      <c r="BF112" s="295"/>
      <c r="BG112" s="360"/>
      <c r="BH112" s="361">
        <f t="shared" si="13"/>
        <v>0</v>
      </c>
      <c r="BI112" s="295"/>
      <c r="BJ112" s="96">
        <f>IF(BC112=0,"",('All Data'!Z112-'DCDC Ref'!$J$28*('DCDC Ref'!$J$29/100))/'DCDC Ref'!$J$28*('DCDC Ref'!$J$29/100)*100)</f>
        <v>-63.24137931034484</v>
      </c>
      <c r="BK112" s="361">
        <f t="shared" si="14"/>
        <v>10000</v>
      </c>
      <c r="BL112" s="361"/>
      <c r="BM112" s="361"/>
      <c r="BN112" s="361"/>
      <c r="BO112" s="361"/>
      <c r="BP112" s="96"/>
      <c r="BQ112" s="298">
        <f t="shared" si="15"/>
        <v>16956593.406593408</v>
      </c>
      <c r="BR112" s="298">
        <f>IF(BQ112="","",RANK(BQ112,BQ$11:BQ$9930,1)+COUNTIF(BQ$11:BQ112,BQ112)-1)</f>
        <v>125</v>
      </c>
      <c r="BS112" s="299">
        <f t="shared" si="18"/>
        <v>125</v>
      </c>
      <c r="BT112" s="96" t="str">
        <f>IFERROR(INDEX($O$11:$O$1013,MATCH(ROWS($BS$11:BS112),$BS$11:$BS$1005,0)),"")</f>
        <v>ETQP4M100KFN</v>
      </c>
      <c r="BU112" s="299" t="str">
        <f t="shared" si="16"/>
        <v>ETQP4M100KFN</v>
      </c>
      <c r="BV112" s="96"/>
    </row>
    <row r="113" spans="1:75">
      <c r="A113" s="95">
        <v>7</v>
      </c>
      <c r="B113" s="259" t="s">
        <v>584</v>
      </c>
      <c r="C113" s="95"/>
      <c r="D113" s="95" t="s">
        <v>585</v>
      </c>
      <c r="E113" s="109"/>
      <c r="F113" s="68" t="s">
        <v>153</v>
      </c>
      <c r="G113" s="69" t="s">
        <v>586</v>
      </c>
      <c r="H113" s="68" t="s">
        <v>587</v>
      </c>
      <c r="I113" s="69" t="s">
        <v>588</v>
      </c>
      <c r="J113" s="68" t="s">
        <v>589</v>
      </c>
      <c r="K113" s="68" t="s">
        <v>590</v>
      </c>
      <c r="L113" s="68" t="s">
        <v>645</v>
      </c>
      <c r="M113" s="68" t="s">
        <v>653</v>
      </c>
      <c r="N113" s="68" t="s">
        <v>593</v>
      </c>
      <c r="O113" s="34" t="s">
        <v>118</v>
      </c>
      <c r="P113" s="37" t="str">
        <f>MID(All_PCC_a[[#This Row],[Part Number]],7,3)</f>
        <v>330</v>
      </c>
      <c r="Q113" s="87">
        <v>33</v>
      </c>
      <c r="R113" s="87" t="str">
        <f>IF(All_PCC_a[[#This Row],[Lo (uH)]]&lt;1,"&lt;1",IF(All_PCC_a[[#This Row],[Lo (uH)]]&lt;10,"&lt;10",IF(All_PCC_a[[#This Row],[Lo (uH)]]&lt;100,"&lt;100",IF(All_PCC_a[[#This Row],[Lo (uH)]]&lt;2000,"&lt;2000",""))))</f>
        <v>&lt;100</v>
      </c>
      <c r="S113" s="87" t="str">
        <f>IFERROR(VLOOKUP(All_PCC_a[[#This Row],[Lo (uH)]],Utility!$D$5:$E$43,2,1),"-")</f>
        <v>≤  40</v>
      </c>
      <c r="T113" s="88">
        <v>0.2</v>
      </c>
      <c r="U113" s="125">
        <v>172</v>
      </c>
      <c r="V113" s="125">
        <v>189.2</v>
      </c>
      <c r="W113" s="87">
        <v>10</v>
      </c>
      <c r="X113" s="87">
        <v>2.5</v>
      </c>
      <c r="Y113" s="87">
        <v>2</v>
      </c>
      <c r="Z113" s="117">
        <v>4.0999999999999996</v>
      </c>
      <c r="AA113" s="87">
        <v>2.98</v>
      </c>
      <c r="AB113" s="68">
        <v>6.5</v>
      </c>
      <c r="AC113" s="68">
        <v>6</v>
      </c>
      <c r="AD113" s="87">
        <v>4.5</v>
      </c>
      <c r="AE113" s="68">
        <f>ROUND(All_PCC_a[[#This Row],[L (mm)]]*All_PCC_a[[#This Row],[W (mm)]],1)</f>
        <v>39</v>
      </c>
      <c r="AF113" s="87" t="str">
        <f>All_PCC_a[[#This Row],[L (mm)]]&amp;"  x  "&amp;All_PCC_a[[#This Row],[W (mm)]]</f>
        <v>6.5  x  6</v>
      </c>
      <c r="AG113" s="91" t="s">
        <v>618</v>
      </c>
      <c r="AH113" s="97" t="str">
        <f>IF(All_PCC_a[[#This Row],[Max Height (mm)]]&lt;=9,"≤ "&amp;ROUNDUP(AD113,0),"≤"&amp;ROUNDUP(AD113,0))</f>
        <v>≤ 5</v>
      </c>
      <c r="AI113" s="68">
        <v>-40</v>
      </c>
      <c r="AJ113" s="68">
        <v>150</v>
      </c>
      <c r="AK113" s="68" t="str">
        <f>All_PCC_a[[#This Row],[Min Temp (deg.C)]]&amp;" to +"&amp;All_PCC_a[[#This Row],[Max Temp (deg.C)]]</f>
        <v>-40 to +150</v>
      </c>
      <c r="AL113" s="68"/>
      <c r="AO113" s="87" t="s">
        <v>138</v>
      </c>
      <c r="AP113" s="97" t="str">
        <f t="shared" si="19"/>
        <v>-</v>
      </c>
      <c r="AQ113" s="87" t="s">
        <v>138</v>
      </c>
      <c r="AR113" s="87" t="s">
        <v>138</v>
      </c>
      <c r="AS113" s="68" t="s">
        <v>980</v>
      </c>
      <c r="AT113" s="68" t="s">
        <v>594</v>
      </c>
      <c r="AU113" s="96" t="e" vm="7">
        <f>_xlfn.IMAGE(All_PCC_a[[#This Row],[Image URL]])</f>
        <v>#VALUE!</v>
      </c>
      <c r="AV113" s="95"/>
      <c r="AW113" s="95"/>
      <c r="AY113" s="68"/>
      <c r="BC113" s="96">
        <f>IF(Z113&lt;('DCDC Ref'!$J$24/'DCDC Ref'!$J$26)*'DCDC Ref'!$J$28/100,0,1)</f>
        <v>1</v>
      </c>
      <c r="BD113" s="360">
        <f>IF(BC113=1000000000,"",('All Data'!Q113-'DCDC Ref'!$J$30)/'DCDC Ref'!$J$30*100)</f>
        <v>5121.9780219780223</v>
      </c>
      <c r="BE113" s="295">
        <f t="shared" si="12"/>
        <v>5121.9780219780223</v>
      </c>
      <c r="BF113" s="295"/>
      <c r="BG113" s="360"/>
      <c r="BH113" s="361">
        <f t="shared" si="13"/>
        <v>0</v>
      </c>
      <c r="BI113" s="295"/>
      <c r="BJ113" s="96">
        <f>IF(BC113=0,"",('All Data'!Z113-'DCDC Ref'!$J$28*('DCDC Ref'!$J$29/100))/'DCDC Ref'!$J$28*('DCDC Ref'!$J$29/100)*100)</f>
        <v>-63.24137931034484</v>
      </c>
      <c r="BK113" s="361">
        <f t="shared" si="14"/>
        <v>10000</v>
      </c>
      <c r="BL113" s="361"/>
      <c r="BM113" s="361"/>
      <c r="BN113" s="361"/>
      <c r="BO113" s="361"/>
      <c r="BP113" s="96"/>
      <c r="BQ113" s="298">
        <f t="shared" si="15"/>
        <v>25659890.109890111</v>
      </c>
      <c r="BR113" s="298">
        <f>IF(BQ113="","",RANK(BQ113,BQ$11:BQ$9930,1)+COUNTIF(BQ$11:BQ113,BQ113)-1)</f>
        <v>127</v>
      </c>
      <c r="BS113" s="299">
        <f t="shared" si="18"/>
        <v>127</v>
      </c>
      <c r="BT113" s="96" t="str">
        <f>IFERROR(INDEX($O$11:$O$1013,MATCH(ROWS($BS$11:BS113),$BS$11:$BS$1005,0)),"")</f>
        <v>ETQP4M100KFM</v>
      </c>
      <c r="BU113" s="299" t="str">
        <f t="shared" si="16"/>
        <v>ETQP4M100KFM</v>
      </c>
      <c r="BV113" s="96"/>
    </row>
    <row r="114" spans="1:75" ht="15">
      <c r="A114" s="95">
        <v>20</v>
      </c>
      <c r="B114" s="259" t="s">
        <v>584</v>
      </c>
      <c r="C114" s="95"/>
      <c r="D114" s="95" t="s">
        <v>585</v>
      </c>
      <c r="E114" s="110"/>
      <c r="F114" s="68" t="s">
        <v>153</v>
      </c>
      <c r="G114" s="154" t="s">
        <v>586</v>
      </c>
      <c r="H114" s="96" t="s">
        <v>587</v>
      </c>
      <c r="I114" s="154" t="s">
        <v>588</v>
      </c>
      <c r="J114" s="96" t="s">
        <v>589</v>
      </c>
      <c r="K114" s="96" t="s">
        <v>590</v>
      </c>
      <c r="L114" s="68" t="s">
        <v>631</v>
      </c>
      <c r="M114" s="68" t="s">
        <v>632</v>
      </c>
      <c r="N114" s="96" t="s">
        <v>22</v>
      </c>
      <c r="O114" s="34" t="s">
        <v>119</v>
      </c>
      <c r="P114" s="37" t="str">
        <f>MID(All_PCC_a[[#This Row],[Part Number]],7,3)</f>
        <v>330</v>
      </c>
      <c r="Q114" s="97">
        <v>33</v>
      </c>
      <c r="R114" s="87" t="str">
        <f>IF(All_PCC_a[[#This Row],[Lo (uH)]]&lt;1,"&lt;1",IF(All_PCC_a[[#This Row],[Lo (uH)]]&lt;10,"&lt;10",IF(All_PCC_a[[#This Row],[Lo (uH)]]&lt;100,"&lt;100",IF(All_PCC_a[[#This Row],[Lo (uH)]]&lt;2000,"&lt;2000",""))))</f>
        <v>&lt;100</v>
      </c>
      <c r="S114" s="87" t="str">
        <f>IFERROR(VLOOKUP(All_PCC_a[[#This Row],[Lo (uH)]],Utility!$D$5:$E$43,2,1),"-")</f>
        <v>≤  40</v>
      </c>
      <c r="T114" s="98">
        <v>0.2</v>
      </c>
      <c r="U114" s="127">
        <v>68.5</v>
      </c>
      <c r="V114" s="127">
        <v>75.400000000000006</v>
      </c>
      <c r="W114" s="97">
        <v>10</v>
      </c>
      <c r="X114" s="87">
        <v>5</v>
      </c>
      <c r="Y114" s="97">
        <v>4.2</v>
      </c>
      <c r="Z114" s="118">
        <v>7.6</v>
      </c>
      <c r="AA114" s="87">
        <v>5.48</v>
      </c>
      <c r="AB114" s="96">
        <v>10.7</v>
      </c>
      <c r="AC114" s="96">
        <v>10</v>
      </c>
      <c r="AD114" s="97">
        <v>5.4</v>
      </c>
      <c r="AE114" s="96">
        <f>ROUND(All_PCC_a[[#This Row],[L (mm)]]*All_PCC_a[[#This Row],[W (mm)]],1)</f>
        <v>107</v>
      </c>
      <c r="AF114" s="87" t="str">
        <f>All_PCC_a[[#This Row],[L (mm)]]&amp;"  x  "&amp;All_PCC_a[[#This Row],[W (mm)]]</f>
        <v>10.7  x  10</v>
      </c>
      <c r="AG114" s="99" t="s">
        <v>324</v>
      </c>
      <c r="AH114" s="97" t="str">
        <f>IF(All_PCC_a[[#This Row],[Max Height (mm)]]&lt;=9,"≤ "&amp;ROUNDUP(AD114,0),"≤"&amp;ROUNDUP(AD114,0))</f>
        <v>≤ 6</v>
      </c>
      <c r="AI114" s="100">
        <v>-40</v>
      </c>
      <c r="AJ114" s="100">
        <v>150</v>
      </c>
      <c r="AK114" s="68" t="str">
        <f>All_PCC_a[[#This Row],[Min Temp (deg.C)]]&amp;" to +"&amp;All_PCC_a[[#This Row],[Max Temp (deg.C)]]</f>
        <v>-40 to +150</v>
      </c>
      <c r="AL114" s="96"/>
      <c r="AM114" s="96"/>
      <c r="AN114" s="96"/>
      <c r="AO114" s="97" t="s">
        <v>124</v>
      </c>
      <c r="AP114" s="97" t="str">
        <f t="shared" si="19"/>
        <v>-</v>
      </c>
      <c r="AQ114" s="97" t="s">
        <v>138</v>
      </c>
      <c r="AR114" s="87" t="s">
        <v>138</v>
      </c>
      <c r="AS114" s="68" t="s">
        <v>981</v>
      </c>
      <c r="AT114" s="96" t="s">
        <v>594</v>
      </c>
      <c r="AU114" s="96" t="e" vm="7">
        <f>_xlfn.IMAGE(All_PCC_a[[#This Row],[Image URL]])</f>
        <v>#VALUE!</v>
      </c>
      <c r="AV114" s="96"/>
      <c r="AW114" s="96"/>
      <c r="AY114" s="68"/>
      <c r="BC114" s="96">
        <f>IF(Z114&lt;('DCDC Ref'!$J$24/'DCDC Ref'!$J$26)*'DCDC Ref'!$J$28/100,0,1)</f>
        <v>1</v>
      </c>
      <c r="BD114" s="360">
        <f>IF(BC114=1000000000,"",('All Data'!Q114-'DCDC Ref'!$J$30)/'DCDC Ref'!$J$30*100)</f>
        <v>5121.9780219780223</v>
      </c>
      <c r="BE114" s="295">
        <f t="shared" si="12"/>
        <v>5121.9780219780223</v>
      </c>
      <c r="BF114" s="295"/>
      <c r="BG114" s="360"/>
      <c r="BH114" s="361">
        <f t="shared" si="13"/>
        <v>0</v>
      </c>
      <c r="BI114" s="295"/>
      <c r="BJ114" s="96">
        <f>IF(BC114=0,"",('All Data'!Z114-'DCDC Ref'!$J$28*('DCDC Ref'!$J$29/100))/'DCDC Ref'!$J$28*('DCDC Ref'!$J$29/100)*100)</f>
        <v>-31.862068965517253</v>
      </c>
      <c r="BK114" s="361">
        <f t="shared" si="14"/>
        <v>10000</v>
      </c>
      <c r="BL114" s="361"/>
      <c r="BM114" s="361"/>
      <c r="BN114" s="361"/>
      <c r="BO114" s="361"/>
      <c r="BP114" s="96"/>
      <c r="BQ114" s="298">
        <f t="shared" si="15"/>
        <v>25659890.109890111</v>
      </c>
      <c r="BR114" s="298">
        <f>IF(BQ114="","",RANK(BQ114,BQ$11:BQ$9930,1)+COUNTIF(BQ$11:BQ114,BQ114)-1)</f>
        <v>128</v>
      </c>
      <c r="BS114" s="299">
        <f t="shared" si="18"/>
        <v>128</v>
      </c>
      <c r="BT114" s="96" t="str">
        <f>IFERROR(INDEX($O$11:$O$1013,MATCH(ROWS($BS$11:BS114),$BS$11:$BS$1005,0)),"")</f>
        <v>ETQP5M100GAK</v>
      </c>
      <c r="BU114" s="299" t="str">
        <f t="shared" si="16"/>
        <v>ETQP5M100GAK</v>
      </c>
      <c r="BV114" s="96"/>
    </row>
    <row r="115" spans="1:75" ht="15">
      <c r="A115" s="95">
        <v>34</v>
      </c>
      <c r="B115" s="259" t="s">
        <v>584</v>
      </c>
      <c r="C115" s="95"/>
      <c r="D115" s="95" t="s">
        <v>585</v>
      </c>
      <c r="E115" s="110"/>
      <c r="F115" s="68" t="s">
        <v>153</v>
      </c>
      <c r="G115" s="154" t="s">
        <v>586</v>
      </c>
      <c r="H115" s="96" t="s">
        <v>587</v>
      </c>
      <c r="I115" s="154" t="s">
        <v>588</v>
      </c>
      <c r="J115" s="96" t="s">
        <v>589</v>
      </c>
      <c r="K115" s="96" t="s">
        <v>590</v>
      </c>
      <c r="L115" s="96" t="s">
        <v>658</v>
      </c>
      <c r="M115" s="96" t="s">
        <v>669</v>
      </c>
      <c r="N115" s="96" t="s">
        <v>22</v>
      </c>
      <c r="O115" s="34" t="s">
        <v>122</v>
      </c>
      <c r="P115" s="37" t="str">
        <f>MID(All_PCC_a[[#This Row],[Part Number]],7,3)</f>
        <v>330</v>
      </c>
      <c r="Q115" s="97">
        <v>33</v>
      </c>
      <c r="R115" s="87" t="str">
        <f>IF(All_PCC_a[[#This Row],[Lo (uH)]]&lt;1,"&lt;1",IF(All_PCC_a[[#This Row],[Lo (uH)]]&lt;10,"&lt;10",IF(All_PCC_a[[#This Row],[Lo (uH)]]&lt;100,"&lt;100",IF(All_PCC_a[[#This Row],[Lo (uH)]]&lt;2000,"&lt;2000",""))))</f>
        <v>&lt;100</v>
      </c>
      <c r="S115" s="87" t="str">
        <f>IFERROR(VLOOKUP(All_PCC_a[[#This Row],[Lo (uH)]],Utility!$D$5:$E$43,2,1),"-")</f>
        <v>≤  40</v>
      </c>
      <c r="T115" s="98">
        <v>0.2</v>
      </c>
      <c r="U115" s="127">
        <v>120</v>
      </c>
      <c r="V115" s="127">
        <v>132</v>
      </c>
      <c r="W115" s="97">
        <v>10</v>
      </c>
      <c r="X115" s="87">
        <v>3.3</v>
      </c>
      <c r="Y115" s="97">
        <v>2.6</v>
      </c>
      <c r="Z115" s="118">
        <v>4.8</v>
      </c>
      <c r="AA115" s="87">
        <v>3.4</v>
      </c>
      <c r="AB115" s="96">
        <v>7.5</v>
      </c>
      <c r="AC115" s="96">
        <v>7</v>
      </c>
      <c r="AD115" s="97">
        <v>5.4</v>
      </c>
      <c r="AE115" s="96">
        <f>ROUND(All_PCC_a[[#This Row],[L (mm)]]*All_PCC_a[[#This Row],[W (mm)]],1)</f>
        <v>52.5</v>
      </c>
      <c r="AF115" s="87" t="str">
        <f>All_PCC_a[[#This Row],[L (mm)]]&amp;"  x  "&amp;All_PCC_a[[#This Row],[W (mm)]]</f>
        <v>7.5  x  7</v>
      </c>
      <c r="AG115" s="319" t="s">
        <v>661</v>
      </c>
      <c r="AH115" s="97" t="str">
        <f>IF(All_PCC_a[[#This Row],[Max Height (mm)]]&lt;=9,"≤ "&amp;ROUNDUP(AD115,0),"≤"&amp;ROUNDUP(AD115,0))</f>
        <v>≤ 6</v>
      </c>
      <c r="AI115" s="100">
        <v>-40</v>
      </c>
      <c r="AJ115" s="100">
        <v>150</v>
      </c>
      <c r="AK115" s="68" t="str">
        <f>All_PCC_a[[#This Row],[Min Temp (deg.C)]]&amp;" to +"&amp;All_PCC_a[[#This Row],[Max Temp (deg.C)]]</f>
        <v>-40 to +150</v>
      </c>
      <c r="AL115" s="96"/>
      <c r="AM115" s="96"/>
      <c r="AN115" s="96"/>
      <c r="AO115" s="97" t="s">
        <v>124</v>
      </c>
      <c r="AP115" s="97" t="str">
        <f t="shared" si="19"/>
        <v>-</v>
      </c>
      <c r="AQ115" s="97" t="s">
        <v>138</v>
      </c>
      <c r="AR115" s="87" t="s">
        <v>138</v>
      </c>
      <c r="AS115" s="68" t="s">
        <v>982</v>
      </c>
      <c r="AT115" s="96" t="s">
        <v>594</v>
      </c>
      <c r="AU115" s="96" t="e" vm="7">
        <f>_xlfn.IMAGE(All_PCC_a[[#This Row],[Image URL]])</f>
        <v>#VALUE!</v>
      </c>
      <c r="AV115" s="96"/>
      <c r="AW115" s="96"/>
      <c r="AY115" s="68"/>
      <c r="BC115" s="96">
        <f>IF(Z115&lt;('DCDC Ref'!$J$24/'DCDC Ref'!$J$26)*'DCDC Ref'!$J$28/100,0,1)</f>
        <v>1</v>
      </c>
      <c r="BD115" s="360">
        <f>IF(BC115=1000000000,"",('All Data'!Q115-'DCDC Ref'!$J$30)/'DCDC Ref'!$J$30*100)</f>
        <v>5121.9780219780223</v>
      </c>
      <c r="BE115" s="295">
        <f t="shared" si="12"/>
        <v>5121.9780219780223</v>
      </c>
      <c r="BF115" s="295"/>
      <c r="BG115" s="360"/>
      <c r="BH115" s="361">
        <f t="shared" si="13"/>
        <v>0</v>
      </c>
      <c r="BI115" s="295"/>
      <c r="BJ115" s="96">
        <f>IF(BC115=0,"",('All Data'!Z115-'DCDC Ref'!$J$28*('DCDC Ref'!$J$29/100))/'DCDC Ref'!$J$28*('DCDC Ref'!$J$29/100)*100)</f>
        <v>-56.965517241379317</v>
      </c>
      <c r="BK115" s="361">
        <f t="shared" si="14"/>
        <v>10000</v>
      </c>
      <c r="BL115" s="361"/>
      <c r="BM115" s="361"/>
      <c r="BN115" s="361"/>
      <c r="BO115" s="361"/>
      <c r="BP115" s="96"/>
      <c r="BQ115" s="298">
        <f t="shared" si="15"/>
        <v>25659890.109890111</v>
      </c>
      <c r="BR115" s="298">
        <f>IF(BQ115="","",RANK(BQ115,BQ$11:BQ$9930,1)+COUNTIF(BQ$11:BQ115,BQ115)-1)</f>
        <v>129</v>
      </c>
      <c r="BS115" s="299">
        <f t="shared" si="18"/>
        <v>129</v>
      </c>
      <c r="BT115" s="96" t="str">
        <f>IFERROR(INDEX($O$11:$O$1013,MATCH(ROWS($BS$11:BS115),$BS$11:$BS$1005,0)),"")</f>
        <v>ETQP4M100YFP</v>
      </c>
      <c r="BU115" s="299" t="str">
        <f t="shared" si="16"/>
        <v>ETQP4M100YFP</v>
      </c>
      <c r="BV115" s="96"/>
    </row>
    <row r="116" spans="1:75" s="132" customFormat="1" ht="15">
      <c r="A116" s="95">
        <v>60</v>
      </c>
      <c r="B116" s="259" t="s">
        <v>584</v>
      </c>
      <c r="C116" s="95"/>
      <c r="D116" s="95" t="s">
        <v>585</v>
      </c>
      <c r="E116" s="109"/>
      <c r="F116" s="68" t="s">
        <v>153</v>
      </c>
      <c r="G116" s="69" t="s">
        <v>586</v>
      </c>
      <c r="H116" s="68" t="s">
        <v>587</v>
      </c>
      <c r="I116" s="69" t="s">
        <v>588</v>
      </c>
      <c r="J116" s="68" t="s">
        <v>589</v>
      </c>
      <c r="K116" s="68" t="s">
        <v>601</v>
      </c>
      <c r="L116" s="68" t="s">
        <v>620</v>
      </c>
      <c r="M116" s="68" t="s">
        <v>621</v>
      </c>
      <c r="N116" s="68" t="s">
        <v>593</v>
      </c>
      <c r="O116" s="34" t="s">
        <v>121</v>
      </c>
      <c r="P116" s="37" t="str">
        <f>MID(All_PCC_a[[#This Row],[Part Number]],7,3)</f>
        <v>330</v>
      </c>
      <c r="Q116" s="87">
        <v>33</v>
      </c>
      <c r="R116" s="87" t="str">
        <f>IF(All_PCC_a[[#This Row],[Lo (uH)]]&lt;1,"&lt;1",IF(All_PCC_a[[#This Row],[Lo (uH)]]&lt;10,"&lt;10",IF(All_PCC_a[[#This Row],[Lo (uH)]]&lt;100,"&lt;100",IF(All_PCC_a[[#This Row],[Lo (uH)]]&lt;2000,"&lt;2000",""))))</f>
        <v>&lt;100</v>
      </c>
      <c r="S116" s="87" t="str">
        <f>IFERROR(VLOOKUP(All_PCC_a[[#This Row],[Lo (uH)]],Utility!$D$5:$E$43,2,1),"-")</f>
        <v>≤  40</v>
      </c>
      <c r="T116" s="88">
        <v>0.2</v>
      </c>
      <c r="U116" s="126">
        <v>206</v>
      </c>
      <c r="V116" s="126">
        <v>226.6</v>
      </c>
      <c r="W116" s="87">
        <v>10</v>
      </c>
      <c r="X116" s="87">
        <v>2.1</v>
      </c>
      <c r="Y116" s="87">
        <v>1.7</v>
      </c>
      <c r="Z116" s="117">
        <v>3</v>
      </c>
      <c r="AA116" s="87">
        <v>2.1</v>
      </c>
      <c r="AB116" s="68">
        <v>6.4</v>
      </c>
      <c r="AC116" s="68">
        <v>6</v>
      </c>
      <c r="AD116" s="87">
        <v>3</v>
      </c>
      <c r="AE116" s="68">
        <f>ROUND(All_PCC_a[[#This Row],[L (mm)]]*All_PCC_a[[#This Row],[W (mm)]],1)</f>
        <v>38.4</v>
      </c>
      <c r="AF116" s="87" t="str">
        <f>All_PCC_a[[#This Row],[L (mm)]]&amp;"  x  "&amp;All_PCC_a[[#This Row],[W (mm)]]</f>
        <v>6.4  x  6</v>
      </c>
      <c r="AG116" s="91" t="s">
        <v>618</v>
      </c>
      <c r="AH116" s="97" t="str">
        <f>IF(All_PCC_a[[#This Row],[Max Height (mm)]]&lt;=9,"≤ "&amp;ROUNDUP(AD116,0),"≤"&amp;ROUNDUP(AD116,0))</f>
        <v>≤ 3</v>
      </c>
      <c r="AI116" s="68">
        <v>-55</v>
      </c>
      <c r="AJ116" s="68">
        <v>155</v>
      </c>
      <c r="AK116" s="68" t="str">
        <f>All_PCC_a[[#This Row],[Min Temp (deg.C)]]&amp;" to +"&amp;All_PCC_a[[#This Row],[Max Temp (deg.C)]]</f>
        <v>-55 to +155</v>
      </c>
      <c r="AL116" s="68"/>
      <c r="AM116" s="68"/>
      <c r="AN116" s="68"/>
      <c r="AO116" s="87" t="s">
        <v>138</v>
      </c>
      <c r="AP116" s="97" t="str">
        <f t="shared" si="19"/>
        <v>-</v>
      </c>
      <c r="AQ116" s="87" t="s">
        <v>138</v>
      </c>
      <c r="AR116" s="87" t="s">
        <v>138</v>
      </c>
      <c r="AS116" s="68" t="s">
        <v>983</v>
      </c>
      <c r="AT116" s="95" t="s">
        <v>606</v>
      </c>
      <c r="AU116" s="96" t="e" vm="9">
        <f>_xlfn.IMAGE(All_PCC_a[[#This Row],[Image URL]])</f>
        <v>#VALUE!</v>
      </c>
      <c r="AV116" s="95"/>
      <c r="AW116" s="95"/>
      <c r="BC116" s="96">
        <f>IF(Z116&lt;('DCDC Ref'!$J$24/'DCDC Ref'!$J$26)*'DCDC Ref'!$J$28/100,0,1)</f>
        <v>1</v>
      </c>
      <c r="BD116" s="360">
        <f>IF(BC116=1000000000,"",('All Data'!Q116-'DCDC Ref'!$J$30)/'DCDC Ref'!$J$30*100)</f>
        <v>5121.9780219780223</v>
      </c>
      <c r="BE116" s="295">
        <f t="shared" si="12"/>
        <v>5121.9780219780223</v>
      </c>
      <c r="BF116" s="295"/>
      <c r="BG116" s="360"/>
      <c r="BH116" s="361">
        <f t="shared" si="13"/>
        <v>0</v>
      </c>
      <c r="BI116" s="295"/>
      <c r="BJ116" s="96">
        <f>IF(BC116=0,"",('All Data'!Z116-'DCDC Ref'!$J$28*('DCDC Ref'!$J$29/100))/'DCDC Ref'!$J$28*('DCDC Ref'!$J$29/100)*100)</f>
        <v>-73.103448275862064</v>
      </c>
      <c r="BK116" s="361">
        <f t="shared" si="14"/>
        <v>10000</v>
      </c>
      <c r="BL116" s="361"/>
      <c r="BM116" s="361"/>
      <c r="BN116" s="361"/>
      <c r="BO116" s="361"/>
      <c r="BP116" s="96"/>
      <c r="BQ116" s="298">
        <f t="shared" si="15"/>
        <v>25659890.109890111</v>
      </c>
      <c r="BR116" s="298">
        <f>IF(BQ116="","",RANK(BQ116,BQ$11:BQ$9930,1)+COUNTIF(BQ$11:BQ116,BQ116)-1)</f>
        <v>130</v>
      </c>
      <c r="BS116" s="299">
        <f t="shared" si="18"/>
        <v>130</v>
      </c>
      <c r="BT116" s="96" t="str">
        <f>IFERROR(INDEX($O$11:$O$1013,MATCH(ROWS($BS$11:BS116),$BS$11:$BS$1005,0)),"")</f>
        <v>ETQP6M150KLC</v>
      </c>
      <c r="BU116" s="299" t="str">
        <f t="shared" si="16"/>
        <v>ETQP6M150KLC</v>
      </c>
      <c r="BV116" s="96"/>
      <c r="BW116" s="68"/>
    </row>
    <row r="117" spans="1:75" s="132" customFormat="1" ht="15">
      <c r="A117" s="95">
        <v>71</v>
      </c>
      <c r="B117" s="259" t="s">
        <v>584</v>
      </c>
      <c r="C117" s="95"/>
      <c r="D117" s="95" t="s">
        <v>585</v>
      </c>
      <c r="E117" s="109"/>
      <c r="F117" s="68" t="s">
        <v>153</v>
      </c>
      <c r="G117" s="69" t="s">
        <v>586</v>
      </c>
      <c r="H117" s="68" t="s">
        <v>587</v>
      </c>
      <c r="I117" s="69" t="s">
        <v>588</v>
      </c>
      <c r="J117" s="68" t="s">
        <v>589</v>
      </c>
      <c r="K117" s="68" t="s">
        <v>601</v>
      </c>
      <c r="L117" s="68" t="s">
        <v>622</v>
      </c>
      <c r="M117" s="68" t="s">
        <v>623</v>
      </c>
      <c r="N117" s="68" t="s">
        <v>593</v>
      </c>
      <c r="O117" s="34" t="s">
        <v>123</v>
      </c>
      <c r="P117" s="37" t="str">
        <f>MID(All_PCC_a[[#This Row],[Part Number]],7,3)</f>
        <v>330</v>
      </c>
      <c r="Q117" s="87">
        <v>33</v>
      </c>
      <c r="R117" s="87" t="str">
        <f>IF(All_PCC_a[[#This Row],[Lo (uH)]]&lt;1,"&lt;1",IF(All_PCC_a[[#This Row],[Lo (uH)]]&lt;10,"&lt;10",IF(All_PCC_a[[#This Row],[Lo (uH)]]&lt;100,"&lt;100",IF(All_PCC_a[[#This Row],[Lo (uH)]]&lt;2000,"&lt;2000",""))))</f>
        <v>&lt;100</v>
      </c>
      <c r="S117" s="87" t="str">
        <f>IFERROR(VLOOKUP(All_PCC_a[[#This Row],[Lo (uH)]],Utility!$D$5:$E$43,2,1),"-")</f>
        <v>≤  40</v>
      </c>
      <c r="T117" s="88">
        <v>0.2</v>
      </c>
      <c r="U117" s="126">
        <v>118</v>
      </c>
      <c r="V117" s="126">
        <v>129.80000000000001</v>
      </c>
      <c r="W117" s="87">
        <v>10</v>
      </c>
      <c r="X117" s="87">
        <v>3.1</v>
      </c>
      <c r="Y117" s="87">
        <v>2.6</v>
      </c>
      <c r="Z117" s="117">
        <v>4.7</v>
      </c>
      <c r="AA117" s="87">
        <v>3.74</v>
      </c>
      <c r="AB117" s="68">
        <v>8.4</v>
      </c>
      <c r="AC117" s="68">
        <v>8</v>
      </c>
      <c r="AD117" s="87">
        <v>4</v>
      </c>
      <c r="AE117" s="68">
        <f>ROUND(All_PCC_a[[#This Row],[L (mm)]]*All_PCC_a[[#This Row],[W (mm)]],1)</f>
        <v>67.2</v>
      </c>
      <c r="AF117" s="87" t="str">
        <f>All_PCC_a[[#This Row],[L (mm)]]&amp;"  x  "&amp;All_PCC_a[[#This Row],[W (mm)]]</f>
        <v>8.4  x  8</v>
      </c>
      <c r="AG117" s="99" t="s">
        <v>624</v>
      </c>
      <c r="AH117" s="97" t="str">
        <f>IF(All_PCC_a[[#This Row],[Max Height (mm)]]&lt;=9,"≤ "&amp;ROUNDUP(AD117,0),"≤"&amp;ROUNDUP(AD117,0))</f>
        <v>≤ 4</v>
      </c>
      <c r="AI117" s="68">
        <v>-55</v>
      </c>
      <c r="AJ117" s="68">
        <v>155</v>
      </c>
      <c r="AK117" s="68" t="str">
        <f>All_PCC_a[[#This Row],[Min Temp (deg.C)]]&amp;" to +"&amp;All_PCC_a[[#This Row],[Max Temp (deg.C)]]</f>
        <v>-55 to +155</v>
      </c>
      <c r="AL117" s="68"/>
      <c r="AM117" s="68"/>
      <c r="AN117" s="68"/>
      <c r="AO117" s="87" t="s">
        <v>138</v>
      </c>
      <c r="AP117" s="97" t="str">
        <f t="shared" si="19"/>
        <v>-</v>
      </c>
      <c r="AQ117" s="87" t="s">
        <v>138</v>
      </c>
      <c r="AR117" s="87" t="s">
        <v>138</v>
      </c>
      <c r="AS117" s="68" t="s">
        <v>984</v>
      </c>
      <c r="AT117" s="95" t="s">
        <v>606</v>
      </c>
      <c r="AU117" s="96" t="e" vm="9">
        <f>_xlfn.IMAGE(All_PCC_a[[#This Row],[Image URL]])</f>
        <v>#VALUE!</v>
      </c>
      <c r="AV117" s="68"/>
      <c r="AW117" s="68"/>
      <c r="BC117" s="96">
        <f>IF(Z117&lt;('DCDC Ref'!$J$24/'DCDC Ref'!$J$26)*'DCDC Ref'!$J$28/100,0,1)</f>
        <v>1</v>
      </c>
      <c r="BD117" s="360">
        <f>IF(BC117=1000000000,"",('All Data'!Q117-'DCDC Ref'!$J$30)/'DCDC Ref'!$J$30*100)</f>
        <v>5121.9780219780223</v>
      </c>
      <c r="BE117" s="295">
        <f t="shared" si="12"/>
        <v>5121.9780219780223</v>
      </c>
      <c r="BF117" s="295"/>
      <c r="BG117" s="360"/>
      <c r="BH117" s="361">
        <f t="shared" si="13"/>
        <v>0</v>
      </c>
      <c r="BI117" s="295"/>
      <c r="BJ117" s="96">
        <f>IF(BC117=0,"",('All Data'!Z117-'DCDC Ref'!$J$28*('DCDC Ref'!$J$29/100))/'DCDC Ref'!$J$28*('DCDC Ref'!$J$29/100)*100)</f>
        <v>-57.862068965517246</v>
      </c>
      <c r="BK117" s="361">
        <f t="shared" si="14"/>
        <v>10000</v>
      </c>
      <c r="BL117" s="361"/>
      <c r="BM117" s="361"/>
      <c r="BN117" s="361"/>
      <c r="BO117" s="361"/>
      <c r="BP117" s="96"/>
      <c r="BQ117" s="298">
        <f t="shared" si="15"/>
        <v>25659890.109890111</v>
      </c>
      <c r="BR117" s="298">
        <f>IF(BQ117="","",RANK(BQ117,BQ$11:BQ$9930,1)+COUNTIF(BQ$11:BQ117,BQ117)-1)</f>
        <v>131</v>
      </c>
      <c r="BS117" s="299">
        <f t="shared" si="18"/>
        <v>131</v>
      </c>
      <c r="BT117" s="96" t="str">
        <f>IFERROR(INDEX($O$11:$O$1013,MATCH(ROWS($BS$11:BS117),$BS$11:$BS$1005,0)),"")</f>
        <v>ETQP5M150YFC</v>
      </c>
      <c r="BU117" s="299" t="str">
        <f t="shared" si="16"/>
        <v>ETQP5M150YFC</v>
      </c>
      <c r="BV117" s="96"/>
      <c r="BW117" s="68"/>
    </row>
    <row r="118" spans="1:75" s="132" customFormat="1" ht="15">
      <c r="A118" s="95">
        <v>83</v>
      </c>
      <c r="B118" s="259" t="s">
        <v>584</v>
      </c>
      <c r="C118" s="95"/>
      <c r="D118" s="95" t="s">
        <v>585</v>
      </c>
      <c r="E118" s="109"/>
      <c r="F118" s="68" t="s">
        <v>153</v>
      </c>
      <c r="G118" s="69" t="s">
        <v>586</v>
      </c>
      <c r="H118" s="68" t="s">
        <v>587</v>
      </c>
      <c r="I118" s="69" t="s">
        <v>588</v>
      </c>
      <c r="J118" s="68" t="s">
        <v>589</v>
      </c>
      <c r="K118" s="68" t="s">
        <v>601</v>
      </c>
      <c r="L118" s="68" t="s">
        <v>629</v>
      </c>
      <c r="M118" s="68" t="s">
        <v>630</v>
      </c>
      <c r="N118" s="68" t="s">
        <v>593</v>
      </c>
      <c r="O118" s="34" t="s">
        <v>120</v>
      </c>
      <c r="P118" s="37" t="str">
        <f>MID(All_PCC_a[[#This Row],[Part Number]],7,3)</f>
        <v>330</v>
      </c>
      <c r="Q118" s="87">
        <v>33</v>
      </c>
      <c r="R118" s="87" t="str">
        <f>IF(All_PCC_a[[#This Row],[Lo (uH)]]&lt;1,"&lt;1",IF(All_PCC_a[[#This Row],[Lo (uH)]]&lt;10,"&lt;10",IF(All_PCC_a[[#This Row],[Lo (uH)]]&lt;100,"&lt;100",IF(All_PCC_a[[#This Row],[Lo (uH)]]&lt;2000,"&lt;2000",""))))</f>
        <v>&lt;100</v>
      </c>
      <c r="S118" s="87" t="str">
        <f>IFERROR(VLOOKUP(All_PCC_a[[#This Row],[Lo (uH)]],Utility!$D$5:$E$43,2,1),"-")</f>
        <v>≤  40</v>
      </c>
      <c r="T118" s="88">
        <v>0.2</v>
      </c>
      <c r="U118" s="126">
        <v>84.6</v>
      </c>
      <c r="V118" s="126">
        <v>93.06</v>
      </c>
      <c r="W118" s="87">
        <v>10</v>
      </c>
      <c r="X118" s="87">
        <v>4.2</v>
      </c>
      <c r="Y118" s="121">
        <v>3.4</v>
      </c>
      <c r="Z118" s="122">
        <v>5.6</v>
      </c>
      <c r="AA118" s="87">
        <v>4.0599999999999996</v>
      </c>
      <c r="AB118" s="68">
        <v>10.7</v>
      </c>
      <c r="AC118" s="68">
        <v>10</v>
      </c>
      <c r="AD118" s="87">
        <v>4</v>
      </c>
      <c r="AE118" s="68">
        <f>ROUND(All_PCC_a[[#This Row],[L (mm)]]*All_PCC_a[[#This Row],[W (mm)]],1)</f>
        <v>107</v>
      </c>
      <c r="AF118" s="87" t="str">
        <f>All_PCC_a[[#This Row],[L (mm)]]&amp;"  x  "&amp;All_PCC_a[[#This Row],[W (mm)]]</f>
        <v>10.7  x  10</v>
      </c>
      <c r="AG118" s="91" t="s">
        <v>324</v>
      </c>
      <c r="AH118" s="97" t="str">
        <f>IF(All_PCC_a[[#This Row],[Max Height (mm)]]&lt;=9,"≤ "&amp;ROUNDUP(AD118,0),"≤"&amp;ROUNDUP(AD118,0))</f>
        <v>≤ 4</v>
      </c>
      <c r="AI118" s="68">
        <v>-55</v>
      </c>
      <c r="AJ118" s="68">
        <v>155</v>
      </c>
      <c r="AK118" s="68" t="str">
        <f>All_PCC_a[[#This Row],[Min Temp (deg.C)]]&amp;" to +"&amp;All_PCC_a[[#This Row],[Max Temp (deg.C)]]</f>
        <v>-55 to +155</v>
      </c>
      <c r="AL118" s="68"/>
      <c r="AM118" s="68"/>
      <c r="AN118" s="68"/>
      <c r="AO118" s="87" t="s">
        <v>138</v>
      </c>
      <c r="AP118" s="97" t="str">
        <f t="shared" si="19"/>
        <v>-</v>
      </c>
      <c r="AQ118" s="87" t="s">
        <v>138</v>
      </c>
      <c r="AR118" s="87" t="s">
        <v>138</v>
      </c>
      <c r="AS118" s="68" t="s">
        <v>985</v>
      </c>
      <c r="AT118" s="95" t="s">
        <v>606</v>
      </c>
      <c r="AU118" s="96" t="e" vm="9">
        <f>_xlfn.IMAGE(All_PCC_a[[#This Row],[Image URL]])</f>
        <v>#VALUE!</v>
      </c>
      <c r="AV118" s="68"/>
      <c r="AW118" s="68"/>
      <c r="BC118" s="96">
        <f>IF(Z118&lt;('DCDC Ref'!$J$24/'DCDC Ref'!$J$26)*'DCDC Ref'!$J$28/100,0,1)</f>
        <v>1</v>
      </c>
      <c r="BD118" s="360">
        <f>IF(BC118=1000000000,"",('All Data'!Q118-'DCDC Ref'!$J$30)/'DCDC Ref'!$J$30*100)</f>
        <v>5121.9780219780223</v>
      </c>
      <c r="BE118" s="295">
        <f t="shared" si="12"/>
        <v>5121.9780219780223</v>
      </c>
      <c r="BF118" s="295"/>
      <c r="BG118" s="360"/>
      <c r="BH118" s="361">
        <f t="shared" si="13"/>
        <v>0</v>
      </c>
      <c r="BI118" s="295"/>
      <c r="BJ118" s="96">
        <f>IF(BC118=0,"",('All Data'!Z118-'DCDC Ref'!$J$28*('DCDC Ref'!$J$29/100))/'DCDC Ref'!$J$28*('DCDC Ref'!$J$29/100)*100)</f>
        <v>-49.793103448275872</v>
      </c>
      <c r="BK118" s="361">
        <f t="shared" si="14"/>
        <v>10000</v>
      </c>
      <c r="BL118" s="361"/>
      <c r="BM118" s="361"/>
      <c r="BN118" s="361"/>
      <c r="BO118" s="361"/>
      <c r="BP118" s="96"/>
      <c r="BQ118" s="298">
        <f t="shared" si="15"/>
        <v>25659890.109890111</v>
      </c>
      <c r="BR118" s="298">
        <f>IF(BQ118="","",RANK(BQ118,BQ$11:BQ$9930,1)+COUNTIF(BQ$11:BQ118,BQ118)-1)</f>
        <v>132</v>
      </c>
      <c r="BS118" s="299">
        <f t="shared" si="18"/>
        <v>132</v>
      </c>
      <c r="BT118" s="96" t="str">
        <f>IFERROR(INDEX($O$11:$O$1013,MATCH(ROWS($BS$11:BS118),$BS$11:$BS$1005,0)),"")</f>
        <v>ETQP5M150YFK</v>
      </c>
      <c r="BU118" s="299" t="str">
        <f t="shared" si="16"/>
        <v>ETQP5M150YFK</v>
      </c>
      <c r="BV118" s="96"/>
      <c r="BW118" s="68"/>
    </row>
    <row r="119" spans="1:75" s="132" customFormat="1">
      <c r="A119" s="95">
        <v>120</v>
      </c>
      <c r="B119" s="259" t="s">
        <v>584</v>
      </c>
      <c r="C119" s="95" t="s">
        <v>610</v>
      </c>
      <c r="D119" s="95" t="s">
        <v>585</v>
      </c>
      <c r="E119" s="231"/>
      <c r="F119" s="95" t="s">
        <v>23</v>
      </c>
      <c r="G119" s="231" t="s">
        <v>586</v>
      </c>
      <c r="H119" s="95" t="s">
        <v>587</v>
      </c>
      <c r="I119" s="231" t="s">
        <v>588</v>
      </c>
      <c r="J119" s="95" t="s">
        <v>589</v>
      </c>
      <c r="K119" s="95" t="s">
        <v>680</v>
      </c>
      <c r="L119" s="95" t="s">
        <v>670</v>
      </c>
      <c r="M119" s="95" t="s">
        <v>671</v>
      </c>
      <c r="N119" s="95" t="s">
        <v>593</v>
      </c>
      <c r="O119" s="34" t="s">
        <v>684</v>
      </c>
      <c r="P119" s="37" t="str">
        <f>MID(All_PCC_a[[#This Row],[Part Number]],7,3)</f>
        <v>330</v>
      </c>
      <c r="Q119" s="129">
        <v>33</v>
      </c>
      <c r="R119" s="130" t="str">
        <f>IF(All_PCC_a[[#This Row],[Lo (uH)]]&lt;1,"&lt;1",IF(All_PCC_a[[#This Row],[Lo (uH)]]&lt;10,"&lt;10",IF(All_PCC_a[[#This Row],[Lo (uH)]]&lt;100,"&lt;100",IF(All_PCC_a[[#This Row],[Lo (uH)]]&lt;2000,"&lt;2000",""))))</f>
        <v>&lt;100</v>
      </c>
      <c r="S119" s="97" t="str">
        <f>IFERROR(VLOOKUP(All_PCC_a[[#This Row],[Lo (uH)]],Utility!$D$5:$E$43,2,1),"-")</f>
        <v>≤  40</v>
      </c>
      <c r="T119" s="250">
        <v>0.2</v>
      </c>
      <c r="U119" s="131">
        <v>115</v>
      </c>
      <c r="V119" s="125">
        <v>126.5</v>
      </c>
      <c r="W119" s="97">
        <v>10</v>
      </c>
      <c r="X119" s="130">
        <v>3.4</v>
      </c>
      <c r="Y119" s="129">
        <v>2.5</v>
      </c>
      <c r="Z119" s="251">
        <v>4.2</v>
      </c>
      <c r="AA119" s="129">
        <v>3.1</v>
      </c>
      <c r="AB119" s="95">
        <v>7.4</v>
      </c>
      <c r="AC119" s="95">
        <v>7</v>
      </c>
      <c r="AD119" s="87">
        <v>4.8</v>
      </c>
      <c r="AE119" s="95">
        <f>ROUND(All_PCC_a[[#This Row],[L (mm)]]*All_PCC_a[[#This Row],[W (mm)]],1)</f>
        <v>51.8</v>
      </c>
      <c r="AF119" s="87" t="str">
        <f>All_PCC_a[[#This Row],[L (mm)]]&amp;"  x  "&amp;All_PCC_a[[#This Row],[W (mm)]]</f>
        <v>7.4  x  7</v>
      </c>
      <c r="AG119" s="141" t="s">
        <v>661</v>
      </c>
      <c r="AH119" s="97" t="str">
        <f>IF(All_PCC_a[[#This Row],[Max Height (mm)]]&lt;=9,"≤ "&amp;ROUNDUP(AD119,0),"≤"&amp;ROUNDUP(AD119,0))</f>
        <v>≤ 5</v>
      </c>
      <c r="AI119" s="68">
        <v>-40</v>
      </c>
      <c r="AJ119" s="68">
        <v>150</v>
      </c>
      <c r="AK119" s="68" t="str">
        <f>All_PCC_a[[#This Row],[Min Temp (deg.C)]]&amp;" to +"&amp;All_PCC_a[[#This Row],[Max Temp (deg.C)]]</f>
        <v>-40 to +150</v>
      </c>
      <c r="AL119" s="95"/>
      <c r="AM119" s="95"/>
      <c r="AN119" s="95"/>
      <c r="AO119" s="87" t="s">
        <v>138</v>
      </c>
      <c r="AP119" s="130" t="str">
        <f t="shared" si="19"/>
        <v>-</v>
      </c>
      <c r="AQ119" s="87" t="s">
        <v>138</v>
      </c>
      <c r="AR119" s="87" t="s">
        <v>138</v>
      </c>
      <c r="AS119" s="95" t="s">
        <v>986</v>
      </c>
      <c r="AT119" s="68" t="s">
        <v>657</v>
      </c>
      <c r="AU119" s="96" t="e" vm="12">
        <f>_xlfn.IMAGE(All_PCC_a[[#This Row],[Image URL]])</f>
        <v>#VALUE!</v>
      </c>
      <c r="AV119" s="95"/>
      <c r="AW119" s="95"/>
      <c r="BC119" s="96">
        <f>IF(Z119&lt;('DCDC Ref'!$J$24/'DCDC Ref'!$J$26)*'DCDC Ref'!$J$28/100,0,1)</f>
        <v>1</v>
      </c>
      <c r="BD119" s="360">
        <f>IF(BC119=1000000000,"",('All Data'!Q119-'DCDC Ref'!$J$30)/'DCDC Ref'!$J$30*100)</f>
        <v>5121.9780219780223</v>
      </c>
      <c r="BE119" s="295">
        <f t="shared" si="12"/>
        <v>5121.9780219780223</v>
      </c>
      <c r="BF119" s="295"/>
      <c r="BG119" s="360"/>
      <c r="BH119" s="361">
        <f t="shared" si="13"/>
        <v>0</v>
      </c>
      <c r="BI119" s="295"/>
      <c r="BJ119" s="96">
        <f>IF(BC119=0,"",('All Data'!Z119-'DCDC Ref'!$J$28*('DCDC Ref'!$J$29/100))/'DCDC Ref'!$J$28*('DCDC Ref'!$J$29/100)*100)</f>
        <v>-62.344827586206897</v>
      </c>
      <c r="BK119" s="361">
        <f t="shared" si="14"/>
        <v>10000</v>
      </c>
      <c r="BL119" s="361"/>
      <c r="BM119" s="361"/>
      <c r="BN119" s="361"/>
      <c r="BO119" s="361"/>
      <c r="BP119" s="96"/>
      <c r="BQ119" s="298">
        <f t="shared" si="15"/>
        <v>25659890.109890111</v>
      </c>
      <c r="BR119" s="298">
        <f>IF(BQ119="","",RANK(BQ119,BQ$11:BQ$9930,1)+COUNTIF(BQ$11:BQ119,BQ119)-1)</f>
        <v>133</v>
      </c>
      <c r="BS119" s="299">
        <f t="shared" si="18"/>
        <v>133</v>
      </c>
      <c r="BT119" s="96" t="str">
        <f>IFERROR(INDEX($O$11:$O$1013,MATCH(ROWS($BS$11:BS119),$BS$11:$BS$1005,0)),"")</f>
        <v>ETQP3M150KVN</v>
      </c>
      <c r="BU119" s="299" t="str">
        <f t="shared" si="16"/>
        <v>ETQP3M150KVN</v>
      </c>
      <c r="BV119" s="96"/>
      <c r="BW119" s="68"/>
    </row>
    <row r="120" spans="1:75" s="132" customFormat="1" ht="15">
      <c r="A120" s="95">
        <v>115</v>
      </c>
      <c r="B120" s="259" t="s">
        <v>584</v>
      </c>
      <c r="C120" s="95" t="s">
        <v>685</v>
      </c>
      <c r="D120" s="95"/>
      <c r="E120" s="134"/>
      <c r="F120" s="255" t="s">
        <v>153</v>
      </c>
      <c r="G120" s="231" t="s">
        <v>586</v>
      </c>
      <c r="H120" s="95" t="s">
        <v>587</v>
      </c>
      <c r="I120" s="231" t="s">
        <v>686</v>
      </c>
      <c r="J120" s="95" t="s">
        <v>589</v>
      </c>
      <c r="K120" s="95" t="s">
        <v>687</v>
      </c>
      <c r="L120" s="95" t="s">
        <v>688</v>
      </c>
      <c r="M120" s="95" t="s">
        <v>689</v>
      </c>
      <c r="N120" s="95" t="s">
        <v>593</v>
      </c>
      <c r="O120" s="34" t="s">
        <v>126</v>
      </c>
      <c r="P120" s="37" t="str">
        <f>MID(All_PCC_a[[#This Row],[Part Number]],7,3)</f>
        <v>240</v>
      </c>
      <c r="Q120" s="129">
        <v>36</v>
      </c>
      <c r="R120" s="130" t="str">
        <f>IF(All_PCC_a[[#This Row],[Lo (uH)]]&lt;1,"&lt;1",IF(All_PCC_a[[#This Row],[Lo (uH)]]&lt;10,"&lt;10",IF(All_PCC_a[[#This Row],[Lo (uH)]]&lt;100,"&lt;100",IF(All_PCC_a[[#This Row],[Lo (uH)]]&lt;2000,"&lt;2000",""))))</f>
        <v>&lt;100</v>
      </c>
      <c r="S120" s="97" t="str">
        <f>IFERROR(VLOOKUP(All_PCC_a[[#This Row],[Lo (uH)]],Utility!$D$5:$E$43,2,1),"-")</f>
        <v>≤  40</v>
      </c>
      <c r="T120" s="250">
        <v>0.3</v>
      </c>
      <c r="U120" s="131">
        <v>25.8</v>
      </c>
      <c r="V120" s="125" t="s">
        <v>124</v>
      </c>
      <c r="W120" s="97">
        <v>10</v>
      </c>
      <c r="X120" s="296"/>
      <c r="Y120" s="129">
        <v>6.9</v>
      </c>
      <c r="Z120" s="296"/>
      <c r="AA120" s="129" t="s">
        <v>124</v>
      </c>
      <c r="AB120" s="95">
        <v>14</v>
      </c>
      <c r="AC120" s="95">
        <v>14</v>
      </c>
      <c r="AD120" s="129">
        <v>13.1</v>
      </c>
      <c r="AE120" s="95">
        <f>ROUND(All_PCC_a[[#This Row],[L (mm)]]*All_PCC_a[[#This Row],[W (mm)]],1)</f>
        <v>196</v>
      </c>
      <c r="AF120" s="87" t="str">
        <f>All_PCC_a[[#This Row],[L (mm)]]&amp;"  x  "&amp;All_PCC_a[[#This Row],[W (mm)]]</f>
        <v>14  x  14</v>
      </c>
      <c r="AG120" s="91" t="s">
        <v>350</v>
      </c>
      <c r="AH120" s="97" t="str">
        <f>IF(All_PCC_a[[#This Row],[Max Height (mm)]]&lt;=9,"≤ "&amp;ROUNDUP(AD120,0),"≤"&amp;ROUNDUP(AD120,0))</f>
        <v>≤14</v>
      </c>
      <c r="AI120" s="95">
        <v>-40</v>
      </c>
      <c r="AJ120" s="95">
        <v>150</v>
      </c>
      <c r="AK120" s="68" t="str">
        <f>All_PCC_a[[#This Row],[Min Temp (deg.C)]]&amp;" to +"&amp;All_PCC_a[[#This Row],[Max Temp (deg.C)]]</f>
        <v>-40 to +150</v>
      </c>
      <c r="AL120" s="95"/>
      <c r="AM120" s="95"/>
      <c r="AN120" s="95"/>
      <c r="AO120" s="87" t="s">
        <v>124</v>
      </c>
      <c r="AP120" s="130" t="str">
        <f t="shared" si="19"/>
        <v>-</v>
      </c>
      <c r="AQ120" s="87" t="s">
        <v>124</v>
      </c>
      <c r="AR120" s="87" t="s">
        <v>124</v>
      </c>
      <c r="AS120" s="95" t="s">
        <v>987</v>
      </c>
      <c r="AT120" s="95" t="s">
        <v>690</v>
      </c>
      <c r="AU120" s="96" t="e" vm="13">
        <f>_xlfn.IMAGE(All_PCC_a[[#This Row],[Image URL]])</f>
        <v>#VALUE!</v>
      </c>
      <c r="AV120" s="95"/>
      <c r="AW120" s="95"/>
      <c r="BC120" s="96">
        <f>IF(Z120&lt;('DCDC Ref'!$J$24/'DCDC Ref'!$J$26)*'DCDC Ref'!$J$28/100,0,1)</f>
        <v>0</v>
      </c>
      <c r="BD120" s="360">
        <f>IF(BC120=1000000000,"",('All Data'!Q120-'DCDC Ref'!$J$30)/'DCDC Ref'!$J$30*100)</f>
        <v>5596.7032967032974</v>
      </c>
      <c r="BE120" s="295">
        <f t="shared" si="12"/>
        <v>5596.7032967032974</v>
      </c>
      <c r="BF120" s="295"/>
      <c r="BG120" s="360"/>
      <c r="BH120" s="361">
        <f t="shared" si="13"/>
        <v>0</v>
      </c>
      <c r="BI120" s="295"/>
      <c r="BJ120" s="96" t="str">
        <f>IF(BC120=0,"",('All Data'!Z120-'DCDC Ref'!$J$28*('DCDC Ref'!$J$29/100))/'DCDC Ref'!$J$28*('DCDC Ref'!$J$29/100)*100)</f>
        <v/>
      </c>
      <c r="BK120" s="361" t="str">
        <f t="shared" si="14"/>
        <v/>
      </c>
      <c r="BL120" s="361"/>
      <c r="BM120" s="361"/>
      <c r="BN120" s="361"/>
      <c r="BO120" s="361"/>
      <c r="BP120" s="96"/>
      <c r="BQ120" s="298" t="str">
        <f t="shared" si="15"/>
        <v/>
      </c>
      <c r="BR120" s="298" t="str">
        <f>IF(BQ120="","",RANK(BQ120,BQ$11:BQ$9930,1)+COUNTIF(BQ$11:BQ120,BQ120)-1)</f>
        <v/>
      </c>
      <c r="BS120" s="299" t="e">
        <f t="shared" si="18"/>
        <v>#VALUE!</v>
      </c>
      <c r="BT120" s="96" t="str">
        <f>IFERROR(INDEX($O$11:$O$1013,MATCH(ROWS($BS$11:BS120),$BS$11:$BS$1005,0)),"")</f>
        <v>ETQP4M150KVK</v>
      </c>
      <c r="BU120" s="299" t="str">
        <f t="shared" si="16"/>
        <v>ETQP4M150KVK</v>
      </c>
      <c r="BV120" s="96"/>
      <c r="BW120" s="68"/>
    </row>
    <row r="121" spans="1:75" s="132" customFormat="1">
      <c r="A121" s="95">
        <v>8</v>
      </c>
      <c r="B121" s="259" t="s">
        <v>584</v>
      </c>
      <c r="C121" s="95"/>
      <c r="D121" s="95" t="s">
        <v>585</v>
      </c>
      <c r="E121" s="110"/>
      <c r="F121" s="68" t="s">
        <v>153</v>
      </c>
      <c r="G121" s="69" t="s">
        <v>586</v>
      </c>
      <c r="H121" s="68" t="s">
        <v>587</v>
      </c>
      <c r="I121" s="69" t="s">
        <v>588</v>
      </c>
      <c r="J121" s="68" t="s">
        <v>589</v>
      </c>
      <c r="K121" s="68" t="s">
        <v>590</v>
      </c>
      <c r="L121" s="68" t="s">
        <v>645</v>
      </c>
      <c r="M121" s="68" t="s">
        <v>653</v>
      </c>
      <c r="N121" s="68" t="s">
        <v>22</v>
      </c>
      <c r="O121" s="34" t="s">
        <v>128</v>
      </c>
      <c r="P121" s="37" t="str">
        <f>MID(All_PCC_a[[#This Row],[Part Number]],7,3)</f>
        <v>470</v>
      </c>
      <c r="Q121" s="90">
        <v>47</v>
      </c>
      <c r="R121" s="87" t="str">
        <f>IF(All_PCC_a[[#This Row],[Lo (uH)]]&lt;1,"&lt;1",IF(All_PCC_a[[#This Row],[Lo (uH)]]&lt;10,"&lt;10",IF(All_PCC_a[[#This Row],[Lo (uH)]]&lt;100,"&lt;100",IF(All_PCC_a[[#This Row],[Lo (uH)]]&lt;2000,"&lt;2000",""))))</f>
        <v>&lt;100</v>
      </c>
      <c r="S121" s="87" t="str">
        <f>IFERROR(VLOOKUP(All_PCC_a[[#This Row],[Lo (uH)]],Utility!$D$5:$E$43,2,1),"-")</f>
        <v>≤  50</v>
      </c>
      <c r="T121" s="88">
        <v>0.2</v>
      </c>
      <c r="U121" s="125">
        <v>210</v>
      </c>
      <c r="V121" s="125">
        <v>231.00000000000003</v>
      </c>
      <c r="W121" s="87">
        <v>10</v>
      </c>
      <c r="X121" s="87">
        <v>2.2000000000000002</v>
      </c>
      <c r="Y121" s="87">
        <v>1.8</v>
      </c>
      <c r="Z121" s="117">
        <v>3.8</v>
      </c>
      <c r="AA121" s="87">
        <v>2.6</v>
      </c>
      <c r="AB121" s="68">
        <v>6.5</v>
      </c>
      <c r="AC121" s="68">
        <v>6</v>
      </c>
      <c r="AD121" s="87">
        <v>4.5</v>
      </c>
      <c r="AE121" s="68">
        <f>ROUND(All_PCC_a[[#This Row],[L (mm)]]*All_PCC_a[[#This Row],[W (mm)]],1)</f>
        <v>39</v>
      </c>
      <c r="AF121" s="87" t="str">
        <f>All_PCC_a[[#This Row],[L (mm)]]&amp;"  x  "&amp;All_PCC_a[[#This Row],[W (mm)]]</f>
        <v>6.5  x  6</v>
      </c>
      <c r="AG121" s="89" t="s">
        <v>618</v>
      </c>
      <c r="AH121" s="87" t="str">
        <f>IF(All_PCC_a[[#This Row],[Max Height (mm)]]&lt;=9,"≤ "&amp;ROUNDUP(AD121,0),"≤"&amp;ROUNDUP(AD121,0))</f>
        <v>≤ 5</v>
      </c>
      <c r="AI121" s="72">
        <v>-40</v>
      </c>
      <c r="AJ121" s="72">
        <v>150</v>
      </c>
      <c r="AK121" s="68" t="str">
        <f>All_PCC_a[[#This Row],[Min Temp (deg.C)]]&amp;" to +"&amp;All_PCC_a[[#This Row],[Max Temp (deg.C)]]</f>
        <v>-40 to +150</v>
      </c>
      <c r="AL121" s="68"/>
      <c r="AM121" s="68"/>
      <c r="AN121" s="68"/>
      <c r="AO121" s="87" t="s">
        <v>124</v>
      </c>
      <c r="AP121" s="87" t="str">
        <f t="shared" si="19"/>
        <v>-</v>
      </c>
      <c r="AQ121" s="88" t="s">
        <v>138</v>
      </c>
      <c r="AR121" s="87" t="s">
        <v>138</v>
      </c>
      <c r="AS121" s="68" t="s">
        <v>988</v>
      </c>
      <c r="AT121" s="68" t="s">
        <v>594</v>
      </c>
      <c r="AU121" s="96" t="e" vm="7">
        <f>_xlfn.IMAGE(All_PCC_a[[#This Row],[Image URL]])</f>
        <v>#VALUE!</v>
      </c>
      <c r="AV121" s="68"/>
      <c r="AW121" s="68"/>
      <c r="BC121" s="96">
        <f>IF(Z121&lt;('DCDC Ref'!$J$24/'DCDC Ref'!$J$26)*'DCDC Ref'!$J$28/100,0,1)</f>
        <v>1</v>
      </c>
      <c r="BD121" s="360">
        <f>IF(BC121=1000000000,"",('All Data'!Q121-'DCDC Ref'!$J$30)/'DCDC Ref'!$J$30*100)</f>
        <v>7337.3626373626375</v>
      </c>
      <c r="BE121" s="295">
        <f t="shared" si="12"/>
        <v>7337.3626373626375</v>
      </c>
      <c r="BF121" s="295"/>
      <c r="BG121" s="360"/>
      <c r="BH121" s="361">
        <f t="shared" si="13"/>
        <v>0</v>
      </c>
      <c r="BI121" s="295"/>
      <c r="BJ121" s="96">
        <f>IF(BC121=0,"",('All Data'!Z121-'DCDC Ref'!$J$28*('DCDC Ref'!$J$29/100))/'DCDC Ref'!$J$28*('DCDC Ref'!$J$29/100)*100)</f>
        <v>-65.931034482758619</v>
      </c>
      <c r="BK121" s="361">
        <f t="shared" si="14"/>
        <v>10000</v>
      </c>
      <c r="BL121" s="361"/>
      <c r="BM121" s="361"/>
      <c r="BN121" s="361"/>
      <c r="BO121" s="361"/>
      <c r="BP121" s="96"/>
      <c r="BQ121" s="298">
        <f t="shared" si="15"/>
        <v>36736813.186813191</v>
      </c>
      <c r="BR121" s="298">
        <f>IF(BQ121="","",RANK(BQ121,BQ$11:BQ$9930,1)+COUNTIF(BQ$11:BQ121,BQ121)-1)</f>
        <v>135</v>
      </c>
      <c r="BS121" s="299">
        <f t="shared" si="18"/>
        <v>135</v>
      </c>
      <c r="BT121" s="96" t="str">
        <f>IFERROR(INDEX($O$11:$O$1013,MATCH(ROWS($BS$11:BS121),$BS$11:$BS$1005,0)),"")</f>
        <v>ETQP4M150KVC</v>
      </c>
      <c r="BU121" s="299" t="str">
        <f t="shared" si="16"/>
        <v>ETQP4M150KVC</v>
      </c>
      <c r="BV121" s="96"/>
      <c r="BW121" s="68"/>
    </row>
    <row r="122" spans="1:75" s="132" customFormat="1" ht="15">
      <c r="A122" s="95">
        <v>21</v>
      </c>
      <c r="B122" s="259" t="s">
        <v>584</v>
      </c>
      <c r="C122" s="95"/>
      <c r="D122" s="95" t="s">
        <v>585</v>
      </c>
      <c r="E122" s="109"/>
      <c r="F122" s="68" t="s">
        <v>153</v>
      </c>
      <c r="G122" s="69" t="s">
        <v>586</v>
      </c>
      <c r="H122" s="68" t="s">
        <v>587</v>
      </c>
      <c r="I122" s="69" t="s">
        <v>588</v>
      </c>
      <c r="J122" s="68" t="s">
        <v>589</v>
      </c>
      <c r="K122" s="68" t="s">
        <v>590</v>
      </c>
      <c r="L122" s="68" t="s">
        <v>631</v>
      </c>
      <c r="M122" s="68" t="s">
        <v>632</v>
      </c>
      <c r="N122" s="68" t="s">
        <v>593</v>
      </c>
      <c r="O122" s="34" t="s">
        <v>129</v>
      </c>
      <c r="P122" s="37" t="str">
        <f>MID(All_PCC_a[[#This Row],[Part Number]],7,3)</f>
        <v>470</v>
      </c>
      <c r="Q122" s="87">
        <v>47</v>
      </c>
      <c r="R122" s="87" t="str">
        <f>IF(All_PCC_a[[#This Row],[Lo (uH)]]&lt;1,"&lt;1",IF(All_PCC_a[[#This Row],[Lo (uH)]]&lt;10,"&lt;10",IF(All_PCC_a[[#This Row],[Lo (uH)]]&lt;100,"&lt;100",IF(All_PCC_a[[#This Row],[Lo (uH)]]&lt;2000,"&lt;2000",""))))</f>
        <v>&lt;100</v>
      </c>
      <c r="S122" s="87" t="str">
        <f>IFERROR(VLOOKUP(All_PCC_a[[#This Row],[Lo (uH)]],Utility!$D$5:$E$43,2,1),"-")</f>
        <v>≤  50</v>
      </c>
      <c r="T122" s="88">
        <v>0.2</v>
      </c>
      <c r="U122" s="126">
        <v>99</v>
      </c>
      <c r="V122" s="126">
        <v>108.9</v>
      </c>
      <c r="W122" s="87">
        <v>10</v>
      </c>
      <c r="X122" s="87">
        <v>4.2</v>
      </c>
      <c r="Y122" s="87">
        <v>3.5</v>
      </c>
      <c r="Z122" s="117">
        <v>6.8</v>
      </c>
      <c r="AA122" s="87">
        <v>4.87</v>
      </c>
      <c r="AB122" s="68">
        <v>10.7</v>
      </c>
      <c r="AC122" s="68">
        <v>10</v>
      </c>
      <c r="AD122" s="87">
        <v>5.4</v>
      </c>
      <c r="AE122" s="68">
        <f>ROUND(All_PCC_a[[#This Row],[L (mm)]]*All_PCC_a[[#This Row],[W (mm)]],1)</f>
        <v>107</v>
      </c>
      <c r="AF122" s="87" t="str">
        <f>All_PCC_a[[#This Row],[L (mm)]]&amp;"  x  "&amp;All_PCC_a[[#This Row],[W (mm)]]</f>
        <v>10.7  x  10</v>
      </c>
      <c r="AG122" s="91" t="s">
        <v>324</v>
      </c>
      <c r="AH122" s="97" t="str">
        <f>IF(All_PCC_a[[#This Row],[Max Height (mm)]]&lt;=9,"≤ "&amp;ROUNDUP(AD122,0),"≤"&amp;ROUNDUP(AD122,0))</f>
        <v>≤ 6</v>
      </c>
      <c r="AI122" s="68">
        <v>-40</v>
      </c>
      <c r="AJ122" s="68">
        <v>150</v>
      </c>
      <c r="AK122" s="68" t="str">
        <f>All_PCC_a[[#This Row],[Min Temp (deg.C)]]&amp;" to +"&amp;All_PCC_a[[#This Row],[Max Temp (deg.C)]]</f>
        <v>-40 to +150</v>
      </c>
      <c r="AL122" s="68"/>
      <c r="AM122" s="68"/>
      <c r="AN122" s="68"/>
      <c r="AO122" s="87" t="s">
        <v>138</v>
      </c>
      <c r="AP122" s="97" t="str">
        <f t="shared" si="19"/>
        <v>-</v>
      </c>
      <c r="AQ122" s="87" t="s">
        <v>138</v>
      </c>
      <c r="AR122" s="87" t="s">
        <v>138</v>
      </c>
      <c r="AS122" s="68" t="s">
        <v>989</v>
      </c>
      <c r="AT122" s="68" t="s">
        <v>594</v>
      </c>
      <c r="AU122" s="96" t="e" vm="7">
        <f>_xlfn.IMAGE(All_PCC_a[[#This Row],[Image URL]])</f>
        <v>#VALUE!</v>
      </c>
      <c r="AV122" s="68"/>
      <c r="AW122" s="68"/>
      <c r="BC122" s="96">
        <f>IF(Z122&lt;('DCDC Ref'!$J$24/'DCDC Ref'!$J$26)*'DCDC Ref'!$J$28/100,0,1)</f>
        <v>1</v>
      </c>
      <c r="BD122" s="360">
        <f>IF(BC122=1000000000,"",('All Data'!Q122-'DCDC Ref'!$J$30)/'DCDC Ref'!$J$30*100)</f>
        <v>7337.3626373626375</v>
      </c>
      <c r="BE122" s="295">
        <f t="shared" si="12"/>
        <v>7337.3626373626375</v>
      </c>
      <c r="BF122" s="295"/>
      <c r="BG122" s="360"/>
      <c r="BH122" s="361">
        <f t="shared" si="13"/>
        <v>0</v>
      </c>
      <c r="BI122" s="295"/>
      <c r="BJ122" s="96">
        <f>IF(BC122=0,"",('All Data'!Z122-'DCDC Ref'!$J$28*('DCDC Ref'!$J$29/100))/'DCDC Ref'!$J$28*('DCDC Ref'!$J$29/100)*100)</f>
        <v>-39.034482758620697</v>
      </c>
      <c r="BK122" s="361">
        <f t="shared" si="14"/>
        <v>10000</v>
      </c>
      <c r="BL122" s="361"/>
      <c r="BM122" s="361"/>
      <c r="BN122" s="361"/>
      <c r="BO122" s="361"/>
      <c r="BP122" s="96"/>
      <c r="BQ122" s="298">
        <f t="shared" si="15"/>
        <v>36736813.186813191</v>
      </c>
      <c r="BR122" s="298">
        <f>IF(BQ122="","",RANK(BQ122,BQ$11:BQ$9930,1)+COUNTIF(BQ$11:BQ122,BQ122)-1)</f>
        <v>136</v>
      </c>
      <c r="BS122" s="299">
        <f t="shared" si="18"/>
        <v>136</v>
      </c>
      <c r="BT122" s="96" t="str">
        <f>IFERROR(INDEX($O$11:$O$1013,MATCH(ROWS($BS$11:BS122),$BS$11:$BS$1005,0)),"")</f>
        <v>ETQP4M150KFN</v>
      </c>
      <c r="BU122" s="299" t="str">
        <f t="shared" si="16"/>
        <v>ETQP4M150KFN</v>
      </c>
      <c r="BV122" s="96"/>
      <c r="BW122" s="68"/>
    </row>
    <row r="123" spans="1:75" s="132" customFormat="1" ht="15">
      <c r="A123" s="95">
        <v>82</v>
      </c>
      <c r="B123" s="259" t="s">
        <v>584</v>
      </c>
      <c r="C123" s="95"/>
      <c r="D123" s="95" t="s">
        <v>585</v>
      </c>
      <c r="E123" s="109"/>
      <c r="F123" s="68" t="s">
        <v>153</v>
      </c>
      <c r="G123" s="69" t="s">
        <v>586</v>
      </c>
      <c r="H123" s="68" t="s">
        <v>587</v>
      </c>
      <c r="I123" s="69" t="s">
        <v>588</v>
      </c>
      <c r="J123" s="68" t="s">
        <v>589</v>
      </c>
      <c r="K123" s="68" t="s">
        <v>601</v>
      </c>
      <c r="L123" s="68" t="s">
        <v>629</v>
      </c>
      <c r="M123" s="68" t="s">
        <v>630</v>
      </c>
      <c r="N123" s="68" t="s">
        <v>593</v>
      </c>
      <c r="O123" s="34" t="s">
        <v>130</v>
      </c>
      <c r="P123" s="37" t="str">
        <f>MID(All_PCC_a[[#This Row],[Part Number]],7,3)</f>
        <v>470</v>
      </c>
      <c r="Q123" s="87">
        <v>47</v>
      </c>
      <c r="R123" s="87" t="str">
        <f>IF(All_PCC_a[[#This Row],[Lo (uH)]]&lt;1,"&lt;1",IF(All_PCC_a[[#This Row],[Lo (uH)]]&lt;10,"&lt;10",IF(All_PCC_a[[#This Row],[Lo (uH)]]&lt;100,"&lt;100",IF(All_PCC_a[[#This Row],[Lo (uH)]]&lt;2000,"&lt;2000",""))))</f>
        <v>&lt;100</v>
      </c>
      <c r="S123" s="87" t="str">
        <f>IFERROR(VLOOKUP(All_PCC_a[[#This Row],[Lo (uH)]],Utility!$D$5:$E$43,2,1),"-")</f>
        <v>≤  50</v>
      </c>
      <c r="T123" s="88">
        <v>0.2</v>
      </c>
      <c r="U123" s="126">
        <v>132</v>
      </c>
      <c r="V123" s="126">
        <v>145.20000000000002</v>
      </c>
      <c r="W123" s="87">
        <v>10</v>
      </c>
      <c r="X123" s="87">
        <v>3.4</v>
      </c>
      <c r="Y123" s="121">
        <v>2.8</v>
      </c>
      <c r="Z123" s="122">
        <v>4.7</v>
      </c>
      <c r="AA123" s="560">
        <v>3.34</v>
      </c>
      <c r="AB123" s="68">
        <v>10.7</v>
      </c>
      <c r="AC123" s="68">
        <v>10</v>
      </c>
      <c r="AD123" s="87">
        <v>4</v>
      </c>
      <c r="AE123" s="68">
        <f>ROUND(All_PCC_a[[#This Row],[L (mm)]]*All_PCC_a[[#This Row],[W (mm)]],1)</f>
        <v>107</v>
      </c>
      <c r="AF123" s="87" t="str">
        <f>All_PCC_a[[#This Row],[L (mm)]]&amp;"  x  "&amp;All_PCC_a[[#This Row],[W (mm)]]</f>
        <v>10.7  x  10</v>
      </c>
      <c r="AG123" s="91" t="s">
        <v>324</v>
      </c>
      <c r="AH123" s="97" t="str">
        <f>IF(All_PCC_a[[#This Row],[Max Height (mm)]]&lt;=9,"≤ "&amp;ROUNDUP(AD123,0),"≤"&amp;ROUNDUP(AD123,0))</f>
        <v>≤ 4</v>
      </c>
      <c r="AI123" s="68">
        <v>-55</v>
      </c>
      <c r="AJ123" s="68">
        <v>155</v>
      </c>
      <c r="AK123" s="68" t="str">
        <f>All_PCC_a[[#This Row],[Min Temp (deg.C)]]&amp;" to +"&amp;All_PCC_a[[#This Row],[Max Temp (deg.C)]]</f>
        <v>-55 to +155</v>
      </c>
      <c r="AL123" s="68"/>
      <c r="AM123" s="68"/>
      <c r="AN123" s="68"/>
      <c r="AO123" s="87" t="s">
        <v>138</v>
      </c>
      <c r="AP123" s="97" t="str">
        <f t="shared" si="19"/>
        <v>-</v>
      </c>
      <c r="AQ123" s="87" t="s">
        <v>138</v>
      </c>
      <c r="AR123" s="87" t="s">
        <v>138</v>
      </c>
      <c r="AS123" s="68" t="s">
        <v>990</v>
      </c>
      <c r="AT123" s="95" t="s">
        <v>606</v>
      </c>
      <c r="AU123" s="96" t="e" vm="9">
        <f>_xlfn.IMAGE(All_PCC_a[[#This Row],[Image URL]])</f>
        <v>#VALUE!</v>
      </c>
      <c r="AV123" s="68"/>
      <c r="AW123" s="68"/>
      <c r="BC123" s="96">
        <f>IF(Z123&lt;('DCDC Ref'!$J$24/'DCDC Ref'!$J$26)*'DCDC Ref'!$J$28/100,0,1)</f>
        <v>1</v>
      </c>
      <c r="BD123" s="360">
        <f>IF(BC123=1000000000,"",('All Data'!Q123-'DCDC Ref'!$J$30)/'DCDC Ref'!$J$30*100)</f>
        <v>7337.3626373626375</v>
      </c>
      <c r="BE123" s="295">
        <f t="shared" si="12"/>
        <v>7337.3626373626375</v>
      </c>
      <c r="BF123" s="295"/>
      <c r="BG123" s="360"/>
      <c r="BH123" s="361">
        <f t="shared" si="13"/>
        <v>0</v>
      </c>
      <c r="BI123" s="295"/>
      <c r="BJ123" s="96">
        <f>IF(BC123=0,"",('All Data'!Z123-'DCDC Ref'!$J$28*('DCDC Ref'!$J$29/100))/'DCDC Ref'!$J$28*('DCDC Ref'!$J$29/100)*100)</f>
        <v>-57.862068965517246</v>
      </c>
      <c r="BK123" s="361">
        <f t="shared" si="14"/>
        <v>10000</v>
      </c>
      <c r="BL123" s="361"/>
      <c r="BM123" s="361"/>
      <c r="BN123" s="361"/>
      <c r="BO123" s="361"/>
      <c r="BP123" s="96"/>
      <c r="BQ123" s="298">
        <f t="shared" si="15"/>
        <v>36736813.186813191</v>
      </c>
      <c r="BR123" s="298">
        <f>IF(BQ123="","",RANK(BQ123,BQ$11:BQ$9930,1)+COUNTIF(BQ$11:BQ123,BQ123)-1)</f>
        <v>137</v>
      </c>
      <c r="BS123" s="299">
        <f t="shared" si="18"/>
        <v>137</v>
      </c>
      <c r="BT123" s="96" t="str">
        <f>IFERROR(INDEX($O$11:$O$1013,MATCH(ROWS($BS$11:BS123),$BS$11:$BS$1005,0)),"")</f>
        <v>ETQP4M150KFM</v>
      </c>
      <c r="BU123" s="299" t="str">
        <f t="shared" si="16"/>
        <v>ETQP4M150KFM</v>
      </c>
      <c r="BV123" s="96"/>
      <c r="BW123" s="68"/>
    </row>
    <row r="124" spans="1:75" ht="15">
      <c r="A124" s="95">
        <v>104</v>
      </c>
      <c r="B124" s="259" t="s">
        <v>584</v>
      </c>
      <c r="C124" s="144" t="s">
        <v>1071</v>
      </c>
      <c r="D124" s="95" t="s">
        <v>585</v>
      </c>
      <c r="E124" s="109"/>
      <c r="F124" s="143" t="s">
        <v>153</v>
      </c>
      <c r="G124" s="69" t="s">
        <v>586</v>
      </c>
      <c r="H124" s="68" t="s">
        <v>587</v>
      </c>
      <c r="I124" s="69" t="s">
        <v>588</v>
      </c>
      <c r="J124" s="68" t="s">
        <v>589</v>
      </c>
      <c r="K124" s="68" t="s">
        <v>654</v>
      </c>
      <c r="L124" s="68" t="s">
        <v>670</v>
      </c>
      <c r="M124" s="68" t="s">
        <v>671</v>
      </c>
      <c r="N124" s="68" t="s">
        <v>593</v>
      </c>
      <c r="O124" s="34" t="s">
        <v>127</v>
      </c>
      <c r="P124" s="37" t="str">
        <f>MID(All_PCC_a[[#This Row],[Part Number]],7,3)</f>
        <v>470</v>
      </c>
      <c r="Q124" s="87">
        <v>47</v>
      </c>
      <c r="R124" s="87" t="str">
        <f>IF(All_PCC_a[[#This Row],[Lo (uH)]]&lt;1,"&lt;1",IF(All_PCC_a[[#This Row],[Lo (uH)]]&lt;10,"&lt;10",IF(All_PCC_a[[#This Row],[Lo (uH)]]&lt;100,"&lt;100",IF(All_PCC_a[[#This Row],[Lo (uH)]]&lt;2000,"&lt;2000",""))))</f>
        <v>&lt;100</v>
      </c>
      <c r="S124" s="87" t="str">
        <f>IFERROR(VLOOKUP(All_PCC_a[[#This Row],[Lo (uH)]],Utility!$D$5:$E$43,2,1),"-")</f>
        <v>≤  50</v>
      </c>
      <c r="T124" s="88">
        <v>0.2</v>
      </c>
      <c r="U124" s="126">
        <v>148.6</v>
      </c>
      <c r="V124" s="126">
        <v>163.46</v>
      </c>
      <c r="W124" s="87">
        <v>10</v>
      </c>
      <c r="X124" s="87">
        <v>2.9</v>
      </c>
      <c r="Y124" s="121">
        <v>2.2000000000000002</v>
      </c>
      <c r="Z124" s="122">
        <v>3.7</v>
      </c>
      <c r="AA124" s="87">
        <v>2.7</v>
      </c>
      <c r="AB124" s="68">
        <v>7.4</v>
      </c>
      <c r="AC124" s="68">
        <v>7</v>
      </c>
      <c r="AD124" s="87">
        <v>4.8</v>
      </c>
      <c r="AE124" s="68">
        <f>ROUND(All_PCC_a[[#This Row],[L (mm)]]*All_PCC_a[[#This Row],[W (mm)]],1)</f>
        <v>51.8</v>
      </c>
      <c r="AF124" s="87" t="str">
        <f>All_PCC_a[[#This Row],[L (mm)]]&amp;"  x  "&amp;All_PCC_a[[#This Row],[W (mm)]]</f>
        <v>7.4  x  7</v>
      </c>
      <c r="AG124" s="141" t="s">
        <v>661</v>
      </c>
      <c r="AH124" s="97" t="str">
        <f>IF(All_PCC_a[[#This Row],[Max Height (mm)]]&lt;=9,"≤ "&amp;ROUNDUP(AD124,0),"≤"&amp;ROUNDUP(AD124,0))</f>
        <v>≤ 5</v>
      </c>
      <c r="AI124" s="68">
        <v>-40</v>
      </c>
      <c r="AJ124" s="68">
        <v>150</v>
      </c>
      <c r="AK124" s="68" t="str">
        <f>All_PCC_a[[#This Row],[Min Temp (deg.C)]]&amp;" to +"&amp;All_PCC_a[[#This Row],[Max Temp (deg.C)]]</f>
        <v>-40 to +150</v>
      </c>
      <c r="AL124" s="68"/>
      <c r="AO124" s="87" t="s">
        <v>138</v>
      </c>
      <c r="AP124" s="97" t="str">
        <f t="shared" si="19"/>
        <v>-</v>
      </c>
      <c r="AQ124" s="87" t="s">
        <v>138</v>
      </c>
      <c r="AR124" s="87" t="s">
        <v>138</v>
      </c>
      <c r="AS124" s="68" t="s">
        <v>991</v>
      </c>
      <c r="AT124" s="68" t="s">
        <v>657</v>
      </c>
      <c r="AU124" s="96" t="e" vm="12">
        <f>_xlfn.IMAGE(All_PCC_a[[#This Row],[Image URL]])</f>
        <v>#VALUE!</v>
      </c>
      <c r="AV124" s="95"/>
      <c r="AW124" s="95"/>
      <c r="AY124" s="68"/>
      <c r="BC124" s="96">
        <f>IF(Z124&lt;('DCDC Ref'!$J$24/'DCDC Ref'!$J$26)*'DCDC Ref'!$J$28/100,0,1)</f>
        <v>1</v>
      </c>
      <c r="BD124" s="360">
        <f>IF(BC124=1000000000,"",('All Data'!Q124-'DCDC Ref'!$J$30)/'DCDC Ref'!$J$30*100)</f>
        <v>7337.3626373626375</v>
      </c>
      <c r="BE124" s="295">
        <f t="shared" si="12"/>
        <v>7337.3626373626375</v>
      </c>
      <c r="BF124" s="295"/>
      <c r="BG124" s="360"/>
      <c r="BH124" s="361">
        <f t="shared" si="13"/>
        <v>0</v>
      </c>
      <c r="BI124" s="295"/>
      <c r="BJ124" s="96">
        <f>IF(BC124=0,"",('All Data'!Z124-'DCDC Ref'!$J$28*('DCDC Ref'!$J$29/100))/'DCDC Ref'!$J$28*('DCDC Ref'!$J$29/100)*100)</f>
        <v>-66.827586206896555</v>
      </c>
      <c r="BK124" s="361">
        <f t="shared" si="14"/>
        <v>10000</v>
      </c>
      <c r="BL124" s="361"/>
      <c r="BM124" s="361"/>
      <c r="BN124" s="361"/>
      <c r="BO124" s="361"/>
      <c r="BP124" s="96"/>
      <c r="BQ124" s="298">
        <f t="shared" si="15"/>
        <v>36736813.186813191</v>
      </c>
      <c r="BR124" s="298">
        <f>IF(BQ124="","",RANK(BQ124,BQ$11:BQ$9930,1)+COUNTIF(BQ$11:BQ124,BQ124)-1)</f>
        <v>138</v>
      </c>
      <c r="BS124" s="299">
        <f t="shared" si="18"/>
        <v>138</v>
      </c>
      <c r="BT124" s="96" t="str">
        <f>IFERROR(INDEX($O$11:$O$1013,MATCH(ROWS($BS$11:BS124),$BS$11:$BS$1005,0)),"")</f>
        <v>ETQP5M220YSC</v>
      </c>
      <c r="BU124" s="299" t="str">
        <f t="shared" si="16"/>
        <v>ETQP5M220YSC</v>
      </c>
      <c r="BV124" s="96"/>
    </row>
    <row r="125" spans="1:75" ht="15">
      <c r="A125" s="95">
        <v>28</v>
      </c>
      <c r="B125" s="259" t="s">
        <v>584</v>
      </c>
      <c r="C125" s="95"/>
      <c r="D125" s="95" t="s">
        <v>585</v>
      </c>
      <c r="E125" s="110"/>
      <c r="F125" s="68" t="s">
        <v>153</v>
      </c>
      <c r="G125" s="154" t="s">
        <v>586</v>
      </c>
      <c r="H125" s="96" t="s">
        <v>587</v>
      </c>
      <c r="I125" s="154" t="s">
        <v>588</v>
      </c>
      <c r="J125" s="96" t="s">
        <v>589</v>
      </c>
      <c r="K125" s="96" t="s">
        <v>590</v>
      </c>
      <c r="L125" s="96" t="s">
        <v>651</v>
      </c>
      <c r="M125" s="96" t="s">
        <v>652</v>
      </c>
      <c r="N125" s="96" t="s">
        <v>22</v>
      </c>
      <c r="O125" s="34" t="s">
        <v>132</v>
      </c>
      <c r="P125" s="37" t="str">
        <f>MID(All_PCC_a[[#This Row],[Part Number]],7,3)</f>
        <v>470</v>
      </c>
      <c r="Q125" s="97">
        <v>48</v>
      </c>
      <c r="R125" s="87" t="str">
        <f>IF(All_PCC_a[[#This Row],[Lo (uH)]]&lt;1,"&lt;1",IF(All_PCC_a[[#This Row],[Lo (uH)]]&lt;10,"&lt;10",IF(All_PCC_a[[#This Row],[Lo (uH)]]&lt;100,"&lt;100",IF(All_PCC_a[[#This Row],[Lo (uH)]]&lt;2000,"&lt;2000",""))))</f>
        <v>&lt;100</v>
      </c>
      <c r="S125" s="87" t="str">
        <f>IFERROR(VLOOKUP(All_PCC_a[[#This Row],[Lo (uH)]],Utility!$D$5:$E$43,2,1),"-")</f>
        <v>≤  50</v>
      </c>
      <c r="T125" s="98">
        <v>0.2</v>
      </c>
      <c r="U125" s="127">
        <v>125</v>
      </c>
      <c r="V125" s="127">
        <v>138</v>
      </c>
      <c r="W125" s="97">
        <v>10</v>
      </c>
      <c r="X125" s="87">
        <v>3.4</v>
      </c>
      <c r="Y125" s="97">
        <v>2.9</v>
      </c>
      <c r="Z125" s="118">
        <v>5.4</v>
      </c>
      <c r="AA125" s="87">
        <v>3.96</v>
      </c>
      <c r="AB125" s="96">
        <v>8.5</v>
      </c>
      <c r="AC125" s="96">
        <v>8</v>
      </c>
      <c r="AD125" s="97">
        <v>5.4</v>
      </c>
      <c r="AE125" s="96">
        <f>ROUND(All_PCC_a[[#This Row],[L (mm)]]*All_PCC_a[[#This Row],[W (mm)]],1)</f>
        <v>68</v>
      </c>
      <c r="AF125" s="87" t="str">
        <f>All_PCC_a[[#This Row],[L (mm)]]&amp;"  x  "&amp;All_PCC_a[[#This Row],[W (mm)]]</f>
        <v>8.5  x  8</v>
      </c>
      <c r="AG125" s="99" t="s">
        <v>624</v>
      </c>
      <c r="AH125" s="97" t="str">
        <f>IF(All_PCC_a[[#This Row],[Max Height (mm)]]&lt;=9,"≤ "&amp;ROUNDUP(AD125,0),"≤"&amp;ROUNDUP(AD125,0))</f>
        <v>≤ 6</v>
      </c>
      <c r="AI125" s="100">
        <v>-40</v>
      </c>
      <c r="AJ125" s="100">
        <v>150</v>
      </c>
      <c r="AK125" s="68" t="str">
        <f>All_PCC_a[[#This Row],[Min Temp (deg.C)]]&amp;" to +"&amp;All_PCC_a[[#This Row],[Max Temp (deg.C)]]</f>
        <v>-40 to +150</v>
      </c>
      <c r="AL125" s="96"/>
      <c r="AM125" s="96"/>
      <c r="AN125" s="96"/>
      <c r="AO125" s="97" t="s">
        <v>124</v>
      </c>
      <c r="AP125" s="97" t="str">
        <f t="shared" si="19"/>
        <v>-</v>
      </c>
      <c r="AQ125" s="98" t="s">
        <v>138</v>
      </c>
      <c r="AR125" s="87" t="s">
        <v>138</v>
      </c>
      <c r="AS125" s="68" t="s">
        <v>992</v>
      </c>
      <c r="AT125" s="96" t="s">
        <v>594</v>
      </c>
      <c r="AU125" s="96" t="e" vm="7">
        <f>_xlfn.IMAGE(All_PCC_a[[#This Row],[Image URL]])</f>
        <v>#VALUE!</v>
      </c>
      <c r="AV125" s="96"/>
      <c r="AW125" s="96"/>
      <c r="AY125" s="68"/>
      <c r="BC125" s="96">
        <f>IF(Z125&lt;('DCDC Ref'!$J$24/'DCDC Ref'!$J$26)*'DCDC Ref'!$J$28/100,0,1)</f>
        <v>1</v>
      </c>
      <c r="BD125" s="360">
        <f>IF(BC125=1000000000,"",('All Data'!Q125-'DCDC Ref'!$J$30)/'DCDC Ref'!$J$30*100)</f>
        <v>7495.6043956043959</v>
      </c>
      <c r="BE125" s="295">
        <f t="shared" si="12"/>
        <v>7495.6043956043959</v>
      </c>
      <c r="BF125" s="295"/>
      <c r="BG125" s="360"/>
      <c r="BH125" s="361">
        <f t="shared" si="13"/>
        <v>0</v>
      </c>
      <c r="BI125" s="295"/>
      <c r="BJ125" s="96">
        <f>IF(BC125=0,"",('All Data'!Z125-'DCDC Ref'!$J$28*('DCDC Ref'!$J$29/100))/'DCDC Ref'!$J$28*('DCDC Ref'!$J$29/100)*100)</f>
        <v>-51.586206896551722</v>
      </c>
      <c r="BK125" s="361">
        <f t="shared" si="14"/>
        <v>10000</v>
      </c>
      <c r="BL125" s="361"/>
      <c r="BM125" s="361"/>
      <c r="BN125" s="361"/>
      <c r="BO125" s="361"/>
      <c r="BP125" s="96"/>
      <c r="BQ125" s="298">
        <f t="shared" si="15"/>
        <v>37528021.978021979</v>
      </c>
      <c r="BR125" s="298">
        <f>IF(BQ125="","",RANK(BQ125,BQ$11:BQ$9930,1)+COUNTIF(BQ$11:BQ125,BQ125)-1)</f>
        <v>140</v>
      </c>
      <c r="BS125" s="299">
        <f t="shared" si="18"/>
        <v>140</v>
      </c>
      <c r="BT125" s="96" t="str">
        <f>IFERROR(INDEX($O$11:$O$1013,MATCH(ROWS($BS$11:BS125),$BS$11:$BS$1005,0)),"")</f>
        <v>ETQP4M220YFN</v>
      </c>
      <c r="BU125" s="299" t="str">
        <f t="shared" si="16"/>
        <v>ETQP4M220YFN</v>
      </c>
      <c r="BV125" s="96"/>
    </row>
    <row r="126" spans="1:75" ht="15">
      <c r="A126" s="95">
        <v>35</v>
      </c>
      <c r="B126" s="259" t="s">
        <v>584</v>
      </c>
      <c r="C126" s="95"/>
      <c r="D126" s="95" t="s">
        <v>585</v>
      </c>
      <c r="E126" s="110"/>
      <c r="F126" s="68" t="s">
        <v>153</v>
      </c>
      <c r="G126" s="154" t="s">
        <v>586</v>
      </c>
      <c r="H126" s="96" t="s">
        <v>587</v>
      </c>
      <c r="I126" s="154" t="s">
        <v>588</v>
      </c>
      <c r="J126" s="96" t="s">
        <v>589</v>
      </c>
      <c r="K126" s="96" t="s">
        <v>590</v>
      </c>
      <c r="L126" s="96" t="s">
        <v>658</v>
      </c>
      <c r="M126" s="96" t="s">
        <v>669</v>
      </c>
      <c r="N126" s="96" t="s">
        <v>22</v>
      </c>
      <c r="O126" s="102" t="s">
        <v>131</v>
      </c>
      <c r="P126" s="37" t="str">
        <f>MID(All_PCC_a[[#This Row],[Part Number]],7,3)</f>
        <v>470</v>
      </c>
      <c r="Q126" s="97">
        <v>48</v>
      </c>
      <c r="R126" s="87" t="str">
        <f>IF(All_PCC_a[[#This Row],[Lo (uH)]]&lt;1,"&lt;1",IF(All_PCC_a[[#This Row],[Lo (uH)]]&lt;10,"&lt;10",IF(All_PCC_a[[#This Row],[Lo (uH)]]&lt;100,"&lt;100",IF(All_PCC_a[[#This Row],[Lo (uH)]]&lt;2000,"&lt;2000",""))))</f>
        <v>&lt;100</v>
      </c>
      <c r="S126" s="87" t="str">
        <f>IFERROR(VLOOKUP(All_PCC_a[[#This Row],[Lo (uH)]],Utility!$D$5:$E$43,2,1),"-")</f>
        <v>≤  50</v>
      </c>
      <c r="T126" s="98">
        <v>0.2</v>
      </c>
      <c r="U126" s="127">
        <v>156</v>
      </c>
      <c r="V126" s="127">
        <v>172</v>
      </c>
      <c r="W126" s="97">
        <v>10</v>
      </c>
      <c r="X126" s="87">
        <v>2.9</v>
      </c>
      <c r="Y126" s="97">
        <v>2.2999999999999998</v>
      </c>
      <c r="Z126" s="119">
        <v>4.0999999999999996</v>
      </c>
      <c r="AA126" s="87">
        <v>2.94</v>
      </c>
      <c r="AB126" s="96">
        <v>7.5</v>
      </c>
      <c r="AC126" s="96">
        <v>7</v>
      </c>
      <c r="AD126" s="97">
        <v>5.4</v>
      </c>
      <c r="AE126" s="96">
        <f>ROUND(All_PCC_a[[#This Row],[L (mm)]]*All_PCC_a[[#This Row],[W (mm)]],1)</f>
        <v>52.5</v>
      </c>
      <c r="AF126" s="87" t="str">
        <f>All_PCC_a[[#This Row],[L (mm)]]&amp;"  x  "&amp;All_PCC_a[[#This Row],[W (mm)]]</f>
        <v>7.5  x  7</v>
      </c>
      <c r="AG126" s="319" t="s">
        <v>661</v>
      </c>
      <c r="AH126" s="97" t="str">
        <f>IF(All_PCC_a[[#This Row],[Max Height (mm)]]&lt;=9,"≤ "&amp;ROUNDUP(AD126,0),"≤"&amp;ROUNDUP(AD126,0))</f>
        <v>≤ 6</v>
      </c>
      <c r="AI126" s="100">
        <v>-40</v>
      </c>
      <c r="AJ126" s="100">
        <v>150</v>
      </c>
      <c r="AK126" s="68" t="str">
        <f>All_PCC_a[[#This Row],[Min Temp (deg.C)]]&amp;" to +"&amp;All_PCC_a[[#This Row],[Max Temp (deg.C)]]</f>
        <v>-40 to +150</v>
      </c>
      <c r="AL126" s="96"/>
      <c r="AM126" s="96"/>
      <c r="AN126" s="96"/>
      <c r="AO126" s="97" t="s">
        <v>124</v>
      </c>
      <c r="AP126" s="97" t="str">
        <f t="shared" si="19"/>
        <v>-</v>
      </c>
      <c r="AQ126" s="97" t="s">
        <v>138</v>
      </c>
      <c r="AR126" s="87" t="s">
        <v>138</v>
      </c>
      <c r="AS126" s="68" t="s">
        <v>993</v>
      </c>
      <c r="AT126" s="96" t="s">
        <v>594</v>
      </c>
      <c r="AU126" s="96" t="e" vm="7">
        <f>_xlfn.IMAGE(All_PCC_a[[#This Row],[Image URL]])</f>
        <v>#VALUE!</v>
      </c>
      <c r="AV126" s="96"/>
      <c r="AW126" s="96"/>
      <c r="AY126" s="68"/>
      <c r="BC126" s="96">
        <f>IF(Z126&lt;('DCDC Ref'!$J$24/'DCDC Ref'!$J$26)*'DCDC Ref'!$J$28/100,0,1)</f>
        <v>1</v>
      </c>
      <c r="BD126" s="360">
        <f>IF(BC126=1000000000,"",('All Data'!Q126-'DCDC Ref'!$J$30)/'DCDC Ref'!$J$30*100)</f>
        <v>7495.6043956043959</v>
      </c>
      <c r="BE126" s="295">
        <f t="shared" si="12"/>
        <v>7495.6043956043959</v>
      </c>
      <c r="BF126" s="295"/>
      <c r="BG126" s="360"/>
      <c r="BH126" s="361">
        <f t="shared" si="13"/>
        <v>0</v>
      </c>
      <c r="BI126" s="295"/>
      <c r="BJ126" s="96">
        <f>IF(BC126=0,"",('All Data'!Z126-'DCDC Ref'!$J$28*('DCDC Ref'!$J$29/100))/'DCDC Ref'!$J$28*('DCDC Ref'!$J$29/100)*100)</f>
        <v>-63.24137931034484</v>
      </c>
      <c r="BK126" s="361">
        <f t="shared" si="14"/>
        <v>10000</v>
      </c>
      <c r="BL126" s="361"/>
      <c r="BM126" s="361"/>
      <c r="BN126" s="361"/>
      <c r="BO126" s="361"/>
      <c r="BP126" s="96"/>
      <c r="BQ126" s="298">
        <f t="shared" si="15"/>
        <v>37528021.978021979</v>
      </c>
      <c r="BR126" s="298">
        <f>IF(BQ126="","",RANK(BQ126,BQ$11:BQ$9930,1)+COUNTIF(BQ$11:BQ126,BQ126)-1)</f>
        <v>141</v>
      </c>
      <c r="BS126" s="299">
        <f t="shared" si="18"/>
        <v>141</v>
      </c>
      <c r="BT126" s="96" t="str">
        <f>IFERROR(INDEX($O$11:$O$1013,MATCH(ROWS($BS$11:BS126),$BS$11:$BS$1005,0)),"")</f>
        <v>ETQP4M220YFP</v>
      </c>
      <c r="BU126" s="299" t="str">
        <f t="shared" si="16"/>
        <v>ETQP4M220YFP</v>
      </c>
      <c r="BV126" s="96"/>
    </row>
    <row r="127" spans="1:75" ht="15">
      <c r="A127" s="95">
        <v>22</v>
      </c>
      <c r="B127" s="259" t="s">
        <v>584</v>
      </c>
      <c r="C127" s="95"/>
      <c r="D127" s="95" t="s">
        <v>585</v>
      </c>
      <c r="E127" s="109"/>
      <c r="F127" s="68" t="s">
        <v>153</v>
      </c>
      <c r="G127" s="69" t="s">
        <v>586</v>
      </c>
      <c r="H127" s="68" t="s">
        <v>587</v>
      </c>
      <c r="I127" s="69" t="s">
        <v>588</v>
      </c>
      <c r="J127" s="68" t="s">
        <v>589</v>
      </c>
      <c r="K127" s="68" t="s">
        <v>590</v>
      </c>
      <c r="L127" s="68" t="s">
        <v>631</v>
      </c>
      <c r="M127" s="68" t="s">
        <v>632</v>
      </c>
      <c r="N127" s="68" t="s">
        <v>593</v>
      </c>
      <c r="O127" s="34" t="s">
        <v>133</v>
      </c>
      <c r="P127" s="37" t="str">
        <f>MID(All_PCC_a[[#This Row],[Part Number]],7,3)</f>
        <v>680</v>
      </c>
      <c r="Q127" s="87">
        <v>66</v>
      </c>
      <c r="R127" s="87" t="str">
        <f>IF(All_PCC_a[[#This Row],[Lo (uH)]]&lt;1,"&lt;1",IF(All_PCC_a[[#This Row],[Lo (uH)]]&lt;10,"&lt;10",IF(All_PCC_a[[#This Row],[Lo (uH)]]&lt;100,"&lt;100",IF(All_PCC_a[[#This Row],[Lo (uH)]]&lt;2000,"&lt;2000",""))))</f>
        <v>&lt;100</v>
      </c>
      <c r="S127" s="87" t="str">
        <f>IFERROR(VLOOKUP(All_PCC_a[[#This Row],[Lo (uH)]],Utility!$D$5:$E$43,2,1),"-")</f>
        <v>≤  70</v>
      </c>
      <c r="T127" s="88">
        <v>0.2</v>
      </c>
      <c r="U127" s="126">
        <v>136</v>
      </c>
      <c r="V127" s="126">
        <v>149.6</v>
      </c>
      <c r="W127" s="87">
        <v>10</v>
      </c>
      <c r="X127" s="87">
        <v>3.6</v>
      </c>
      <c r="Y127" s="87">
        <v>3</v>
      </c>
      <c r="Z127" s="117">
        <v>4.9000000000000004</v>
      </c>
      <c r="AA127" s="87">
        <v>3.75</v>
      </c>
      <c r="AB127" s="68">
        <v>10.7</v>
      </c>
      <c r="AC127" s="68">
        <v>10</v>
      </c>
      <c r="AD127" s="87">
        <v>5.4</v>
      </c>
      <c r="AE127" s="68">
        <f>ROUND(All_PCC_a[[#This Row],[L (mm)]]*All_PCC_a[[#This Row],[W (mm)]],1)</f>
        <v>107</v>
      </c>
      <c r="AF127" s="87" t="str">
        <f>All_PCC_a[[#This Row],[L (mm)]]&amp;"  x  "&amp;All_PCC_a[[#This Row],[W (mm)]]</f>
        <v>10.7  x  10</v>
      </c>
      <c r="AG127" s="91" t="s">
        <v>324</v>
      </c>
      <c r="AH127" s="97" t="str">
        <f>IF(All_PCC_a[[#This Row],[Max Height (mm)]]&lt;=9,"≤ "&amp;ROUNDUP(AD127,0),"≤"&amp;ROUNDUP(AD127,0))</f>
        <v>≤ 6</v>
      </c>
      <c r="AI127" s="68">
        <v>-40</v>
      </c>
      <c r="AJ127" s="68">
        <v>150</v>
      </c>
      <c r="AK127" s="68" t="str">
        <f>All_PCC_a[[#This Row],[Min Temp (deg.C)]]&amp;" to +"&amp;All_PCC_a[[#This Row],[Max Temp (deg.C)]]</f>
        <v>-40 to +150</v>
      </c>
      <c r="AL127" s="68"/>
      <c r="AO127" s="87" t="s">
        <v>138</v>
      </c>
      <c r="AP127" s="97" t="str">
        <f t="shared" si="19"/>
        <v>-</v>
      </c>
      <c r="AQ127" s="87" t="s">
        <v>138</v>
      </c>
      <c r="AR127" s="87" t="s">
        <v>138</v>
      </c>
      <c r="AS127" s="68" t="s">
        <v>994</v>
      </c>
      <c r="AT127" s="68" t="s">
        <v>594</v>
      </c>
      <c r="AU127" s="96" t="e" vm="7">
        <f>_xlfn.IMAGE(All_PCC_a[[#This Row],[Image URL]])</f>
        <v>#VALUE!</v>
      </c>
      <c r="AW127" s="68"/>
      <c r="AY127" s="68"/>
      <c r="BC127" s="96">
        <f>IF(Z127&lt;('DCDC Ref'!$J$24/'DCDC Ref'!$J$26)*'DCDC Ref'!$J$28/100,0,1)</f>
        <v>1</v>
      </c>
      <c r="BD127" s="360">
        <f>IF(BC127=1000000000,"",('All Data'!Q127-'DCDC Ref'!$J$30)/'DCDC Ref'!$J$30*100)</f>
        <v>10343.956043956045</v>
      </c>
      <c r="BE127" s="295">
        <f t="shared" si="12"/>
        <v>10343.956043956045</v>
      </c>
      <c r="BF127" s="295"/>
      <c r="BG127" s="360"/>
      <c r="BH127" s="361">
        <f t="shared" si="13"/>
        <v>0</v>
      </c>
      <c r="BI127" s="295"/>
      <c r="BJ127" s="96">
        <f>IF(BC127=0,"",('All Data'!Z127-'DCDC Ref'!$J$28*('DCDC Ref'!$J$29/100))/'DCDC Ref'!$J$28*('DCDC Ref'!$J$29/100)*100)</f>
        <v>-56.068965517241374</v>
      </c>
      <c r="BK127" s="361">
        <f t="shared" si="14"/>
        <v>10000</v>
      </c>
      <c r="BL127" s="361"/>
      <c r="BM127" s="361"/>
      <c r="BN127" s="361"/>
      <c r="BO127" s="361"/>
      <c r="BP127" s="96"/>
      <c r="BQ127" s="298">
        <f t="shared" si="15"/>
        <v>51769780.219780222</v>
      </c>
      <c r="BR127" s="298">
        <f>IF(BQ127="","",RANK(BQ127,BQ$11:BQ$9930,1)+COUNTIF(BQ$11:BQ127,BQ127)-1)</f>
        <v>142</v>
      </c>
      <c r="BS127" s="299">
        <f t="shared" si="18"/>
        <v>142</v>
      </c>
      <c r="BT127" s="96" t="str">
        <f>IFERROR(INDEX($O$11:$O$1013,MATCH(ROWS($BS$11:BS127),$BS$11:$BS$1005,0)),"")</f>
        <v>ETQP5M220YFC</v>
      </c>
      <c r="BU127" s="299" t="str">
        <f t="shared" si="16"/>
        <v>ETQP5M220YFC</v>
      </c>
      <c r="BV127" s="96"/>
    </row>
    <row r="128" spans="1:75" ht="15">
      <c r="A128" s="95">
        <v>108</v>
      </c>
      <c r="B128" s="259" t="s">
        <v>584</v>
      </c>
      <c r="C128" s="95" t="s">
        <v>691</v>
      </c>
      <c r="D128" s="133" t="s">
        <v>585</v>
      </c>
      <c r="E128" s="237"/>
      <c r="F128" s="254" t="s">
        <v>153</v>
      </c>
      <c r="G128" s="156" t="s">
        <v>586</v>
      </c>
      <c r="H128" s="132" t="s">
        <v>587</v>
      </c>
      <c r="I128" s="156" t="s">
        <v>588</v>
      </c>
      <c r="J128" s="132" t="s">
        <v>589</v>
      </c>
      <c r="K128" s="133" t="s">
        <v>590</v>
      </c>
      <c r="L128" s="133" t="s">
        <v>658</v>
      </c>
      <c r="M128" s="133" t="s">
        <v>659</v>
      </c>
      <c r="N128" s="133" t="s">
        <v>593</v>
      </c>
      <c r="O128" s="34" t="s">
        <v>692</v>
      </c>
      <c r="P128" s="37" t="str">
        <f>MID(All_PCC_a[[#This Row],[Part Number]],7,3)</f>
        <v>680</v>
      </c>
      <c r="Q128" s="239">
        <v>68</v>
      </c>
      <c r="R128" s="135" t="str">
        <f>IF(All_PCC_a[[#This Row],[Lo (uH)]]&lt;1,"&lt;1",IF(All_PCC_a[[#This Row],[Lo (uH)]]&lt;10,"&lt;10",IF(All_PCC_a[[#This Row],[Lo (uH)]]&lt;100,"&lt;100",IF(All_PCC_a[[#This Row],[Lo (uH)]]&lt;2000,"&lt;2000",""))))</f>
        <v>&lt;100</v>
      </c>
      <c r="S128" s="135" t="str">
        <f>IFERROR(VLOOKUP(All_PCC_a[[#This Row],[Lo (uH)]],Utility!$D$5:$E$43,2,1),"-")</f>
        <v>≤  70</v>
      </c>
      <c r="T128" s="136">
        <v>0.2</v>
      </c>
      <c r="U128" s="242">
        <v>251</v>
      </c>
      <c r="V128" s="245">
        <f>All_PCC_a[[#This Row],[DCR Typ (mOhm)]]*1.1</f>
        <v>276.10000000000002</v>
      </c>
      <c r="W128" s="135">
        <v>10</v>
      </c>
      <c r="X128" s="240">
        <v>2.2999999999999998</v>
      </c>
      <c r="Y128" s="239">
        <v>1.9</v>
      </c>
      <c r="Z128" s="241">
        <v>3.9</v>
      </c>
      <c r="AA128" s="135">
        <v>2.75</v>
      </c>
      <c r="AB128" s="133">
        <v>7.5</v>
      </c>
      <c r="AC128" s="133">
        <v>7</v>
      </c>
      <c r="AD128" s="239">
        <v>5.4</v>
      </c>
      <c r="AE128" s="133">
        <f>ROUND(All_PCC_a[[#This Row],[L (mm)]]*All_PCC_a[[#This Row],[W (mm)]],1)</f>
        <v>52.5</v>
      </c>
      <c r="AF128" s="87" t="str">
        <f>All_PCC_a[[#This Row],[L (mm)]]&amp;"  x  "&amp;All_PCC_a[[#This Row],[W (mm)]]</f>
        <v>7.5  x  7</v>
      </c>
      <c r="AG128" s="141" t="s">
        <v>661</v>
      </c>
      <c r="AH128" s="97" t="str">
        <f>IF(All_PCC_a[[#This Row],[Max Height (mm)]]&lt;=9,"≤ "&amp;ROUNDUP(AD128,0),"≤"&amp;ROUNDUP(AD128,0))</f>
        <v>≤ 6</v>
      </c>
      <c r="AI128" s="244">
        <v>-40</v>
      </c>
      <c r="AJ128" s="133">
        <v>150</v>
      </c>
      <c r="AK128" s="68" t="str">
        <f>All_PCC_a[[#This Row],[Min Temp (deg.C)]]&amp;" to +"&amp;All_PCC_a[[#This Row],[Max Temp (deg.C)]]</f>
        <v>-40 to +150</v>
      </c>
      <c r="AL128" s="133"/>
      <c r="AM128" s="133"/>
      <c r="AN128" s="133"/>
      <c r="AO128" s="135" t="s">
        <v>138</v>
      </c>
      <c r="AP128" s="240" t="str">
        <f t="shared" si="19"/>
        <v>-</v>
      </c>
      <c r="AQ128" s="135" t="s">
        <v>138</v>
      </c>
      <c r="AR128" s="135" t="s">
        <v>138</v>
      </c>
      <c r="AS128" s="132" t="s">
        <v>995</v>
      </c>
      <c r="AT128" s="95" t="s">
        <v>594</v>
      </c>
      <c r="AU128" s="96" t="e" vm="7">
        <f>_xlfn.IMAGE(All_PCC_a[[#This Row],[Image URL]])</f>
        <v>#VALUE!</v>
      </c>
      <c r="AV128" s="133"/>
      <c r="AW128" s="133"/>
      <c r="AY128" s="68"/>
      <c r="BC128" s="96">
        <f>IF(Z128&lt;('DCDC Ref'!$J$24/'DCDC Ref'!$J$26)*'DCDC Ref'!$J$28/100,0,1)</f>
        <v>1</v>
      </c>
      <c r="BD128" s="360">
        <f>IF(BC128=1000000000,"",('All Data'!Q128-'DCDC Ref'!$J$30)/'DCDC Ref'!$J$30*100)</f>
        <v>10660.439560439561</v>
      </c>
      <c r="BE128" s="295">
        <f t="shared" si="12"/>
        <v>10660.439560439561</v>
      </c>
      <c r="BF128" s="295"/>
      <c r="BG128" s="360"/>
      <c r="BH128" s="361">
        <f t="shared" si="13"/>
        <v>0</v>
      </c>
      <c r="BI128" s="295"/>
      <c r="BJ128" s="96">
        <f>IF(BC128=0,"",('All Data'!Z128-'DCDC Ref'!$J$28*('DCDC Ref'!$J$29/100))/'DCDC Ref'!$J$28*('DCDC Ref'!$J$29/100)*100)</f>
        <v>-65.034482758620697</v>
      </c>
      <c r="BK128" s="361">
        <f t="shared" si="14"/>
        <v>10000</v>
      </c>
      <c r="BL128" s="361"/>
      <c r="BM128" s="361"/>
      <c r="BN128" s="361"/>
      <c r="BO128" s="361"/>
      <c r="BP128" s="96"/>
      <c r="BQ128" s="298">
        <f t="shared" si="15"/>
        <v>53352197.802197807</v>
      </c>
      <c r="BR128" s="298">
        <f>IF(BQ128="","",RANK(BQ128,BQ$11:BQ$9930,1)+COUNTIF(BQ$11:BQ128,BQ128)-1)</f>
        <v>143</v>
      </c>
      <c r="BS128" s="299">
        <f t="shared" si="18"/>
        <v>143</v>
      </c>
      <c r="BT128" s="96" t="str">
        <f>IFERROR(INDEX($O$11:$O$1013,MATCH(ROWS($BS$11:BS128),$BS$11:$BS$1005,0)),"")</f>
        <v>ETQP5M220YFK</v>
      </c>
      <c r="BU128" s="299" t="str">
        <f t="shared" si="16"/>
        <v>ETQP5M220YFK</v>
      </c>
      <c r="BV128" s="96"/>
    </row>
    <row r="129" spans="1:74">
      <c r="A129" s="95">
        <v>118</v>
      </c>
      <c r="B129" s="259" t="s">
        <v>584</v>
      </c>
      <c r="C129" s="95" t="s">
        <v>610</v>
      </c>
      <c r="D129" s="95" t="s">
        <v>585</v>
      </c>
      <c r="E129" s="231"/>
      <c r="F129" s="68" t="s">
        <v>153</v>
      </c>
      <c r="G129" s="69" t="s">
        <v>586</v>
      </c>
      <c r="H129" s="68" t="s">
        <v>587</v>
      </c>
      <c r="I129" s="69" t="s">
        <v>588</v>
      </c>
      <c r="J129" s="68" t="s">
        <v>589</v>
      </c>
      <c r="K129" s="68" t="s">
        <v>601</v>
      </c>
      <c r="L129" s="68" t="s">
        <v>629</v>
      </c>
      <c r="M129" s="95" t="s">
        <v>630</v>
      </c>
      <c r="N129" s="95" t="s">
        <v>593</v>
      </c>
      <c r="O129" s="34" t="s">
        <v>693</v>
      </c>
      <c r="P129" s="37" t="str">
        <f>MID(All_PCC_a[[#This Row],[Part Number]],7,3)</f>
        <v>680</v>
      </c>
      <c r="Q129" s="129">
        <v>68</v>
      </c>
      <c r="R129" s="130" t="str">
        <f>IF(All_PCC_a[[#This Row],[Lo (uH)]]&lt;1,"&lt;1",IF(All_PCC_a[[#This Row],[Lo (uH)]]&lt;10,"&lt;10",IF(All_PCC_a[[#This Row],[Lo (uH)]]&lt;100,"&lt;100",IF(All_PCC_a[[#This Row],[Lo (uH)]]&lt;2000,"&lt;2000",""))))</f>
        <v>&lt;100</v>
      </c>
      <c r="S129" s="97" t="str">
        <f>IFERROR(VLOOKUP(All_PCC_a[[#This Row],[Lo (uH)]],Utility!$D$5:$E$43,2,1),"-")</f>
        <v>≤  70</v>
      </c>
      <c r="T129" s="88">
        <v>0.2</v>
      </c>
      <c r="U129" s="131">
        <v>178.4</v>
      </c>
      <c r="V129" s="125">
        <v>196.24</v>
      </c>
      <c r="W129" s="87">
        <v>10</v>
      </c>
      <c r="X129" s="130">
        <v>2.9</v>
      </c>
      <c r="Y129" s="129">
        <v>2.4</v>
      </c>
      <c r="Z129" s="251">
        <v>4.7</v>
      </c>
      <c r="AA129" s="562">
        <v>3.35</v>
      </c>
      <c r="AB129" s="95">
        <v>10.7</v>
      </c>
      <c r="AC129" s="95">
        <v>10</v>
      </c>
      <c r="AD129" s="87">
        <v>4</v>
      </c>
      <c r="AE129" s="95">
        <f>ROUND(All_PCC_a[[#This Row],[L (mm)]]*All_PCC_a[[#This Row],[W (mm)]],1)</f>
        <v>107</v>
      </c>
      <c r="AF129" s="87" t="str">
        <f>All_PCC_a[[#This Row],[L (mm)]]&amp;"  x  "&amp;All_PCC_a[[#This Row],[W (mm)]]</f>
        <v>10.7  x  10</v>
      </c>
      <c r="AG129" s="91" t="s">
        <v>324</v>
      </c>
      <c r="AH129" s="97" t="str">
        <f>IF(All_PCC_a[[#This Row],[Max Height (mm)]]&lt;=9,"≤ "&amp;ROUNDUP(AD129,0),"≤"&amp;ROUNDUP(AD129,0))</f>
        <v>≤ 4</v>
      </c>
      <c r="AI129" s="68">
        <v>-55</v>
      </c>
      <c r="AJ129" s="68">
        <v>155</v>
      </c>
      <c r="AK129" s="68" t="str">
        <f>All_PCC_a[[#This Row],[Min Temp (deg.C)]]&amp;" to +"&amp;All_PCC_a[[#This Row],[Max Temp (deg.C)]]</f>
        <v>-55 to +155</v>
      </c>
      <c r="AL129" s="95"/>
      <c r="AM129" s="95"/>
      <c r="AN129" s="95"/>
      <c r="AO129" s="87" t="s">
        <v>138</v>
      </c>
      <c r="AP129" s="97" t="str">
        <f t="shared" si="19"/>
        <v>-</v>
      </c>
      <c r="AQ129" s="87" t="s">
        <v>138</v>
      </c>
      <c r="AR129" s="87" t="s">
        <v>138</v>
      </c>
      <c r="AS129" s="95" t="s">
        <v>996</v>
      </c>
      <c r="AT129" s="95" t="s">
        <v>606</v>
      </c>
      <c r="AU129" s="96" t="e" vm="9">
        <f>_xlfn.IMAGE(All_PCC_a[[#This Row],[Image URL]])</f>
        <v>#VALUE!</v>
      </c>
      <c r="AV129" s="95"/>
      <c r="AW129" s="95"/>
      <c r="AY129" s="68"/>
      <c r="BC129" s="96">
        <f>IF(Z129&lt;('DCDC Ref'!$J$24/'DCDC Ref'!$J$26)*'DCDC Ref'!$J$28/100,0,1)</f>
        <v>1</v>
      </c>
      <c r="BD129" s="360">
        <f>IF(BC129=1000000000,"",('All Data'!Q129-'DCDC Ref'!$J$30)/'DCDC Ref'!$J$30*100)</f>
        <v>10660.439560439561</v>
      </c>
      <c r="BE129" s="295">
        <f t="shared" si="12"/>
        <v>10660.439560439561</v>
      </c>
      <c r="BF129" s="295"/>
      <c r="BG129" s="360"/>
      <c r="BH129" s="361">
        <f t="shared" si="13"/>
        <v>0</v>
      </c>
      <c r="BI129" s="295"/>
      <c r="BJ129" s="96">
        <f>IF(BC129=0,"",('All Data'!Z129-'DCDC Ref'!$J$28*('DCDC Ref'!$J$29/100))/'DCDC Ref'!$J$28*('DCDC Ref'!$J$29/100)*100)</f>
        <v>-57.862068965517246</v>
      </c>
      <c r="BK129" s="361">
        <f t="shared" si="14"/>
        <v>10000</v>
      </c>
      <c r="BL129" s="361"/>
      <c r="BM129" s="361"/>
      <c r="BN129" s="361"/>
      <c r="BO129" s="361"/>
      <c r="BP129" s="96"/>
      <c r="BQ129" s="298">
        <f t="shared" si="15"/>
        <v>53352197.802197807</v>
      </c>
      <c r="BR129" s="298">
        <f>IF(BQ129="","",RANK(BQ129,BQ$11:BQ$9930,1)+COUNTIF(BQ$11:BQ129,BQ129)-1)</f>
        <v>144</v>
      </c>
      <c r="BS129" s="299">
        <f t="shared" si="18"/>
        <v>144</v>
      </c>
      <c r="BT129" s="96" t="str">
        <f>IFERROR(INDEX($O$11:$O$1013,MATCH(ROWS($BS$11:BS129),$BS$11:$BS$1005,0)),"")</f>
        <v>ETQP5M220YFM</v>
      </c>
      <c r="BU129" s="299" t="str">
        <f t="shared" si="16"/>
        <v>ETQP5M220YFM</v>
      </c>
      <c r="BV129" s="96"/>
    </row>
    <row r="130" spans="1:74">
      <c r="A130" s="95">
        <v>125</v>
      </c>
      <c r="B130" s="259" t="s">
        <v>584</v>
      </c>
      <c r="C130" s="286">
        <v>44883</v>
      </c>
      <c r="D130" s="95" t="s">
        <v>585</v>
      </c>
      <c r="E130" s="231"/>
      <c r="F130" s="95" t="s">
        <v>23</v>
      </c>
      <c r="G130" s="231" t="s">
        <v>586</v>
      </c>
      <c r="H130" s="95" t="s">
        <v>587</v>
      </c>
      <c r="I130" s="231" t="s">
        <v>588</v>
      </c>
      <c r="J130" s="95" t="s">
        <v>589</v>
      </c>
      <c r="K130" s="95" t="s">
        <v>590</v>
      </c>
      <c r="L130" s="95" t="s">
        <v>664</v>
      </c>
      <c r="M130" s="95" t="s">
        <v>665</v>
      </c>
      <c r="N130" s="95" t="s">
        <v>593</v>
      </c>
      <c r="O130" s="34" t="s">
        <v>694</v>
      </c>
      <c r="P130" s="37" t="str">
        <f>MID(All_PCC_a[[#This Row],[Part Number]],7,3)</f>
        <v>820</v>
      </c>
      <c r="Q130" s="129">
        <v>82</v>
      </c>
      <c r="R130" s="130" t="str">
        <f>IF(All_PCC_a[[#This Row],[Lo (uH)]]&lt;1,"&lt;1",IF(All_PCC_a[[#This Row],[Lo (uH)]]&lt;10,"&lt;10",IF(All_PCC_a[[#This Row],[Lo (uH)]]&lt;100,"&lt;100",IF(All_PCC_a[[#This Row],[Lo (uH)]]&lt;2000,"&lt;2000",""))))</f>
        <v>&lt;100</v>
      </c>
      <c r="S130" s="97" t="str">
        <f>IFERROR(VLOOKUP(All_PCC_a[[#This Row],[Lo (uH)]],Utility!$D$5:$E$43,2,1),"-")</f>
        <v>≤  90</v>
      </c>
      <c r="T130" s="250">
        <v>0.2</v>
      </c>
      <c r="U130" s="131">
        <v>194</v>
      </c>
      <c r="V130" s="125">
        <v>213.4</v>
      </c>
      <c r="W130" s="87">
        <v>10</v>
      </c>
      <c r="X130" s="130">
        <v>2.8</v>
      </c>
      <c r="Y130" s="129">
        <v>2.2000000000000002</v>
      </c>
      <c r="Z130" s="251">
        <v>4.3</v>
      </c>
      <c r="AA130" s="129">
        <v>3.1</v>
      </c>
      <c r="AB130" s="95">
        <v>10.7</v>
      </c>
      <c r="AC130" s="95">
        <v>10</v>
      </c>
      <c r="AD130" s="129">
        <v>5</v>
      </c>
      <c r="AE130" s="95">
        <f>ROUND(All_PCC_a[[#This Row],[L (mm)]]*All_PCC_a[[#This Row],[W (mm)]],1)</f>
        <v>107</v>
      </c>
      <c r="AF130" s="87" t="str">
        <f>All_PCC_a[[#This Row],[L (mm)]]&amp;"  x  "&amp;All_PCC_a[[#This Row],[W (mm)]]</f>
        <v>10.7  x  10</v>
      </c>
      <c r="AG130" s="91" t="s">
        <v>324</v>
      </c>
      <c r="AH130" s="97" t="str">
        <f>IF(All_PCC_a[[#This Row],[Max Height (mm)]]&lt;=9,"≤ "&amp;ROUNDUP(AD130,0),"≤"&amp;ROUNDUP(AD130,0))</f>
        <v>≤ 5</v>
      </c>
      <c r="AI130" s="95">
        <v>-40</v>
      </c>
      <c r="AJ130" s="95">
        <v>150</v>
      </c>
      <c r="AK130" s="68" t="str">
        <f>All_PCC_a[[#This Row],[Min Temp (deg.C)]]&amp;" to +"&amp;All_PCC_a[[#This Row],[Max Temp (deg.C)]]</f>
        <v>-40 to +150</v>
      </c>
      <c r="AL130" s="95"/>
      <c r="AM130" s="95"/>
      <c r="AN130" s="95"/>
      <c r="AO130" s="87" t="s">
        <v>138</v>
      </c>
      <c r="AP130" s="130" t="str">
        <f t="shared" si="19"/>
        <v>-</v>
      </c>
      <c r="AQ130" s="87" t="s">
        <v>138</v>
      </c>
      <c r="AR130" s="87" t="s">
        <v>138</v>
      </c>
      <c r="AS130" s="95" t="s">
        <v>997</v>
      </c>
      <c r="AT130" s="95" t="s">
        <v>594</v>
      </c>
      <c r="AU130" s="96" t="e" vm="7">
        <f>_xlfn.IMAGE(All_PCC_a[[#This Row],[Image URL]])</f>
        <v>#VALUE!</v>
      </c>
      <c r="AV130" s="95"/>
      <c r="AW130" s="95"/>
      <c r="AY130" s="68"/>
      <c r="BC130" s="96">
        <f>IF(Z130&lt;('DCDC Ref'!$J$24/'DCDC Ref'!$J$26)*'DCDC Ref'!$J$28/100,0,1)</f>
        <v>1</v>
      </c>
      <c r="BD130" s="360">
        <f>IF(BC130=1000000000,"",('All Data'!Q130-'DCDC Ref'!$J$30)/'DCDC Ref'!$J$30*100)</f>
        <v>12875.824175824175</v>
      </c>
      <c r="BE130" s="295">
        <f t="shared" si="12"/>
        <v>12875.824175824175</v>
      </c>
      <c r="BF130" s="295"/>
      <c r="BG130" s="360"/>
      <c r="BH130" s="361">
        <f t="shared" si="13"/>
        <v>0</v>
      </c>
      <c r="BI130" s="295"/>
      <c r="BJ130" s="96">
        <f>IF(BC130=0,"",('All Data'!Z130-'DCDC Ref'!$J$28*('DCDC Ref'!$J$29/100))/'DCDC Ref'!$J$28*('DCDC Ref'!$J$29/100)*100)</f>
        <v>-61.448275862068968</v>
      </c>
      <c r="BK130" s="361">
        <f t="shared" si="14"/>
        <v>10000</v>
      </c>
      <c r="BL130" s="361"/>
      <c r="BM130" s="361"/>
      <c r="BN130" s="361"/>
      <c r="BO130" s="361"/>
      <c r="BP130" s="96"/>
      <c r="BQ130" s="298">
        <f t="shared" si="15"/>
        <v>64429120.879120871</v>
      </c>
      <c r="BR130" s="298">
        <f>IF(BQ130="","",RANK(BQ130,BQ$11:BQ$9930,1)+COUNTIF(BQ$11:BQ130,BQ130)-1)</f>
        <v>145</v>
      </c>
      <c r="BS130" s="299">
        <f t="shared" si="18"/>
        <v>145</v>
      </c>
      <c r="BT130" s="96" t="str">
        <f>IFERROR(INDEX($O$11:$O$1013,MATCH(ROWS($BS$11:BS130),$BS$11:$BS$1005,0)),"")</f>
        <v>ETQP3M220KVN</v>
      </c>
      <c r="BU130" s="299" t="str">
        <f t="shared" si="16"/>
        <v>ETQP3M220KVN</v>
      </c>
      <c r="BV130" s="96"/>
    </row>
    <row r="131" spans="1:74" ht="15">
      <c r="A131" s="95">
        <v>36</v>
      </c>
      <c r="B131" s="259" t="s">
        <v>584</v>
      </c>
      <c r="C131" s="95"/>
      <c r="D131" s="95" t="s">
        <v>585</v>
      </c>
      <c r="E131" s="109"/>
      <c r="F131" s="68" t="s">
        <v>153</v>
      </c>
      <c r="G131" s="69" t="s">
        <v>586</v>
      </c>
      <c r="H131" s="68" t="s">
        <v>587</v>
      </c>
      <c r="I131" s="69" t="s">
        <v>588</v>
      </c>
      <c r="J131" s="68" t="s">
        <v>589</v>
      </c>
      <c r="K131" s="68" t="s">
        <v>590</v>
      </c>
      <c r="L131" s="68" t="s">
        <v>695</v>
      </c>
      <c r="M131" s="68" t="s">
        <v>696</v>
      </c>
      <c r="N131" s="68" t="s">
        <v>593</v>
      </c>
      <c r="O131" s="34" t="s">
        <v>134</v>
      </c>
      <c r="P131" s="37" t="str">
        <f>MID(All_PCC_a[[#This Row],[Part Number]],7,3)</f>
        <v>101</v>
      </c>
      <c r="Q131" s="87">
        <v>95</v>
      </c>
      <c r="R131" s="87" t="str">
        <f>IF(All_PCC_a[[#This Row],[Lo (uH)]]&lt;1,"&lt;1",IF(All_PCC_a[[#This Row],[Lo (uH)]]&lt;10,"&lt;10",IF(All_PCC_a[[#This Row],[Lo (uH)]]&lt;100,"&lt;100",IF(All_PCC_a[[#This Row],[Lo (uH)]]&lt;2000,"&lt;2000",""))))</f>
        <v>&lt;100</v>
      </c>
      <c r="S131" s="87" t="str">
        <f>IFERROR(VLOOKUP(All_PCC_a[[#This Row],[Lo (uH)]],Utility!$D$5:$E$43,2,1),"-")</f>
        <v>≤ 100</v>
      </c>
      <c r="T131" s="88">
        <v>0.2</v>
      </c>
      <c r="U131" s="126">
        <v>348</v>
      </c>
      <c r="V131" s="126">
        <v>382.8</v>
      </c>
      <c r="W131" s="87">
        <v>10</v>
      </c>
      <c r="X131" s="87">
        <v>1.9</v>
      </c>
      <c r="Y131" s="87">
        <v>1.4</v>
      </c>
      <c r="Z131" s="117">
        <v>3.1</v>
      </c>
      <c r="AA131" s="87">
        <v>2.4700000000000002</v>
      </c>
      <c r="AB131" s="68">
        <v>7.5</v>
      </c>
      <c r="AC131" s="68">
        <v>7</v>
      </c>
      <c r="AD131" s="87">
        <v>5</v>
      </c>
      <c r="AE131" s="68">
        <f>ROUND(All_PCC_a[[#This Row],[L (mm)]]*All_PCC_a[[#This Row],[W (mm)]],1)</f>
        <v>52.5</v>
      </c>
      <c r="AF131" s="87" t="str">
        <f>All_PCC_a[[#This Row],[L (mm)]]&amp;"  x  "&amp;All_PCC_a[[#This Row],[W (mm)]]</f>
        <v>7.5  x  7</v>
      </c>
      <c r="AG131" s="141" t="s">
        <v>661</v>
      </c>
      <c r="AH131" s="97" t="str">
        <f>IF(All_PCC_a[[#This Row],[Max Height (mm)]]&lt;=9,"≤ "&amp;ROUNDUP(AD131,0),"≤"&amp;ROUNDUP(AD131,0))</f>
        <v>≤ 5</v>
      </c>
      <c r="AI131" s="68">
        <v>-40</v>
      </c>
      <c r="AJ131" s="68">
        <v>150</v>
      </c>
      <c r="AK131" s="68" t="str">
        <f>All_PCC_a[[#This Row],[Min Temp (deg.C)]]&amp;" to +"&amp;All_PCC_a[[#This Row],[Max Temp (deg.C)]]</f>
        <v>-40 to +150</v>
      </c>
      <c r="AL131" s="68"/>
      <c r="AO131" s="87" t="s">
        <v>138</v>
      </c>
      <c r="AP131" s="97" t="str">
        <f t="shared" si="19"/>
        <v>-</v>
      </c>
      <c r="AQ131" s="87" t="s">
        <v>138</v>
      </c>
      <c r="AR131" s="87" t="s">
        <v>138</v>
      </c>
      <c r="AS131" s="68" t="s">
        <v>998</v>
      </c>
      <c r="AT131" s="68" t="s">
        <v>594</v>
      </c>
      <c r="AU131" s="96" t="e" vm="7">
        <f>_xlfn.IMAGE(All_PCC_a[[#This Row],[Image URL]])</f>
        <v>#VALUE!</v>
      </c>
      <c r="AW131" s="68"/>
      <c r="AY131" s="68"/>
      <c r="BC131" s="96">
        <f>IF(Z131&lt;('DCDC Ref'!$J$24/'DCDC Ref'!$J$26)*'DCDC Ref'!$J$28/100,0,1)</f>
        <v>1</v>
      </c>
      <c r="BD131" s="360">
        <f>IF(BC131=1000000000,"",('All Data'!Q131-'DCDC Ref'!$J$30)/'DCDC Ref'!$J$30*100)</f>
        <v>14932.967032967033</v>
      </c>
      <c r="BE131" s="295">
        <f t="shared" si="12"/>
        <v>14932.967032967033</v>
      </c>
      <c r="BF131" s="295"/>
      <c r="BG131" s="360"/>
      <c r="BH131" s="361">
        <f t="shared" si="13"/>
        <v>0</v>
      </c>
      <c r="BI131" s="295"/>
      <c r="BJ131" s="96">
        <f>IF(BC131=0,"",('All Data'!Z131-'DCDC Ref'!$J$28*('DCDC Ref'!$J$29/100))/'DCDC Ref'!$J$28*('DCDC Ref'!$J$29/100)*100)</f>
        <v>-72.206896551724142</v>
      </c>
      <c r="BK131" s="361">
        <f t="shared" si="14"/>
        <v>10000</v>
      </c>
      <c r="BL131" s="361"/>
      <c r="BM131" s="361"/>
      <c r="BN131" s="361"/>
      <c r="BO131" s="361"/>
      <c r="BP131" s="96"/>
      <c r="BQ131" s="298">
        <f t="shared" si="15"/>
        <v>74714835.16483517</v>
      </c>
      <c r="BR131" s="298">
        <f>IF(BQ131="","",RANK(BQ131,BQ$11:BQ$9930,1)+COUNTIF(BQ$11:BQ131,BQ131)-1)</f>
        <v>146</v>
      </c>
      <c r="BS131" s="299">
        <f t="shared" si="18"/>
        <v>146</v>
      </c>
      <c r="BT131" s="96" t="str">
        <f>IFERROR(INDEX($O$11:$O$1013,MATCH(ROWS($BS$11:BS131),$BS$11:$BS$1005,0)),"")</f>
        <v>ETQP4M220KVK</v>
      </c>
      <c r="BU131" s="299" t="str">
        <f t="shared" si="16"/>
        <v>ETQP4M220KVK</v>
      </c>
      <c r="BV131" s="96"/>
    </row>
    <row r="132" spans="1:74" ht="15">
      <c r="A132" s="95">
        <v>23</v>
      </c>
      <c r="B132" s="259" t="s">
        <v>584</v>
      </c>
      <c r="C132" s="95"/>
      <c r="D132" s="95" t="s">
        <v>585</v>
      </c>
      <c r="E132" s="110"/>
      <c r="F132" s="68" t="s">
        <v>153</v>
      </c>
      <c r="G132" s="154" t="s">
        <v>586</v>
      </c>
      <c r="H132" s="96" t="s">
        <v>587</v>
      </c>
      <c r="I132" s="154" t="s">
        <v>588</v>
      </c>
      <c r="J132" s="96" t="s">
        <v>589</v>
      </c>
      <c r="K132" s="96" t="s">
        <v>590</v>
      </c>
      <c r="L132" s="96" t="s">
        <v>697</v>
      </c>
      <c r="M132" s="96" t="s">
        <v>665</v>
      </c>
      <c r="N132" s="96" t="s">
        <v>22</v>
      </c>
      <c r="O132" s="34" t="s">
        <v>135</v>
      </c>
      <c r="P132" s="37" t="str">
        <f>MID(All_PCC_a[[#This Row],[Part Number]],7,3)</f>
        <v>101</v>
      </c>
      <c r="Q132" s="97">
        <v>97</v>
      </c>
      <c r="R132" s="87" t="str">
        <f>IF(All_PCC_a[[#This Row],[Lo (uH)]]&lt;1,"&lt;1",IF(All_PCC_a[[#This Row],[Lo (uH)]]&lt;10,"&lt;10",IF(All_PCC_a[[#This Row],[Lo (uH)]]&lt;100,"&lt;100",IF(All_PCC_a[[#This Row],[Lo (uH)]]&lt;2000,"&lt;2000",""))))</f>
        <v>&lt;100</v>
      </c>
      <c r="S132" s="87" t="str">
        <f>IFERROR(VLOOKUP(All_PCC_a[[#This Row],[Lo (uH)]],Utility!$D$5:$E$43,2,1),"-")</f>
        <v>≤ 100</v>
      </c>
      <c r="T132" s="98">
        <v>0.2</v>
      </c>
      <c r="U132" s="127">
        <v>208</v>
      </c>
      <c r="V132" s="127">
        <v>229</v>
      </c>
      <c r="W132" s="97">
        <v>10</v>
      </c>
      <c r="X132" s="87">
        <v>2.7</v>
      </c>
      <c r="Y132" s="97">
        <v>2.2000000000000002</v>
      </c>
      <c r="Z132" s="118">
        <v>3</v>
      </c>
      <c r="AA132" s="87">
        <v>2.1800000000000002</v>
      </c>
      <c r="AB132" s="96">
        <v>10.7</v>
      </c>
      <c r="AC132" s="96">
        <v>10</v>
      </c>
      <c r="AD132" s="97">
        <v>5</v>
      </c>
      <c r="AE132" s="96">
        <f>ROUND(All_PCC_a[[#This Row],[L (mm)]]*All_PCC_a[[#This Row],[W (mm)]],1)</f>
        <v>107</v>
      </c>
      <c r="AF132" s="87" t="str">
        <f>All_PCC_a[[#This Row],[L (mm)]]&amp;"  x  "&amp;All_PCC_a[[#This Row],[W (mm)]]</f>
        <v>10.7  x  10</v>
      </c>
      <c r="AG132" s="99" t="s">
        <v>324</v>
      </c>
      <c r="AH132" s="97" t="str">
        <f>IF(All_PCC_a[[#This Row],[Max Height (mm)]]&lt;=9,"≤ "&amp;ROUNDUP(AD132,0),"≤"&amp;ROUNDUP(AD132,0))</f>
        <v>≤ 5</v>
      </c>
      <c r="AI132" s="100">
        <v>-40</v>
      </c>
      <c r="AJ132" s="100">
        <v>150</v>
      </c>
      <c r="AK132" s="68" t="str">
        <f>All_PCC_a[[#This Row],[Min Temp (deg.C)]]&amp;" to +"&amp;All_PCC_a[[#This Row],[Max Temp (deg.C)]]</f>
        <v>-40 to +150</v>
      </c>
      <c r="AL132" s="96"/>
      <c r="AM132" s="96"/>
      <c r="AN132" s="96"/>
      <c r="AO132" s="97" t="s">
        <v>124</v>
      </c>
      <c r="AP132" s="97" t="str">
        <f t="shared" si="19"/>
        <v>-</v>
      </c>
      <c r="AQ132" s="97" t="s">
        <v>138</v>
      </c>
      <c r="AR132" s="87" t="s">
        <v>138</v>
      </c>
      <c r="AS132" s="68" t="s">
        <v>999</v>
      </c>
      <c r="AT132" s="96" t="s">
        <v>594</v>
      </c>
      <c r="AU132" s="96" t="e" vm="7">
        <f>_xlfn.IMAGE(All_PCC_a[[#This Row],[Image URL]])</f>
        <v>#VALUE!</v>
      </c>
      <c r="AV132" s="96"/>
      <c r="AW132" s="96"/>
      <c r="AY132" s="68"/>
      <c r="BC132" s="96">
        <f>IF(Z132&lt;('DCDC Ref'!$J$24/'DCDC Ref'!$J$26)*'DCDC Ref'!$J$28/100,0,1)</f>
        <v>1</v>
      </c>
      <c r="BD132" s="360">
        <f>IF(BC132=1000000000,"",('All Data'!Q132-'DCDC Ref'!$J$30)/'DCDC Ref'!$J$30*100)</f>
        <v>15249.450549450548</v>
      </c>
      <c r="BE132" s="295">
        <f t="shared" si="12"/>
        <v>15249.450549450548</v>
      </c>
      <c r="BF132" s="295"/>
      <c r="BG132" s="360"/>
      <c r="BH132" s="361">
        <f t="shared" si="13"/>
        <v>0</v>
      </c>
      <c r="BI132" s="295"/>
      <c r="BJ132" s="96">
        <f>IF(BC132=0,"",('All Data'!Z132-'DCDC Ref'!$J$28*('DCDC Ref'!$J$29/100))/'DCDC Ref'!$J$28*('DCDC Ref'!$J$29/100)*100)</f>
        <v>-73.103448275862064</v>
      </c>
      <c r="BK132" s="361">
        <f t="shared" si="14"/>
        <v>10000</v>
      </c>
      <c r="BL132" s="361"/>
      <c r="BM132" s="361"/>
      <c r="BN132" s="361"/>
      <c r="BO132" s="361"/>
      <c r="BP132" s="96"/>
      <c r="BQ132" s="298">
        <f t="shared" si="15"/>
        <v>76297252.747252747</v>
      </c>
      <c r="BR132" s="298">
        <f>IF(BQ132="","",RANK(BQ132,BQ$11:BQ$9930,1)+COUNTIF(BQ$11:BQ132,BQ132)-1)</f>
        <v>147</v>
      </c>
      <c r="BS132" s="299">
        <f t="shared" si="18"/>
        <v>147</v>
      </c>
      <c r="BT132" s="96" t="str">
        <f>IFERROR(INDEX($O$11:$O$1013,MATCH(ROWS($BS$11:BS132),$BS$11:$BS$1005,0)),"")</f>
        <v>ETQP4M220KVC</v>
      </c>
      <c r="BU132" s="299" t="str">
        <f t="shared" si="16"/>
        <v>ETQP4M220KVC</v>
      </c>
      <c r="BV132" s="96"/>
    </row>
    <row r="133" spans="1:74" ht="15">
      <c r="A133" s="95">
        <v>29</v>
      </c>
      <c r="B133" s="259" t="s">
        <v>584</v>
      </c>
      <c r="C133" s="95"/>
      <c r="D133" s="95" t="s">
        <v>585</v>
      </c>
      <c r="E133" s="110"/>
      <c r="F133" s="68" t="s">
        <v>153</v>
      </c>
      <c r="G133" s="154" t="s">
        <v>586</v>
      </c>
      <c r="H133" s="96" t="s">
        <v>587</v>
      </c>
      <c r="I133" s="154" t="s">
        <v>588</v>
      </c>
      <c r="J133" s="96" t="s">
        <v>589</v>
      </c>
      <c r="K133" s="96" t="s">
        <v>590</v>
      </c>
      <c r="L133" s="96" t="s">
        <v>698</v>
      </c>
      <c r="M133" s="96" t="s">
        <v>699</v>
      </c>
      <c r="N133" s="96" t="s">
        <v>22</v>
      </c>
      <c r="O133" s="34" t="s">
        <v>136</v>
      </c>
      <c r="P133" s="37" t="str">
        <f>MID(All_PCC_a[[#This Row],[Part Number]],7,3)</f>
        <v>101</v>
      </c>
      <c r="Q133" s="97">
        <v>100</v>
      </c>
      <c r="R133" s="87" t="str">
        <f>IF(All_PCC_a[[#This Row],[Lo (uH)]]&lt;1,"&lt;1",IF(All_PCC_a[[#This Row],[Lo (uH)]]&lt;10,"&lt;10",IF(All_PCC_a[[#This Row],[Lo (uH)]]&lt;100,"&lt;100",IF(All_PCC_a[[#This Row],[Lo (uH)]]&lt;2000,"&lt;2000",""))))</f>
        <v>&lt;2000</v>
      </c>
      <c r="S133" s="87" t="str">
        <f>IFERROR(VLOOKUP(All_PCC_a[[#This Row],[Lo (uH)]],Utility!$D$5:$E$43,2,1),"-")</f>
        <v>≤ 100</v>
      </c>
      <c r="T133" s="106">
        <v>0.2</v>
      </c>
      <c r="U133" s="127">
        <v>302</v>
      </c>
      <c r="V133" s="127">
        <v>333</v>
      </c>
      <c r="W133" s="97">
        <v>10</v>
      </c>
      <c r="X133" s="87">
        <v>2.1</v>
      </c>
      <c r="Y133" s="97">
        <v>1.7</v>
      </c>
      <c r="Z133" s="118">
        <v>3</v>
      </c>
      <c r="AA133" s="87">
        <v>1.98</v>
      </c>
      <c r="AB133" s="96">
        <v>8.5</v>
      </c>
      <c r="AC133" s="96">
        <v>8</v>
      </c>
      <c r="AD133" s="97">
        <v>5</v>
      </c>
      <c r="AE133" s="96">
        <f>ROUND(All_PCC_a[[#This Row],[L (mm)]]*All_PCC_a[[#This Row],[W (mm)]],1)</f>
        <v>68</v>
      </c>
      <c r="AF133" s="87" t="str">
        <f>All_PCC_a[[#This Row],[L (mm)]]&amp;"  x  "&amp;All_PCC_a[[#This Row],[W (mm)]]</f>
        <v>8.5  x  8</v>
      </c>
      <c r="AG133" s="99" t="s">
        <v>624</v>
      </c>
      <c r="AH133" s="97" t="str">
        <f>IF(All_PCC_a[[#This Row],[Max Height (mm)]]&lt;=9,"≤ "&amp;ROUNDUP(AD133,0),"≤"&amp;ROUNDUP(AD133,0))</f>
        <v>≤ 5</v>
      </c>
      <c r="AI133" s="100">
        <v>-40</v>
      </c>
      <c r="AJ133" s="100">
        <v>150</v>
      </c>
      <c r="AK133" s="68" t="str">
        <f>All_PCC_a[[#This Row],[Min Temp (deg.C)]]&amp;" to +"&amp;All_PCC_a[[#This Row],[Max Temp (deg.C)]]</f>
        <v>-40 to +150</v>
      </c>
      <c r="AL133" s="96"/>
      <c r="AM133" s="96"/>
      <c r="AN133" s="96"/>
      <c r="AO133" s="97" t="s">
        <v>124</v>
      </c>
      <c r="AP133" s="97" t="str">
        <f t="shared" si="19"/>
        <v>-</v>
      </c>
      <c r="AQ133" s="97" t="s">
        <v>138</v>
      </c>
      <c r="AR133" s="87" t="s">
        <v>138</v>
      </c>
      <c r="AS133" s="68" t="s">
        <v>1000</v>
      </c>
      <c r="AT133" s="96" t="s">
        <v>594</v>
      </c>
      <c r="AU133" s="96" t="e" vm="7">
        <f>_xlfn.IMAGE(All_PCC_a[[#This Row],[Image URL]])</f>
        <v>#VALUE!</v>
      </c>
      <c r="AV133" s="96"/>
      <c r="AW133" s="96"/>
      <c r="AY133" s="68"/>
      <c r="BC133" s="96">
        <f>IF(Z133&lt;('DCDC Ref'!$J$24/'DCDC Ref'!$J$26)*'DCDC Ref'!$J$28/100,0,1)</f>
        <v>1</v>
      </c>
      <c r="BD133" s="360">
        <f>IF(BC133=1000000000,"",('All Data'!Q133-'DCDC Ref'!$J$30)/'DCDC Ref'!$J$30*100)</f>
        <v>15724.175824175825</v>
      </c>
      <c r="BE133" s="295">
        <f t="shared" si="12"/>
        <v>15724.175824175825</v>
      </c>
      <c r="BF133" s="295"/>
      <c r="BG133" s="360"/>
      <c r="BH133" s="361">
        <f t="shared" si="13"/>
        <v>0</v>
      </c>
      <c r="BI133" s="295"/>
      <c r="BJ133" s="96">
        <f>IF(BC133=0,"",('All Data'!Z133-'DCDC Ref'!$J$28*('DCDC Ref'!$J$29/100))/'DCDC Ref'!$J$28*('DCDC Ref'!$J$29/100)*100)</f>
        <v>-73.103448275862064</v>
      </c>
      <c r="BK133" s="361">
        <f t="shared" si="14"/>
        <v>10000</v>
      </c>
      <c r="BL133" s="361"/>
      <c r="BM133" s="361"/>
      <c r="BN133" s="361"/>
      <c r="BO133" s="361"/>
      <c r="BP133" s="96"/>
      <c r="BQ133" s="298">
        <f t="shared" si="15"/>
        <v>78670879.120879129</v>
      </c>
      <c r="BR133" s="298">
        <f>IF(BQ133="","",RANK(BQ133,BQ$11:BQ$9930,1)+COUNTIF(BQ$11:BQ133,BQ133)-1)</f>
        <v>148</v>
      </c>
      <c r="BS133" s="299">
        <f t="shared" si="18"/>
        <v>148</v>
      </c>
      <c r="BT133" s="96" t="str">
        <f>IFERROR(INDEX($O$11:$O$1013,MATCH(ROWS($BS$11:BS133),$BS$11:$BS$1005,0)),"")</f>
        <v>ETQP3M220HFN</v>
      </c>
      <c r="BU133" s="299" t="str">
        <f t="shared" si="16"/>
        <v>ETQP3M220HFN</v>
      </c>
      <c r="BV133" s="96"/>
    </row>
    <row r="134" spans="1:74">
      <c r="A134" s="95">
        <v>117</v>
      </c>
      <c r="B134" s="259" t="s">
        <v>584</v>
      </c>
      <c r="C134" s="95" t="s">
        <v>610</v>
      </c>
      <c r="D134" s="95" t="s">
        <v>585</v>
      </c>
      <c r="E134" s="231"/>
      <c r="F134" s="68" t="s">
        <v>153</v>
      </c>
      <c r="G134" s="69" t="s">
        <v>586</v>
      </c>
      <c r="H134" s="68" t="s">
        <v>587</v>
      </c>
      <c r="I134" s="69" t="s">
        <v>588</v>
      </c>
      <c r="J134" s="68" t="s">
        <v>589</v>
      </c>
      <c r="K134" s="68" t="s">
        <v>601</v>
      </c>
      <c r="L134" s="68" t="s">
        <v>629</v>
      </c>
      <c r="M134" s="95" t="s">
        <v>630</v>
      </c>
      <c r="N134" s="95" t="s">
        <v>593</v>
      </c>
      <c r="O134" s="34" t="s">
        <v>700</v>
      </c>
      <c r="P134" s="37" t="str">
        <f>MID(All_PCC_a[[#This Row],[Part Number]],7,3)</f>
        <v>101</v>
      </c>
      <c r="Q134" s="129">
        <v>100</v>
      </c>
      <c r="R134" s="130" t="str">
        <f>IF(All_PCC_a[[#This Row],[Lo (uH)]]&lt;1,"&lt;1",IF(All_PCC_a[[#This Row],[Lo (uH)]]&lt;10,"&lt;10",IF(All_PCC_a[[#This Row],[Lo (uH)]]&lt;100,"&lt;100",IF(All_PCC_a[[#This Row],[Lo (uH)]]&lt;2000,"&lt;2000",""))))</f>
        <v>&lt;2000</v>
      </c>
      <c r="S134" s="97" t="str">
        <f>IFERROR(VLOOKUP(All_PCC_a[[#This Row],[Lo (uH)]],Utility!$D$5:$E$43,2,1),"-")</f>
        <v>≤ 100</v>
      </c>
      <c r="T134" s="88">
        <v>0.2</v>
      </c>
      <c r="U134" s="131">
        <v>242</v>
      </c>
      <c r="V134" s="125">
        <v>266.2</v>
      </c>
      <c r="W134" s="87">
        <v>10</v>
      </c>
      <c r="X134" s="130">
        <v>2.5</v>
      </c>
      <c r="Y134" s="129">
        <v>2</v>
      </c>
      <c r="Z134" s="251">
        <v>3.5</v>
      </c>
      <c r="AA134" s="129">
        <v>2.5</v>
      </c>
      <c r="AB134" s="95">
        <v>10.7</v>
      </c>
      <c r="AC134" s="95">
        <v>10</v>
      </c>
      <c r="AD134" s="87">
        <v>4</v>
      </c>
      <c r="AE134" s="95">
        <f>ROUND(All_PCC_a[[#This Row],[L (mm)]]*All_PCC_a[[#This Row],[W (mm)]],1)</f>
        <v>107</v>
      </c>
      <c r="AF134" s="87" t="str">
        <f>All_PCC_a[[#This Row],[L (mm)]]&amp;"  x  "&amp;All_PCC_a[[#This Row],[W (mm)]]</f>
        <v>10.7  x  10</v>
      </c>
      <c r="AG134" s="91" t="s">
        <v>324</v>
      </c>
      <c r="AH134" s="97" t="str">
        <f>IF(All_PCC_a[[#This Row],[Max Height (mm)]]&lt;=9,"≤ "&amp;ROUNDUP(AD134,0),"≤"&amp;ROUNDUP(AD134,0))</f>
        <v>≤ 4</v>
      </c>
      <c r="AI134" s="68">
        <v>-55</v>
      </c>
      <c r="AJ134" s="68">
        <v>155</v>
      </c>
      <c r="AK134" s="68" t="str">
        <f>All_PCC_a[[#This Row],[Min Temp (deg.C)]]&amp;" to +"&amp;All_PCC_a[[#This Row],[Max Temp (deg.C)]]</f>
        <v>-55 to +155</v>
      </c>
      <c r="AL134" s="95"/>
      <c r="AM134" s="95"/>
      <c r="AN134" s="95"/>
      <c r="AO134" s="87" t="s">
        <v>138</v>
      </c>
      <c r="AP134" s="97" t="str">
        <f t="shared" si="19"/>
        <v>-</v>
      </c>
      <c r="AQ134" s="87" t="s">
        <v>138</v>
      </c>
      <c r="AR134" s="87" t="s">
        <v>138</v>
      </c>
      <c r="AS134" s="95" t="s">
        <v>1001</v>
      </c>
      <c r="AT134" s="95" t="s">
        <v>606</v>
      </c>
      <c r="AU134" s="96" t="e" vm="9">
        <f>_xlfn.IMAGE(All_PCC_a[[#This Row],[Image URL]])</f>
        <v>#VALUE!</v>
      </c>
      <c r="AV134" s="95"/>
      <c r="AW134" s="95"/>
      <c r="AY134" s="68"/>
      <c r="BC134" s="96">
        <f>IF(Z134&lt;('DCDC Ref'!$J$24/'DCDC Ref'!$J$26)*'DCDC Ref'!$J$28/100,0,1)</f>
        <v>1</v>
      </c>
      <c r="BD134" s="360">
        <f>IF(BC134=1000000000,"",('All Data'!Q134-'DCDC Ref'!$J$30)/'DCDC Ref'!$J$30*100)</f>
        <v>15724.175824175825</v>
      </c>
      <c r="BE134" s="295">
        <f t="shared" si="12"/>
        <v>15724.175824175825</v>
      </c>
      <c r="BF134" s="295"/>
      <c r="BG134" s="360"/>
      <c r="BH134" s="361">
        <f t="shared" si="13"/>
        <v>0</v>
      </c>
      <c r="BI134" s="295"/>
      <c r="BJ134" s="96">
        <f>IF(BC134=0,"",('All Data'!Z134-'DCDC Ref'!$J$28*('DCDC Ref'!$J$29/100))/'DCDC Ref'!$J$28*('DCDC Ref'!$J$29/100)*100)</f>
        <v>-68.620689655172413</v>
      </c>
      <c r="BK134" s="361">
        <f t="shared" si="14"/>
        <v>10000</v>
      </c>
      <c r="BL134" s="361"/>
      <c r="BM134" s="361"/>
      <c r="BN134" s="361"/>
      <c r="BO134" s="361"/>
      <c r="BP134" s="96"/>
      <c r="BQ134" s="298">
        <f t="shared" si="15"/>
        <v>78670879.120879129</v>
      </c>
      <c r="BR134" s="298">
        <f>IF(BQ134="","",RANK(BQ134,BQ$11:BQ$9930,1)+COUNTIF(BQ$11:BQ134,BQ134)-1)</f>
        <v>149</v>
      </c>
      <c r="BS134" s="299">
        <f t="shared" si="18"/>
        <v>149</v>
      </c>
      <c r="BT134" s="96" t="str">
        <f>IFERROR(INDEX($O$11:$O$1013,MATCH(ROWS($BS$11:BS134),$BS$11:$BS$1005,0)),"")</f>
        <v>ETQP4M220KFM</v>
      </c>
      <c r="BU134" s="299" t="str">
        <f t="shared" si="16"/>
        <v>ETQP4M220KFM</v>
      </c>
      <c r="BV134" s="96"/>
    </row>
    <row r="135" spans="1:74" ht="15">
      <c r="A135" s="95"/>
      <c r="B135" s="259" t="s">
        <v>584</v>
      </c>
      <c r="C135" s="95" t="s">
        <v>850</v>
      </c>
      <c r="D135" s="95" t="s">
        <v>585</v>
      </c>
      <c r="E135" s="231"/>
      <c r="F135" s="255" t="s">
        <v>153</v>
      </c>
      <c r="G135" s="69" t="s">
        <v>586</v>
      </c>
      <c r="H135" s="68" t="s">
        <v>587</v>
      </c>
      <c r="I135" s="69" t="s">
        <v>588</v>
      </c>
      <c r="J135" s="68" t="s">
        <v>589</v>
      </c>
      <c r="K135" s="68" t="s">
        <v>625</v>
      </c>
      <c r="L135" s="68" t="s">
        <v>626</v>
      </c>
      <c r="M135" s="95" t="s">
        <v>701</v>
      </c>
      <c r="N135" s="95" t="s">
        <v>593</v>
      </c>
      <c r="O135" s="34" t="s">
        <v>702</v>
      </c>
      <c r="P135" s="37" t="str">
        <f>MID(All_PCC_a[[#This Row],[Part Number]],7,3)</f>
        <v>220</v>
      </c>
      <c r="Q135" s="129">
        <v>20</v>
      </c>
      <c r="R135" s="130" t="str">
        <f>IF(All_PCC_a[[#This Row],[Lo (uH)]]&lt;1,"&lt;1",IF(All_PCC_a[[#This Row],[Lo (uH)]]&lt;10,"&lt;10",IF(All_PCC_a[[#This Row],[Lo (uH)]]&lt;100,"&lt;100",IF(All_PCC_a[[#This Row],[Lo (uH)]]&lt;2000,"&lt;2000",""))))</f>
        <v>&lt;100</v>
      </c>
      <c r="S135" s="97" t="str">
        <f>IFERROR(VLOOKUP(All_PCC_a[[#This Row],[Lo (uH)]],Utility!$D$5:$E$43,2,1),"-")</f>
        <v>≤  20</v>
      </c>
      <c r="T135" s="248">
        <v>0.2</v>
      </c>
      <c r="U135" s="131">
        <v>45.5</v>
      </c>
      <c r="V135" s="125">
        <v>50.05</v>
      </c>
      <c r="W135" s="137">
        <v>10</v>
      </c>
      <c r="X135" s="130">
        <v>6.2</v>
      </c>
      <c r="Y135" s="129">
        <v>5.2</v>
      </c>
      <c r="Z135" s="251">
        <v>7.9</v>
      </c>
      <c r="AA135" s="129">
        <v>5.5</v>
      </c>
      <c r="AB135" s="95">
        <v>10.9</v>
      </c>
      <c r="AC135" s="68">
        <v>10</v>
      </c>
      <c r="AD135" s="129">
        <v>5.6</v>
      </c>
      <c r="AE135" s="68">
        <f>ROUND(All_PCC_a[[#This Row],[L (mm)]]*All_PCC_a[[#This Row],[W (mm)]],1)</f>
        <v>109</v>
      </c>
      <c r="AF135" s="129" t="str">
        <f>All_PCC_a[[#This Row],[L (mm)]]&amp;"  x  "&amp;All_PCC_a[[#This Row],[W (mm)]]</f>
        <v>10.9  x  10</v>
      </c>
      <c r="AG135" s="91" t="s">
        <v>324</v>
      </c>
      <c r="AH135" s="97" t="str">
        <f>IF(All_PCC_a[[#This Row],[Max Height (mm)]]&lt;=9,"≤ "&amp;ROUNDUP(AD135,0),"≤"&amp;ROUNDUP(AD135,0))</f>
        <v>≤ 6</v>
      </c>
      <c r="AI135" s="95">
        <v>-40</v>
      </c>
      <c r="AJ135" s="95">
        <v>150</v>
      </c>
      <c r="AK135" s="68" t="str">
        <f>All_PCC_a[[#This Row],[Min Temp (deg.C)]]&amp;" to +"&amp;All_PCC_a[[#This Row],[Max Temp (deg.C)]]</f>
        <v>-40 to +150</v>
      </c>
      <c r="AL135" s="68"/>
      <c r="AM135" s="95"/>
      <c r="AN135" s="95"/>
      <c r="AO135" s="87" t="s">
        <v>138</v>
      </c>
      <c r="AP135" s="130" t="str">
        <f t="shared" ref="AP135:AP144" si="20">IFERROR(IF(L1Round&gt;1,ROUND(L1Round,1),L1Round),"-")</f>
        <v>-</v>
      </c>
      <c r="AQ135" s="87" t="s">
        <v>138</v>
      </c>
      <c r="AR135" s="87" t="s">
        <v>138</v>
      </c>
      <c r="AS135" s="95" t="s">
        <v>1002</v>
      </c>
      <c r="AT135" s="95" t="s">
        <v>628</v>
      </c>
      <c r="AU135" s="95" t="e" vm="10">
        <f>_xlfn.IMAGE(All_PCC_a[[#This Row],[Image URL]])</f>
        <v>#VALUE!</v>
      </c>
      <c r="AV135" s="95"/>
      <c r="AW135" s="95"/>
      <c r="AY135" s="68"/>
      <c r="BC135" s="96">
        <f>IF(Z135&lt;('DCDC Ref'!$J$24/'DCDC Ref'!$J$26)*'DCDC Ref'!$J$28/100,0,1)</f>
        <v>1</v>
      </c>
      <c r="BD135" s="360">
        <f>IF(BC135=1000000000,"",('All Data'!Q135-'DCDC Ref'!$J$30)/'DCDC Ref'!$J$30*100)</f>
        <v>3064.8351648351654</v>
      </c>
      <c r="BE135" s="295">
        <f t="shared" si="12"/>
        <v>3064.8351648351654</v>
      </c>
      <c r="BF135" s="295"/>
      <c r="BG135" s="360"/>
      <c r="BH135" s="361">
        <f t="shared" si="13"/>
        <v>0</v>
      </c>
      <c r="BI135" s="295"/>
      <c r="BJ135" s="96">
        <f>IF(BC135=0,"",('All Data'!Z135-'DCDC Ref'!$J$28*('DCDC Ref'!$J$29/100))/'DCDC Ref'!$J$28*('DCDC Ref'!$J$29/100)*100)</f>
        <v>-29.172413793103452</v>
      </c>
      <c r="BK135" s="361">
        <f t="shared" si="14"/>
        <v>10000</v>
      </c>
      <c r="BL135" s="361"/>
      <c r="BM135" s="361"/>
      <c r="BN135" s="361"/>
      <c r="BO135" s="361"/>
      <c r="BP135" s="96"/>
      <c r="BQ135" s="298">
        <f t="shared" si="15"/>
        <v>15374175.824175827</v>
      </c>
      <c r="BR135" s="298">
        <f>IF(BQ135="","",RANK(BQ135,BQ$11:BQ$9930,1)+COUNTIF(BQ$11:BQ135,BQ135)-1)</f>
        <v>114</v>
      </c>
      <c r="BS135" s="299">
        <f t="shared" si="18"/>
        <v>114</v>
      </c>
      <c r="BT135" s="96" t="str">
        <f>IFERROR(INDEX($O$11:$O$1013,MATCH(ROWS($BS$11:BS135),$BS$11:$BS$1005,0)),"")</f>
        <v>ETQP4M220KFN</v>
      </c>
      <c r="BU135" s="299" t="str">
        <f t="shared" si="16"/>
        <v>ETQP4M220KFN</v>
      </c>
      <c r="BV135" s="96"/>
    </row>
    <row r="136" spans="1:74" ht="15">
      <c r="A136" s="95"/>
      <c r="B136" s="259" t="s">
        <v>584</v>
      </c>
      <c r="C136" s="95" t="s">
        <v>850</v>
      </c>
      <c r="D136" s="95" t="s">
        <v>585</v>
      </c>
      <c r="E136" s="231"/>
      <c r="F136" s="255" t="s">
        <v>153</v>
      </c>
      <c r="G136" s="69" t="s">
        <v>586</v>
      </c>
      <c r="H136" s="68" t="s">
        <v>587</v>
      </c>
      <c r="I136" s="69" t="s">
        <v>588</v>
      </c>
      <c r="J136" s="68" t="s">
        <v>589</v>
      </c>
      <c r="K136" s="95" t="s">
        <v>625</v>
      </c>
      <c r="L136" s="68" t="s">
        <v>626</v>
      </c>
      <c r="M136" s="95" t="s">
        <v>703</v>
      </c>
      <c r="N136" s="95" t="s">
        <v>593</v>
      </c>
      <c r="O136" s="34" t="s">
        <v>704</v>
      </c>
      <c r="P136" s="37" t="str">
        <f>MID(All_PCC_a[[#This Row],[Part Number]],7,3)</f>
        <v>470</v>
      </c>
      <c r="Q136" s="129">
        <v>44</v>
      </c>
      <c r="R136" s="130" t="str">
        <f>IF(All_PCC_a[[#This Row],[Lo (uH)]]&lt;1,"&lt;1",IF(All_PCC_a[[#This Row],[Lo (uH)]]&lt;10,"&lt;10",IF(All_PCC_a[[#This Row],[Lo (uH)]]&lt;100,"&lt;100",IF(All_PCC_a[[#This Row],[Lo (uH)]]&lt;2000,"&lt;2000",""))))</f>
        <v>&lt;100</v>
      </c>
      <c r="S136" s="97" t="str">
        <f>IFERROR(VLOOKUP(All_PCC_a[[#This Row],[Lo (uH)]],Utility!$D$5:$E$43,2,1),"-")</f>
        <v>≤  50</v>
      </c>
      <c r="T136" s="248">
        <v>0.2</v>
      </c>
      <c r="U136" s="131">
        <v>102</v>
      </c>
      <c r="V136" s="125">
        <v>112.2</v>
      </c>
      <c r="W136" s="137">
        <v>10</v>
      </c>
      <c r="X136" s="130">
        <v>4.0999999999999996</v>
      </c>
      <c r="Y136" s="129">
        <v>3.4</v>
      </c>
      <c r="Z136" s="251">
        <v>5.6</v>
      </c>
      <c r="AA136" s="129">
        <v>4.5</v>
      </c>
      <c r="AB136" s="95">
        <v>10.9</v>
      </c>
      <c r="AC136" s="68">
        <v>10</v>
      </c>
      <c r="AD136" s="129">
        <v>5.4</v>
      </c>
      <c r="AE136" s="68">
        <f>ROUND(All_PCC_a[[#This Row],[L (mm)]]*All_PCC_a[[#This Row],[W (mm)]],1)</f>
        <v>109</v>
      </c>
      <c r="AF136" s="129" t="str">
        <f>All_PCC_a[[#This Row],[L (mm)]]&amp;"  x  "&amp;All_PCC_a[[#This Row],[W (mm)]]</f>
        <v>10.9  x  10</v>
      </c>
      <c r="AG136" s="91" t="s">
        <v>324</v>
      </c>
      <c r="AH136" s="97" t="str">
        <f>IF(All_PCC_a[[#This Row],[Max Height (mm)]]&lt;=9,"≤ "&amp;ROUNDUP(AD136,0),"≤"&amp;ROUNDUP(AD136,0))</f>
        <v>≤ 6</v>
      </c>
      <c r="AI136" s="95">
        <v>-40</v>
      </c>
      <c r="AJ136" s="95">
        <v>150</v>
      </c>
      <c r="AK136" s="68" t="str">
        <f>All_PCC_a[[#This Row],[Min Temp (deg.C)]]&amp;" to +"&amp;All_PCC_a[[#This Row],[Max Temp (deg.C)]]</f>
        <v>-40 to +150</v>
      </c>
      <c r="AL136" s="68"/>
      <c r="AM136" s="95"/>
      <c r="AN136" s="95"/>
      <c r="AO136" s="87" t="s">
        <v>138</v>
      </c>
      <c r="AP136" s="130" t="str">
        <f t="shared" si="20"/>
        <v>-</v>
      </c>
      <c r="AQ136" s="87" t="s">
        <v>138</v>
      </c>
      <c r="AR136" s="87" t="s">
        <v>138</v>
      </c>
      <c r="AS136" s="95" t="s">
        <v>1003</v>
      </c>
      <c r="AT136" s="95" t="s">
        <v>628</v>
      </c>
      <c r="AU136" s="95" t="e" vm="10">
        <f>_xlfn.IMAGE(All_PCC_a[[#This Row],[Image URL]])</f>
        <v>#VALUE!</v>
      </c>
      <c r="AV136" s="95"/>
      <c r="AW136" s="95"/>
      <c r="AY136" s="68"/>
      <c r="BC136" s="96">
        <f>IF(Z136&lt;('DCDC Ref'!$J$24/'DCDC Ref'!$J$26)*'DCDC Ref'!$J$28/100,0,1)</f>
        <v>1</v>
      </c>
      <c r="BD136" s="360">
        <f>IF(BC136=1000000000,"",('All Data'!Q136-'DCDC Ref'!$J$30)/'DCDC Ref'!$J$30*100)</f>
        <v>6862.6373626373634</v>
      </c>
      <c r="BE136" s="295">
        <f t="shared" si="12"/>
        <v>6862.6373626373634</v>
      </c>
      <c r="BF136" s="295"/>
      <c r="BG136" s="360"/>
      <c r="BH136" s="361">
        <f t="shared" si="13"/>
        <v>0</v>
      </c>
      <c r="BI136" s="295"/>
      <c r="BJ136" s="96">
        <f>IF(BC136=0,"",('All Data'!Z136-'DCDC Ref'!$J$28*('DCDC Ref'!$J$29/100))/'DCDC Ref'!$J$28*('DCDC Ref'!$J$29/100)*100)</f>
        <v>-49.793103448275872</v>
      </c>
      <c r="BK136" s="361">
        <f t="shared" si="14"/>
        <v>10000</v>
      </c>
      <c r="BL136" s="361"/>
      <c r="BM136" s="361"/>
      <c r="BN136" s="361"/>
      <c r="BO136" s="361"/>
      <c r="BP136" s="96"/>
      <c r="BQ136" s="298">
        <f t="shared" si="15"/>
        <v>34363186.813186817</v>
      </c>
      <c r="BR136" s="298">
        <f>IF(BQ136="","",RANK(BQ136,BQ$11:BQ$9930,1)+COUNTIF(BQ$11:BQ136,BQ136)-1)</f>
        <v>134</v>
      </c>
      <c r="BS136" s="299">
        <f t="shared" si="18"/>
        <v>134</v>
      </c>
      <c r="BT136" s="96" t="str">
        <f>IFERROR(INDEX($O$11:$O$1013,MATCH(ROWS($BS$11:BS136),$BS$11:$BS$1005,0)),"")</f>
        <v>ETQP3M220KVP</v>
      </c>
      <c r="BU136" s="299" t="str">
        <f t="shared" si="16"/>
        <v>ETQP3M220KVP</v>
      </c>
      <c r="BV136" s="96"/>
    </row>
    <row r="137" spans="1:74" ht="15">
      <c r="A137" s="95"/>
      <c r="B137" s="259" t="s">
        <v>584</v>
      </c>
      <c r="C137" s="95" t="s">
        <v>843</v>
      </c>
      <c r="D137" s="95" t="s">
        <v>585</v>
      </c>
      <c r="E137" s="231"/>
      <c r="F137" s="255" t="s">
        <v>153</v>
      </c>
      <c r="G137" s="69" t="s">
        <v>586</v>
      </c>
      <c r="H137" s="68" t="s">
        <v>587</v>
      </c>
      <c r="I137" s="69" t="s">
        <v>588</v>
      </c>
      <c r="J137" s="68" t="s">
        <v>589</v>
      </c>
      <c r="K137" s="95" t="s">
        <v>625</v>
      </c>
      <c r="L137" s="68" t="s">
        <v>626</v>
      </c>
      <c r="M137" s="95" t="s">
        <v>705</v>
      </c>
      <c r="N137" s="95" t="s">
        <v>593</v>
      </c>
      <c r="O137" s="34" t="s">
        <v>706</v>
      </c>
      <c r="P137" s="37" t="str">
        <f>MID(All_PCC_a[[#This Row],[Part Number]],7,3)</f>
        <v>2R5</v>
      </c>
      <c r="Q137" s="129">
        <v>2.5</v>
      </c>
      <c r="R137" s="130" t="str">
        <f>IF(All_PCC_a[[#This Row],[Lo (uH)]]&lt;1,"&lt;1",IF(All_PCC_a[[#This Row],[Lo (uH)]]&lt;10,"&lt;10",IF(All_PCC_a[[#This Row],[Lo (uH)]]&lt;100,"&lt;100",IF(All_PCC_a[[#This Row],[Lo (uH)]]&lt;2000,"&lt;2000",""))))</f>
        <v>&lt;10</v>
      </c>
      <c r="S137" s="97" t="str">
        <f>IFERROR(VLOOKUP(All_PCC_a[[#This Row],[Lo (uH)]],Utility!$D$5:$E$43,2,1),"-")</f>
        <v>≤   3</v>
      </c>
      <c r="T137" s="248">
        <v>0.2</v>
      </c>
      <c r="U137" s="131">
        <v>4.4800000000000004</v>
      </c>
      <c r="V137" s="125">
        <v>4.93</v>
      </c>
      <c r="W137" s="137">
        <v>10</v>
      </c>
      <c r="X137" s="130">
        <v>19.7</v>
      </c>
      <c r="Y137" s="129">
        <v>16.399999999999999</v>
      </c>
      <c r="Z137" s="251">
        <v>23.7</v>
      </c>
      <c r="AA137" s="129">
        <v>16.600000000000001</v>
      </c>
      <c r="AB137" s="95">
        <v>10.9</v>
      </c>
      <c r="AC137" s="68">
        <v>10</v>
      </c>
      <c r="AD137" s="129">
        <v>6</v>
      </c>
      <c r="AE137" s="68">
        <f>ROUND(All_PCC_a[[#This Row],[L (mm)]]*All_PCC_a[[#This Row],[W (mm)]],1)</f>
        <v>109</v>
      </c>
      <c r="AF137" s="129" t="str">
        <f>All_PCC_a[[#This Row],[L (mm)]]&amp;"  x  "&amp;All_PCC_a[[#This Row],[W (mm)]]</f>
        <v>10.9  x  10</v>
      </c>
      <c r="AG137" s="91" t="s">
        <v>614</v>
      </c>
      <c r="AH137" s="97" t="str">
        <f>IF(All_PCC_a[[#This Row],[Max Height (mm)]]&lt;=9,"≤ "&amp;ROUNDUP(AD137,0),"≤"&amp;ROUNDUP(AD137,0))</f>
        <v>≤ 6</v>
      </c>
      <c r="AI137" s="95">
        <v>-40</v>
      </c>
      <c r="AJ137" s="95">
        <v>150</v>
      </c>
      <c r="AK137" s="68" t="str">
        <f>All_PCC_a[[#This Row],[Min Temp (deg.C)]]&amp;" to +"&amp;All_PCC_a[[#This Row],[Max Temp (deg.C)]]</f>
        <v>-40 to +150</v>
      </c>
      <c r="AL137" s="68"/>
      <c r="AM137" s="95"/>
      <c r="AN137" s="95"/>
      <c r="AO137" s="87" t="s">
        <v>138</v>
      </c>
      <c r="AP137" s="130" t="str">
        <f t="shared" si="20"/>
        <v>-</v>
      </c>
      <c r="AQ137" s="87" t="s">
        <v>138</v>
      </c>
      <c r="AR137" s="87" t="s">
        <v>138</v>
      </c>
      <c r="AS137" s="95" t="s">
        <v>1004</v>
      </c>
      <c r="AT137" s="95" t="s">
        <v>628</v>
      </c>
      <c r="AU137" s="95" t="e" vm="10">
        <f>_xlfn.IMAGE(All_PCC_a[[#This Row],[Image URL]])</f>
        <v>#VALUE!</v>
      </c>
      <c r="AV137" s="95"/>
      <c r="AW137" s="95"/>
      <c r="AY137" s="68"/>
      <c r="BC137" s="96">
        <f>IF(Z137&lt;('DCDC Ref'!$J$24/'DCDC Ref'!$J$26)*'DCDC Ref'!$J$28/100,0,1)</f>
        <v>1</v>
      </c>
      <c r="BD137" s="360">
        <f>IF(BC137=1000000000,"",('All Data'!Q137-'DCDC Ref'!$J$30)/'DCDC Ref'!$J$30*100)</f>
        <v>295.60439560439562</v>
      </c>
      <c r="BE137" s="295">
        <f t="shared" si="12"/>
        <v>295.60439560439562</v>
      </c>
      <c r="BF137" s="295"/>
      <c r="BG137" s="360"/>
      <c r="BH137" s="361">
        <f t="shared" si="13"/>
        <v>0</v>
      </c>
      <c r="BI137" s="295"/>
      <c r="BJ137" s="96">
        <f>IF(BC137=0,"",('All Data'!Z137-'DCDC Ref'!$J$28*('DCDC Ref'!$J$29/100))/'DCDC Ref'!$J$28*('DCDC Ref'!$J$29/100)*100)</f>
        <v>112.48275862068962</v>
      </c>
      <c r="BK137" s="361">
        <f t="shared" si="14"/>
        <v>112.48275862068962</v>
      </c>
      <c r="BL137" s="361"/>
      <c r="BM137" s="361"/>
      <c r="BN137" s="361"/>
      <c r="BO137" s="361"/>
      <c r="BP137" s="96"/>
      <c r="BQ137" s="298">
        <f t="shared" si="15"/>
        <v>1478584.3918150817</v>
      </c>
      <c r="BR137" s="298">
        <f>IF(BQ137="","",RANK(BQ137,BQ$11:BQ$9930,1)+COUNTIF(BQ$11:BQ137,BQ137)-1)</f>
        <v>51</v>
      </c>
      <c r="BS137" s="299">
        <f t="shared" si="18"/>
        <v>51</v>
      </c>
      <c r="BT137" s="96" t="str">
        <f>IFERROR(INDEX($O$11:$O$1013,MATCH(ROWS($BS$11:BS137),$BS$11:$BS$1005,0)),"")</f>
        <v>ETQP4M330YFN</v>
      </c>
      <c r="BU137" s="299" t="str">
        <f t="shared" si="16"/>
        <v>ETQP4M330YFN</v>
      </c>
      <c r="BV137" s="96"/>
    </row>
    <row r="138" spans="1:74">
      <c r="A138" s="95"/>
      <c r="B138" s="259" t="s">
        <v>584</v>
      </c>
      <c r="C138" s="95"/>
      <c r="D138" s="95" t="s">
        <v>585</v>
      </c>
      <c r="E138" s="231"/>
      <c r="F138" s="600" t="s">
        <v>153</v>
      </c>
      <c r="G138" s="69" t="s">
        <v>586</v>
      </c>
      <c r="H138" s="68" t="s">
        <v>587</v>
      </c>
      <c r="I138" s="69" t="s">
        <v>588</v>
      </c>
      <c r="J138" s="68" t="s">
        <v>589</v>
      </c>
      <c r="K138" s="68" t="s">
        <v>596</v>
      </c>
      <c r="L138" s="95" t="s">
        <v>847</v>
      </c>
      <c r="M138" s="95" t="s">
        <v>707</v>
      </c>
      <c r="N138" s="95" t="s">
        <v>593</v>
      </c>
      <c r="O138" s="34" t="s">
        <v>708</v>
      </c>
      <c r="P138" s="37" t="str">
        <f>MID(All_PCC_a[[#This Row],[Part Number]],7,3)</f>
        <v>R33</v>
      </c>
      <c r="Q138" s="129">
        <v>0.33</v>
      </c>
      <c r="R138" s="130" t="str">
        <f>IF(All_PCC_a[[#This Row],[Lo (uH)]]&lt;1,"&lt;1",IF(All_PCC_a[[#This Row],[Lo (uH)]]&lt;10,"&lt;10",IF(All_PCC_a[[#This Row],[Lo (uH)]]&lt;100,"&lt;100",IF(All_PCC_a[[#This Row],[Lo (uH)]]&lt;2000,"&lt;2000",""))))</f>
        <v>&lt;1</v>
      </c>
      <c r="S138" s="97" t="str">
        <f>IFERROR(VLOOKUP(All_PCC_a[[#This Row],[Lo (uH)]],Utility!$D$5:$E$43,2,1),"-")</f>
        <v>≤    0.4</v>
      </c>
      <c r="T138" s="248">
        <v>0.2</v>
      </c>
      <c r="U138" s="131">
        <v>0.42</v>
      </c>
      <c r="V138" s="125">
        <v>0.48</v>
      </c>
      <c r="W138" s="137">
        <v>10</v>
      </c>
      <c r="X138" s="130">
        <v>83</v>
      </c>
      <c r="Y138" s="129">
        <v>69</v>
      </c>
      <c r="Z138" s="251">
        <v>103</v>
      </c>
      <c r="AA138" s="129">
        <v>75</v>
      </c>
      <c r="AB138" s="95">
        <v>15.6</v>
      </c>
      <c r="AC138" s="68">
        <v>17.2</v>
      </c>
      <c r="AD138" s="129">
        <v>10.5</v>
      </c>
      <c r="AE138" s="68">
        <f>ROUND(All_PCC_a[[#This Row],[L (mm)]]*All_PCC_a[[#This Row],[W (mm)]],1)</f>
        <v>268.3</v>
      </c>
      <c r="AF138" s="129" t="str">
        <f>All_PCC_a[[#This Row],[L (mm)]]&amp;"  x  "&amp;All_PCC_a[[#This Row],[W (mm)]]</f>
        <v>15.6  x  17.2</v>
      </c>
      <c r="AG138" s="91" t="s">
        <v>709</v>
      </c>
      <c r="AH138" s="130" t="str">
        <f>IF(All_PCC_a[[#This Row],[Max Height (mm)]]&lt;=9,"≤ "&amp;ROUNDUP(AD138,0),"≤"&amp;ROUNDUP(AD138,0))</f>
        <v>≤11</v>
      </c>
      <c r="AI138" s="95">
        <v>-40</v>
      </c>
      <c r="AJ138" s="95">
        <v>160</v>
      </c>
      <c r="AK138" s="68" t="str">
        <f>All_PCC_a[[#This Row],[Min Temp (deg.C)]]&amp;" to +"&amp;All_PCC_a[[#This Row],[Max Temp (deg.C)]]</f>
        <v>-40 to +160</v>
      </c>
      <c r="AL138" s="68"/>
      <c r="AM138" s="95"/>
      <c r="AN138" s="95"/>
      <c r="AO138" s="87" t="s">
        <v>138</v>
      </c>
      <c r="AP138" s="130" t="str">
        <f t="shared" si="20"/>
        <v>-</v>
      </c>
      <c r="AQ138" s="87" t="s">
        <v>138</v>
      </c>
      <c r="AR138" s="87" t="s">
        <v>138</v>
      </c>
      <c r="AS138" s="95" t="s">
        <v>1005</v>
      </c>
      <c r="AT138" s="95" t="s">
        <v>619</v>
      </c>
      <c r="AU138" s="95" t="e" vm="8">
        <f>_xlfn.IMAGE(All_PCC_a[[#This Row],[Image URL]])</f>
        <v>#VALUE!</v>
      </c>
      <c r="AV138" s="95"/>
      <c r="AW138" s="95"/>
      <c r="AY138" s="68"/>
      <c r="BC138" s="96">
        <f>IF(Z138&lt;('DCDC Ref'!$J$24/'DCDC Ref'!$J$26)*'DCDC Ref'!$J$28/100,0,1)</f>
        <v>1</v>
      </c>
      <c r="BD138" s="360">
        <f>IF(BC138=1000000000,"",('All Data'!Q138-'DCDC Ref'!$J$30)/'DCDC Ref'!$J$30*100)</f>
        <v>-47.780219780219774</v>
      </c>
      <c r="BE138" s="295">
        <f t="shared" si="12"/>
        <v>47.780219780219774</v>
      </c>
      <c r="BF138" s="295"/>
      <c r="BG138" s="360"/>
      <c r="BH138" s="361">
        <f t="shared" si="13"/>
        <v>0</v>
      </c>
      <c r="BI138" s="295"/>
      <c r="BJ138" s="96">
        <f>IF(BC138=0,"",('All Data'!Z138-'DCDC Ref'!$J$28*('DCDC Ref'!$J$29/100))/'DCDC Ref'!$J$28*('DCDC Ref'!$J$29/100)*100)</f>
        <v>823.44827586206884</v>
      </c>
      <c r="BK138" s="361">
        <f t="shared" si="14"/>
        <v>823.44827586206884</v>
      </c>
      <c r="BL138" s="361"/>
      <c r="BM138" s="361"/>
      <c r="BN138" s="361"/>
      <c r="BO138" s="361"/>
      <c r="BP138" s="96"/>
      <c r="BQ138" s="298">
        <f t="shared" si="15"/>
        <v>243018.3402804092</v>
      </c>
      <c r="BR138" s="298">
        <f>IF(BQ138="","",RANK(BQ138,BQ$11:BQ$9930,1)+COUNTIF(BQ$11:BQ138,BQ138)-1)</f>
        <v>18</v>
      </c>
      <c r="BS138" s="299">
        <f t="shared" si="18"/>
        <v>18</v>
      </c>
      <c r="BT138" s="96" t="str">
        <f>IFERROR(INDEX($O$11:$O$1013,MATCH(ROWS($BS$11:BS138),$BS$11:$BS$1005,0)),"")</f>
        <v>ETQP5M330YFC</v>
      </c>
      <c r="BU138" s="299" t="str">
        <f t="shared" si="16"/>
        <v>ETQP5M330YFC</v>
      </c>
      <c r="BV138" s="96"/>
    </row>
    <row r="139" spans="1:74">
      <c r="A139" s="95"/>
      <c r="B139" s="259" t="s">
        <v>584</v>
      </c>
      <c r="C139" s="95" t="s">
        <v>839</v>
      </c>
      <c r="D139" s="95" t="s">
        <v>585</v>
      </c>
      <c r="E139" s="231"/>
      <c r="F139" s="95" t="s">
        <v>153</v>
      </c>
      <c r="G139" s="69" t="s">
        <v>586</v>
      </c>
      <c r="H139" s="68" t="s">
        <v>587</v>
      </c>
      <c r="I139" s="69" t="s">
        <v>588</v>
      </c>
      <c r="J139" s="68" t="s">
        <v>589</v>
      </c>
      <c r="K139" s="68" t="s">
        <v>596</v>
      </c>
      <c r="L139" s="95" t="s">
        <v>847</v>
      </c>
      <c r="M139" s="95" t="s">
        <v>707</v>
      </c>
      <c r="N139" s="95" t="s">
        <v>593</v>
      </c>
      <c r="O139" s="34" t="s">
        <v>710</v>
      </c>
      <c r="P139" s="37" t="str">
        <f>MID(All_PCC_a[[#This Row],[Part Number]],7,3)</f>
        <v>R68</v>
      </c>
      <c r="Q139" s="129">
        <v>0.68</v>
      </c>
      <c r="R139" s="130" t="str">
        <f>IF(All_PCC_a[[#This Row],[Lo (uH)]]&lt;1,"&lt;1",IF(All_PCC_a[[#This Row],[Lo (uH)]]&lt;10,"&lt;10",IF(All_PCC_a[[#This Row],[Lo (uH)]]&lt;100,"&lt;100",IF(All_PCC_a[[#This Row],[Lo (uH)]]&lt;2000,"&lt;2000",""))))</f>
        <v>&lt;1</v>
      </c>
      <c r="S139" s="97" t="str">
        <f>IFERROR(VLOOKUP(All_PCC_a[[#This Row],[Lo (uH)]],Utility!$D$5:$E$43,2,1),"-")</f>
        <v>≤    0.7</v>
      </c>
      <c r="T139" s="248">
        <v>0.2</v>
      </c>
      <c r="U139" s="131">
        <v>0.7</v>
      </c>
      <c r="V139" s="125">
        <v>0.77</v>
      </c>
      <c r="W139" s="137">
        <v>10</v>
      </c>
      <c r="X139" s="130">
        <v>65</v>
      </c>
      <c r="Y139" s="129">
        <v>53</v>
      </c>
      <c r="Z139" s="251">
        <v>71</v>
      </c>
      <c r="AA139" s="129">
        <v>51</v>
      </c>
      <c r="AB139" s="95">
        <v>15.6</v>
      </c>
      <c r="AC139" s="68">
        <v>17.2</v>
      </c>
      <c r="AD139" s="129">
        <v>10.5</v>
      </c>
      <c r="AE139" s="68">
        <f>ROUND(All_PCC_a[[#This Row],[L (mm)]]*All_PCC_a[[#This Row],[W (mm)]],1)</f>
        <v>268.3</v>
      </c>
      <c r="AF139" s="129" t="str">
        <f>All_PCC_a[[#This Row],[L (mm)]]&amp;"  x  "&amp;All_PCC_a[[#This Row],[W (mm)]]</f>
        <v>15.6  x  17.2</v>
      </c>
      <c r="AG139" s="91" t="s">
        <v>709</v>
      </c>
      <c r="AH139" s="130" t="str">
        <f>IF(All_PCC_a[[#This Row],[Max Height (mm)]]&lt;=9,"≤ "&amp;ROUNDUP(AD139,0),"≤"&amp;ROUNDUP(AD139,0))</f>
        <v>≤11</v>
      </c>
      <c r="AI139" s="95">
        <v>-40</v>
      </c>
      <c r="AJ139" s="95">
        <v>160</v>
      </c>
      <c r="AK139" s="68" t="str">
        <f>All_PCC_a[[#This Row],[Min Temp (deg.C)]]&amp;" to +"&amp;All_PCC_a[[#This Row],[Max Temp (deg.C)]]</f>
        <v>-40 to +160</v>
      </c>
      <c r="AL139" s="68"/>
      <c r="AM139" s="95"/>
      <c r="AN139" s="95"/>
      <c r="AO139" s="87" t="s">
        <v>138</v>
      </c>
      <c r="AP139" s="130" t="str">
        <f t="shared" si="20"/>
        <v>-</v>
      </c>
      <c r="AQ139" s="87" t="s">
        <v>138</v>
      </c>
      <c r="AR139" s="87" t="s">
        <v>138</v>
      </c>
      <c r="AS139" s="95" t="s">
        <v>1006</v>
      </c>
      <c r="AT139" s="95" t="s">
        <v>619</v>
      </c>
      <c r="AU139" s="95" t="e" vm="8">
        <f>_xlfn.IMAGE(All_PCC_a[[#This Row],[Image URL]])</f>
        <v>#VALUE!</v>
      </c>
      <c r="AV139" s="95"/>
      <c r="AW139" s="95"/>
      <c r="AY139" s="68"/>
      <c r="BC139" s="96">
        <f>IF(Z139&lt;('DCDC Ref'!$J$24/'DCDC Ref'!$J$26)*'DCDC Ref'!$J$28/100,0,1)</f>
        <v>1</v>
      </c>
      <c r="BD139" s="360">
        <f>IF(BC139=1000000000,"",('All Data'!Q139-'DCDC Ref'!$J$30)/'DCDC Ref'!$J$30*100)</f>
        <v>7.6043956043956165</v>
      </c>
      <c r="BE139" s="295">
        <f t="shared" si="12"/>
        <v>7.6043956043956165</v>
      </c>
      <c r="BF139" s="295"/>
      <c r="BG139" s="360"/>
      <c r="BH139" s="361">
        <f t="shared" si="13"/>
        <v>0</v>
      </c>
      <c r="BI139" s="295"/>
      <c r="BJ139" s="96">
        <f>IF(BC139=0,"",('All Data'!Z139-'DCDC Ref'!$J$28*('DCDC Ref'!$J$29/100))/'DCDC Ref'!$J$28*('DCDC Ref'!$J$29/100)*100)</f>
        <v>536.55172413793105</v>
      </c>
      <c r="BK139" s="361">
        <f t="shared" si="14"/>
        <v>536.55172413793105</v>
      </c>
      <c r="BL139" s="361"/>
      <c r="BM139" s="361"/>
      <c r="BN139" s="361"/>
      <c r="BO139" s="361"/>
      <c r="BP139" s="96"/>
      <c r="BQ139" s="298">
        <f t="shared" si="15"/>
        <v>40704.736642667733</v>
      </c>
      <c r="BR139" s="298">
        <f>IF(BQ139="","",RANK(BQ139,BQ$11:BQ$9930,1)+COUNTIF(BQ$11:BQ139,BQ139)-1)</f>
        <v>8</v>
      </c>
      <c r="BS139" s="299">
        <f t="shared" ref="BS139:BS157" si="21">RANK(BR139,BR$11:BR$9930,1)</f>
        <v>8</v>
      </c>
      <c r="BT139" s="96" t="str">
        <f>IFERROR(INDEX($O$11:$O$1013,MATCH(ROWS($BS$11:BS139),$BS$11:$BS$1005,0)),"")</f>
        <v>ETQP5M330YFM</v>
      </c>
      <c r="BU139" s="299" t="str">
        <f t="shared" si="16"/>
        <v>ETQP5M330YFM</v>
      </c>
      <c r="BV139" s="96"/>
    </row>
    <row r="140" spans="1:74" ht="15">
      <c r="A140" s="95"/>
      <c r="B140" s="259" t="s">
        <v>584</v>
      </c>
      <c r="C140" s="95" t="s">
        <v>853</v>
      </c>
      <c r="D140" s="95" t="s">
        <v>585</v>
      </c>
      <c r="E140" s="231"/>
      <c r="F140" s="255" t="s">
        <v>153</v>
      </c>
      <c r="G140" s="69" t="s">
        <v>586</v>
      </c>
      <c r="H140" s="68" t="s">
        <v>587</v>
      </c>
      <c r="I140" s="69" t="s">
        <v>588</v>
      </c>
      <c r="J140" s="68" t="s">
        <v>589</v>
      </c>
      <c r="K140" s="68" t="s">
        <v>596</v>
      </c>
      <c r="L140" s="95" t="s">
        <v>847</v>
      </c>
      <c r="M140" s="95" t="s">
        <v>707</v>
      </c>
      <c r="N140" s="95" t="s">
        <v>593</v>
      </c>
      <c r="O140" s="34" t="s">
        <v>711</v>
      </c>
      <c r="P140" s="37" t="str">
        <f>MID(All_PCC_a[[#This Row],[Part Number]],7,3)</f>
        <v>1R0</v>
      </c>
      <c r="Q140" s="129">
        <v>1</v>
      </c>
      <c r="R140" s="130" t="str">
        <f>IF(All_PCC_a[[#This Row],[Lo (uH)]]&lt;1,"&lt;1",IF(All_PCC_a[[#This Row],[Lo (uH)]]&lt;10,"&lt;10",IF(All_PCC_a[[#This Row],[Lo (uH)]]&lt;100,"&lt;100",IF(All_PCC_a[[#This Row],[Lo (uH)]]&lt;2000,"&lt;2000",""))))</f>
        <v>&lt;10</v>
      </c>
      <c r="S140" s="97" t="str">
        <f>IFERROR(VLOOKUP(All_PCC_a[[#This Row],[Lo (uH)]],Utility!$D$5:$E$43,2,1),"-")</f>
        <v>≤   1</v>
      </c>
      <c r="T140" s="248">
        <v>0.2</v>
      </c>
      <c r="U140" s="131">
        <v>0.88</v>
      </c>
      <c r="V140" s="125">
        <v>0.97</v>
      </c>
      <c r="W140" s="137">
        <v>10</v>
      </c>
      <c r="X140" s="130">
        <v>57</v>
      </c>
      <c r="Y140" s="129">
        <v>47</v>
      </c>
      <c r="Z140" s="251">
        <v>52</v>
      </c>
      <c r="AA140" s="129">
        <v>36.200000000000003</v>
      </c>
      <c r="AB140" s="95">
        <v>15.6</v>
      </c>
      <c r="AC140" s="68">
        <v>17.2</v>
      </c>
      <c r="AD140" s="129">
        <v>10.5</v>
      </c>
      <c r="AE140" s="68">
        <f>ROUND(All_PCC_a[[#This Row],[L (mm)]]*All_PCC_a[[#This Row],[W (mm)]],1)</f>
        <v>268.3</v>
      </c>
      <c r="AF140" s="129" t="str">
        <f>All_PCC_a[[#This Row],[L (mm)]]&amp;"  x  "&amp;All_PCC_a[[#This Row],[W (mm)]]</f>
        <v>15.6  x  17.2</v>
      </c>
      <c r="AG140" s="91" t="s">
        <v>709</v>
      </c>
      <c r="AH140" s="130" t="str">
        <f>IF(All_PCC_a[[#This Row],[Max Height (mm)]]&lt;=9,"≤ "&amp;ROUNDUP(AD140,0),"≤"&amp;ROUNDUP(AD140,0))</f>
        <v>≤11</v>
      </c>
      <c r="AI140" s="95">
        <v>-40</v>
      </c>
      <c r="AJ140" s="95">
        <v>160</v>
      </c>
      <c r="AK140" s="68" t="str">
        <f>All_PCC_a[[#This Row],[Min Temp (deg.C)]]&amp;" to +"&amp;All_PCC_a[[#This Row],[Max Temp (deg.C)]]</f>
        <v>-40 to +160</v>
      </c>
      <c r="AL140" s="68"/>
      <c r="AM140" s="95"/>
      <c r="AN140" s="95"/>
      <c r="AO140" s="87" t="s">
        <v>138</v>
      </c>
      <c r="AP140" s="130" t="str">
        <f t="shared" si="20"/>
        <v>-</v>
      </c>
      <c r="AQ140" s="87" t="s">
        <v>138</v>
      </c>
      <c r="AR140" s="87" t="s">
        <v>138</v>
      </c>
      <c r="AS140" s="95" t="s">
        <v>1007</v>
      </c>
      <c r="AT140" s="95" t="s">
        <v>712</v>
      </c>
      <c r="AU140" s="95" t="e" vm="8">
        <f>_xlfn.IMAGE(All_PCC_a[[#This Row],[Image URL]])</f>
        <v>#VALUE!</v>
      </c>
      <c r="AV140" s="95"/>
      <c r="AW140" s="95"/>
      <c r="AY140" s="68"/>
      <c r="BC140" s="96">
        <f>IF(Z140&lt;('DCDC Ref'!$J$24/'DCDC Ref'!$J$26)*'DCDC Ref'!$J$28/100,0,1)</f>
        <v>1</v>
      </c>
      <c r="BD140" s="360">
        <f>IF(BC140=1000000000,"",('All Data'!Q140-'DCDC Ref'!$J$30)/'DCDC Ref'!$J$30*100)</f>
        <v>58.241758241758248</v>
      </c>
      <c r="BE140" s="295">
        <f t="shared" ref="BE140:BE156" si="22">ABS(BD140)</f>
        <v>58.241758241758248</v>
      </c>
      <c r="BF140" s="295"/>
      <c r="BG140" s="360"/>
      <c r="BH140" s="361">
        <f t="shared" ref="BH140:BH156" si="23">IF(BG140&lt;0,10000,BG140)</f>
        <v>0</v>
      </c>
      <c r="BI140" s="295"/>
      <c r="BJ140" s="96">
        <f>IF(BC140=0,"",('All Data'!Z140-'DCDC Ref'!$J$28*('DCDC Ref'!$J$29/100))/'DCDC Ref'!$J$28*('DCDC Ref'!$J$29/100)*100)</f>
        <v>366.20689655172407</v>
      </c>
      <c r="BK140" s="361">
        <f t="shared" ref="BK140:BK156" si="24">IF(BJ140&lt;0,10000,BJ140)</f>
        <v>366.20689655172407</v>
      </c>
      <c r="BL140" s="361"/>
      <c r="BM140" s="361"/>
      <c r="BN140" s="361"/>
      <c r="BO140" s="361"/>
      <c r="BP140" s="96"/>
      <c r="BQ140" s="298">
        <f t="shared" ref="BQ140:BQ156" si="25">IFERROR(BE140*$BP$6+BK140*$BP$7,"")</f>
        <v>293039.82569154986</v>
      </c>
      <c r="BR140" s="298">
        <f>IF(BQ140="","",RANK(BQ140,BQ$11:BQ$9930,1)+COUNTIF(BQ$11:BQ140,BQ140)-1)</f>
        <v>26</v>
      </c>
      <c r="BS140" s="299">
        <f t="shared" si="21"/>
        <v>26</v>
      </c>
      <c r="BT140" s="96" t="str">
        <f>IFERROR(INDEX($O$11:$O$1013,MATCH(ROWS($BS$11:BS140),$BS$11:$BS$1005,0)),"")</f>
        <v>ETQP3M330KVN</v>
      </c>
      <c r="BU140" s="299" t="str">
        <f t="shared" ref="BU140:BU156" si="26">IF(BT140&lt;&gt;"",BT140,"")</f>
        <v>ETQP3M330KVN</v>
      </c>
      <c r="BV140" s="96"/>
    </row>
    <row r="141" spans="1:74" ht="15">
      <c r="A141" s="95"/>
      <c r="B141" s="259" t="s">
        <v>584</v>
      </c>
      <c r="C141" s="95" t="s">
        <v>876</v>
      </c>
      <c r="D141" s="95" t="s">
        <v>585</v>
      </c>
      <c r="E141" s="231"/>
      <c r="F141" s="144" t="s">
        <v>153</v>
      </c>
      <c r="G141" s="69" t="s">
        <v>586</v>
      </c>
      <c r="H141" s="68" t="s">
        <v>587</v>
      </c>
      <c r="I141" s="69" t="s">
        <v>588</v>
      </c>
      <c r="J141" s="68" t="s">
        <v>589</v>
      </c>
      <c r="K141" s="68" t="s">
        <v>596</v>
      </c>
      <c r="L141" s="95" t="s">
        <v>847</v>
      </c>
      <c r="M141" s="95" t="s">
        <v>707</v>
      </c>
      <c r="N141" s="95" t="s">
        <v>593</v>
      </c>
      <c r="O141" s="34" t="s">
        <v>713</v>
      </c>
      <c r="P141" s="37" t="str">
        <f>MID(All_PCC_a[[#This Row],[Part Number]],7,3)</f>
        <v>1R5</v>
      </c>
      <c r="Q141" s="129">
        <v>1.5</v>
      </c>
      <c r="R141" s="130" t="str">
        <f>IF(All_PCC_a[[#This Row],[Lo (uH)]]&lt;1,"&lt;1",IF(All_PCC_a[[#This Row],[Lo (uH)]]&lt;10,"&lt;10",IF(All_PCC_a[[#This Row],[Lo (uH)]]&lt;100,"&lt;100",IF(All_PCC_a[[#This Row],[Lo (uH)]]&lt;2000,"&lt;2000",""))))</f>
        <v>&lt;10</v>
      </c>
      <c r="S141" s="97" t="str">
        <f>IFERROR(VLOOKUP(All_PCC_a[[#This Row],[Lo (uH)]],Utility!$D$5:$E$43,2,1),"-")</f>
        <v>≤   2</v>
      </c>
      <c r="T141" s="248">
        <v>0.2</v>
      </c>
      <c r="U141" s="131">
        <v>1.1000000000000001</v>
      </c>
      <c r="V141" s="125">
        <v>1.21</v>
      </c>
      <c r="W141" s="137">
        <v>10</v>
      </c>
      <c r="X141" s="130">
        <v>52</v>
      </c>
      <c r="Y141" s="129">
        <v>43</v>
      </c>
      <c r="Z141" s="251">
        <v>43</v>
      </c>
      <c r="AA141" s="129">
        <v>30.5</v>
      </c>
      <c r="AB141" s="95">
        <v>15.6</v>
      </c>
      <c r="AC141" s="68">
        <v>17.2</v>
      </c>
      <c r="AD141" s="129">
        <v>10.5</v>
      </c>
      <c r="AE141" s="68">
        <f>ROUND(All_PCC_a[[#This Row],[L (mm)]]*All_PCC_a[[#This Row],[W (mm)]],1)</f>
        <v>268.3</v>
      </c>
      <c r="AF141" s="129" t="str">
        <f>All_PCC_a[[#This Row],[L (mm)]]&amp;"  x  "&amp;All_PCC_a[[#This Row],[W (mm)]]</f>
        <v>15.6  x  17.2</v>
      </c>
      <c r="AG141" s="91" t="s">
        <v>709</v>
      </c>
      <c r="AH141" s="130" t="str">
        <f>IF(All_PCC_a[[#This Row],[Max Height (mm)]]&lt;=9,"≤ "&amp;ROUNDUP(AD141,0),"≤"&amp;ROUNDUP(AD141,0))</f>
        <v>≤11</v>
      </c>
      <c r="AI141" s="95">
        <v>-40</v>
      </c>
      <c r="AJ141" s="95">
        <v>160</v>
      </c>
      <c r="AK141" s="68" t="str">
        <f>All_PCC_a[[#This Row],[Min Temp (deg.C)]]&amp;" to +"&amp;All_PCC_a[[#This Row],[Max Temp (deg.C)]]</f>
        <v>-40 to +160</v>
      </c>
      <c r="AL141" s="68"/>
      <c r="AM141" s="95"/>
      <c r="AN141" s="95"/>
      <c r="AO141" s="87" t="s">
        <v>138</v>
      </c>
      <c r="AP141" s="130" t="str">
        <f t="shared" si="20"/>
        <v>-</v>
      </c>
      <c r="AQ141" s="87" t="s">
        <v>138</v>
      </c>
      <c r="AR141" s="87" t="s">
        <v>138</v>
      </c>
      <c r="AS141" s="95" t="s">
        <v>1008</v>
      </c>
      <c r="AT141" s="95" t="s">
        <v>712</v>
      </c>
      <c r="AU141" s="95" t="e" vm="8">
        <f>_xlfn.IMAGE(All_PCC_a[[#This Row],[Image URL]])</f>
        <v>#VALUE!</v>
      </c>
      <c r="AV141" s="95"/>
      <c r="AW141" s="95"/>
      <c r="AY141" s="68"/>
      <c r="BC141" s="96">
        <f>IF(Z141&lt;('DCDC Ref'!$J$24/'DCDC Ref'!$J$26)*'DCDC Ref'!$J$28/100,0,1)</f>
        <v>1</v>
      </c>
      <c r="BD141" s="360">
        <f>IF(BC141=1000000000,"",('All Data'!Q141-'DCDC Ref'!$J$30)/'DCDC Ref'!$J$30*100)</f>
        <v>137.36263736263737</v>
      </c>
      <c r="BE141" s="295">
        <f t="shared" si="22"/>
        <v>137.36263736263737</v>
      </c>
      <c r="BF141" s="295"/>
      <c r="BG141" s="360"/>
      <c r="BH141" s="361">
        <f t="shared" si="23"/>
        <v>0</v>
      </c>
      <c r="BI141" s="295"/>
      <c r="BJ141" s="96">
        <f>IF(BC141=0,"",('All Data'!Z141-'DCDC Ref'!$J$28*('DCDC Ref'!$J$29/100))/'DCDC Ref'!$J$28*('DCDC Ref'!$J$29/100)*100)</f>
        <v>285.51724137931035</v>
      </c>
      <c r="BK141" s="361">
        <f t="shared" si="24"/>
        <v>285.51724137931035</v>
      </c>
      <c r="BL141" s="361"/>
      <c r="BM141" s="361"/>
      <c r="BN141" s="361"/>
      <c r="BO141" s="361"/>
      <c r="BP141" s="96"/>
      <c r="BQ141" s="298">
        <f t="shared" si="25"/>
        <v>688240.77302008343</v>
      </c>
      <c r="BR141" s="298">
        <f>IF(BQ141="","",RANK(BQ141,BQ$11:BQ$9930,1)+COUNTIF(BQ$11:BQ141,BQ141)-1)</f>
        <v>38</v>
      </c>
      <c r="BS141" s="299">
        <f t="shared" si="21"/>
        <v>38</v>
      </c>
      <c r="BT141" s="96" t="str">
        <f>IFERROR(INDEX($O$11:$O$1013,MATCH(ROWS($BS$11:BS141),$BS$11:$BS$1005,0)),"")</f>
        <v>ETQP4M330KVK</v>
      </c>
      <c r="BU141" s="299" t="str">
        <f t="shared" si="26"/>
        <v>ETQP4M330KVK</v>
      </c>
      <c r="BV141" s="96"/>
    </row>
    <row r="142" spans="1:74" ht="15">
      <c r="A142" s="95"/>
      <c r="B142" s="259" t="s">
        <v>584</v>
      </c>
      <c r="C142" s="95" t="s">
        <v>876</v>
      </c>
      <c r="D142" s="95" t="s">
        <v>585</v>
      </c>
      <c r="E142" s="231"/>
      <c r="F142" s="144" t="s">
        <v>153</v>
      </c>
      <c r="G142" s="69" t="s">
        <v>586</v>
      </c>
      <c r="H142" s="68" t="s">
        <v>587</v>
      </c>
      <c r="I142" s="69" t="s">
        <v>588</v>
      </c>
      <c r="J142" s="68" t="s">
        <v>589</v>
      </c>
      <c r="K142" s="68" t="s">
        <v>596</v>
      </c>
      <c r="L142" s="95" t="s">
        <v>847</v>
      </c>
      <c r="M142" s="95" t="s">
        <v>707</v>
      </c>
      <c r="N142" s="95" t="s">
        <v>593</v>
      </c>
      <c r="O142" s="34" t="s">
        <v>714</v>
      </c>
      <c r="P142" s="37" t="str">
        <f>MID(All_PCC_a[[#This Row],[Part Number]],7,3)</f>
        <v>2R5</v>
      </c>
      <c r="Q142" s="129">
        <v>2.5</v>
      </c>
      <c r="R142" s="130" t="str">
        <f>IF(All_PCC_a[[#This Row],[Lo (uH)]]&lt;1,"&lt;1",IF(All_PCC_a[[#This Row],[Lo (uH)]]&lt;10,"&lt;10",IF(All_PCC_a[[#This Row],[Lo (uH)]]&lt;100,"&lt;100",IF(All_PCC_a[[#This Row],[Lo (uH)]]&lt;2000,"&lt;2000",""))))</f>
        <v>&lt;10</v>
      </c>
      <c r="S142" s="97" t="str">
        <f>IFERROR(VLOOKUP(All_PCC_a[[#This Row],[Lo (uH)]],Utility!$D$5:$E$43,2,1),"-")</f>
        <v>≤   3</v>
      </c>
      <c r="T142" s="248">
        <v>0.2</v>
      </c>
      <c r="U142" s="131">
        <v>1.7</v>
      </c>
      <c r="V142" s="125">
        <v>1.87</v>
      </c>
      <c r="W142" s="137">
        <v>10</v>
      </c>
      <c r="X142" s="130">
        <v>42</v>
      </c>
      <c r="Y142" s="129">
        <v>34</v>
      </c>
      <c r="Z142" s="251">
        <v>41</v>
      </c>
      <c r="AA142" s="129">
        <v>29.1</v>
      </c>
      <c r="AB142" s="95">
        <v>15.6</v>
      </c>
      <c r="AC142" s="68">
        <v>17.2</v>
      </c>
      <c r="AD142" s="129">
        <v>10.5</v>
      </c>
      <c r="AE142" s="68">
        <f>ROUND(All_PCC_a[[#This Row],[L (mm)]]*All_PCC_a[[#This Row],[W (mm)]],1)</f>
        <v>268.3</v>
      </c>
      <c r="AF142" s="129" t="str">
        <f>All_PCC_a[[#This Row],[L (mm)]]&amp;"  x  "&amp;All_PCC_a[[#This Row],[W (mm)]]</f>
        <v>15.6  x  17.2</v>
      </c>
      <c r="AG142" s="91" t="s">
        <v>709</v>
      </c>
      <c r="AH142" s="130" t="str">
        <f>IF(All_PCC_a[[#This Row],[Max Height (mm)]]&lt;=9,"≤ "&amp;ROUNDUP(AD142,0),"≤"&amp;ROUNDUP(AD142,0))</f>
        <v>≤11</v>
      </c>
      <c r="AI142" s="95">
        <v>-40</v>
      </c>
      <c r="AJ142" s="95">
        <v>160</v>
      </c>
      <c r="AK142" s="68" t="str">
        <f>All_PCC_a[[#This Row],[Min Temp (deg.C)]]&amp;" to +"&amp;All_PCC_a[[#This Row],[Max Temp (deg.C)]]</f>
        <v>-40 to +160</v>
      </c>
      <c r="AL142" s="68"/>
      <c r="AM142" s="95"/>
      <c r="AN142" s="95"/>
      <c r="AO142" s="87" t="s">
        <v>138</v>
      </c>
      <c r="AP142" s="130" t="str">
        <f t="shared" si="20"/>
        <v>-</v>
      </c>
      <c r="AQ142" s="87" t="s">
        <v>138</v>
      </c>
      <c r="AR142" s="87" t="s">
        <v>138</v>
      </c>
      <c r="AS142" s="95" t="s">
        <v>1009</v>
      </c>
      <c r="AT142" s="95" t="s">
        <v>712</v>
      </c>
      <c r="AU142" s="95" t="e" vm="8">
        <f>_xlfn.IMAGE(All_PCC_a[[#This Row],[Image URL]])</f>
        <v>#VALUE!</v>
      </c>
      <c r="AV142" s="95"/>
      <c r="AW142" s="95"/>
      <c r="AY142" s="68"/>
      <c r="BC142" s="96">
        <f>IF(Z142&lt;('DCDC Ref'!$J$24/'DCDC Ref'!$J$26)*'DCDC Ref'!$J$28/100,0,1)</f>
        <v>1</v>
      </c>
      <c r="BD142" s="360">
        <f>IF(BC142=1000000000,"",('All Data'!Q142-'DCDC Ref'!$J$30)/'DCDC Ref'!$J$30*100)</f>
        <v>295.60439560439562</v>
      </c>
      <c r="BE142" s="295">
        <f t="shared" si="22"/>
        <v>295.60439560439562</v>
      </c>
      <c r="BF142" s="295"/>
      <c r="BG142" s="360"/>
      <c r="BH142" s="361">
        <f t="shared" si="23"/>
        <v>0</v>
      </c>
      <c r="BI142" s="295"/>
      <c r="BJ142" s="96">
        <f>IF(BC142=0,"",('All Data'!Z142-'DCDC Ref'!$J$28*('DCDC Ref'!$J$29/100))/'DCDC Ref'!$J$28*('DCDC Ref'!$J$29/100)*100)</f>
        <v>267.58620689655169</v>
      </c>
      <c r="BK142" s="361">
        <f t="shared" si="24"/>
        <v>267.58620689655169</v>
      </c>
      <c r="BL142" s="361"/>
      <c r="BM142" s="361"/>
      <c r="BN142" s="361"/>
      <c r="BO142" s="361"/>
      <c r="BP142" s="96"/>
      <c r="BQ142" s="298">
        <f t="shared" si="25"/>
        <v>1479359.909056461</v>
      </c>
      <c r="BR142" s="298">
        <f>IF(BQ142="","",RANK(BQ142,BQ$11:BQ$9930,1)+COUNTIF(BQ$11:BQ142,BQ142)-1)</f>
        <v>56</v>
      </c>
      <c r="BS142" s="299">
        <f t="shared" si="21"/>
        <v>56</v>
      </c>
      <c r="BT142" s="96" t="str">
        <f>IFERROR(INDEX($O$11:$O$1013,MATCH(ROWS($BS$11:BS142),$BS$11:$BS$1005,0)),"")</f>
        <v>ETQP4M330KVC</v>
      </c>
      <c r="BU142" s="299" t="str">
        <f t="shared" si="26"/>
        <v>ETQP4M330KVC</v>
      </c>
      <c r="BV142" s="96"/>
    </row>
    <row r="143" spans="1:74" ht="15">
      <c r="A143" s="95"/>
      <c r="B143" s="259" t="s">
        <v>584</v>
      </c>
      <c r="C143" s="144" t="s">
        <v>871</v>
      </c>
      <c r="D143" s="95" t="s">
        <v>585</v>
      </c>
      <c r="E143" s="231"/>
      <c r="F143" s="95" t="s">
        <v>153</v>
      </c>
      <c r="G143" s="69" t="s">
        <v>586</v>
      </c>
      <c r="H143" s="68" t="s">
        <v>587</v>
      </c>
      <c r="I143" s="69" t="s">
        <v>588</v>
      </c>
      <c r="J143" s="68" t="s">
        <v>589</v>
      </c>
      <c r="K143" s="68" t="s">
        <v>596</v>
      </c>
      <c r="L143" s="95" t="s">
        <v>847</v>
      </c>
      <c r="M143" s="95" t="s">
        <v>707</v>
      </c>
      <c r="N143" s="95" t="s">
        <v>593</v>
      </c>
      <c r="O143" s="34" t="s">
        <v>715</v>
      </c>
      <c r="P143" s="37" t="str">
        <f>MID(All_PCC_a[[#This Row],[Part Number]],7,3)</f>
        <v>3R3</v>
      </c>
      <c r="Q143" s="129">
        <v>3.3</v>
      </c>
      <c r="R143" s="130" t="str">
        <f>IF(All_PCC_a[[#This Row],[Lo (uH)]]&lt;1,"&lt;1",IF(All_PCC_a[[#This Row],[Lo (uH)]]&lt;10,"&lt;10",IF(All_PCC_a[[#This Row],[Lo (uH)]]&lt;100,"&lt;100",IF(All_PCC_a[[#This Row],[Lo (uH)]]&lt;2000,"&lt;2000",""))))</f>
        <v>&lt;10</v>
      </c>
      <c r="S143" s="97" t="str">
        <f>IFERROR(VLOOKUP(All_PCC_a[[#This Row],[Lo (uH)]],Utility!$D$5:$E$43,2,1),"-")</f>
        <v>≤   4</v>
      </c>
      <c r="T143" s="248">
        <v>0.2</v>
      </c>
      <c r="U143" s="131">
        <v>2.4</v>
      </c>
      <c r="V143" s="125">
        <v>2.64</v>
      </c>
      <c r="W143" s="137">
        <v>10</v>
      </c>
      <c r="X143" s="130">
        <v>35</v>
      </c>
      <c r="Y143" s="129">
        <v>29</v>
      </c>
      <c r="Z143" s="251">
        <v>37</v>
      </c>
      <c r="AA143" s="129">
        <v>26.1</v>
      </c>
      <c r="AB143" s="95">
        <v>15.6</v>
      </c>
      <c r="AC143" s="68">
        <v>17.2</v>
      </c>
      <c r="AD143" s="129">
        <v>10.5</v>
      </c>
      <c r="AE143" s="68">
        <f>ROUND(All_PCC_a[[#This Row],[L (mm)]]*All_PCC_a[[#This Row],[W (mm)]],1)</f>
        <v>268.3</v>
      </c>
      <c r="AF143" s="129" t="str">
        <f>All_PCC_a[[#This Row],[L (mm)]]&amp;"  x  "&amp;All_PCC_a[[#This Row],[W (mm)]]</f>
        <v>15.6  x  17.2</v>
      </c>
      <c r="AG143" s="91" t="s">
        <v>709</v>
      </c>
      <c r="AH143" s="130" t="str">
        <f>IF(All_PCC_a[[#This Row],[Max Height (mm)]]&lt;=9,"≤ "&amp;ROUNDUP(AD143,0),"≤"&amp;ROUNDUP(AD143,0))</f>
        <v>≤11</v>
      </c>
      <c r="AI143" s="95">
        <v>-40</v>
      </c>
      <c r="AJ143" s="95">
        <v>160</v>
      </c>
      <c r="AK143" s="68" t="str">
        <f>All_PCC_a[[#This Row],[Min Temp (deg.C)]]&amp;" to +"&amp;All_PCC_a[[#This Row],[Max Temp (deg.C)]]</f>
        <v>-40 to +160</v>
      </c>
      <c r="AL143" s="68"/>
      <c r="AM143" s="95"/>
      <c r="AN143" s="95"/>
      <c r="AO143" s="87" t="s">
        <v>138</v>
      </c>
      <c r="AP143" s="130" t="str">
        <f t="shared" si="20"/>
        <v>-</v>
      </c>
      <c r="AQ143" s="87" t="s">
        <v>138</v>
      </c>
      <c r="AR143" s="87" t="s">
        <v>138</v>
      </c>
      <c r="AS143" s="95" t="s">
        <v>1010</v>
      </c>
      <c r="AT143" s="95" t="s">
        <v>712</v>
      </c>
      <c r="AU143" s="95" t="e" vm="8">
        <f>_xlfn.IMAGE(All_PCC_a[[#This Row],[Image URL]])</f>
        <v>#VALUE!</v>
      </c>
      <c r="AV143" s="95"/>
      <c r="AW143" s="95"/>
      <c r="AY143" s="68"/>
      <c r="BC143" s="96">
        <f>IF(Z143&lt;('DCDC Ref'!$J$24/'DCDC Ref'!$J$26)*'DCDC Ref'!$J$28/100,0,1)</f>
        <v>1</v>
      </c>
      <c r="BD143" s="360">
        <f>IF(BC143=1000000000,"",('All Data'!Q143-'DCDC Ref'!$J$30)/'DCDC Ref'!$J$30*100)</f>
        <v>422.1978021978021</v>
      </c>
      <c r="BE143" s="295">
        <f t="shared" si="22"/>
        <v>422.1978021978021</v>
      </c>
      <c r="BF143" s="295"/>
      <c r="BG143" s="360"/>
      <c r="BH143" s="361">
        <f t="shared" si="23"/>
        <v>0</v>
      </c>
      <c r="BI143" s="295"/>
      <c r="BJ143" s="96">
        <f>IF(BC143=0,"",('All Data'!Z143-'DCDC Ref'!$J$28*('DCDC Ref'!$J$29/100))/'DCDC Ref'!$J$28*('DCDC Ref'!$J$29/100)*100)</f>
        <v>231.72413793103445</v>
      </c>
      <c r="BK143" s="361">
        <f t="shared" si="24"/>
        <v>231.72413793103445</v>
      </c>
      <c r="BL143" s="361"/>
      <c r="BM143" s="361"/>
      <c r="BN143" s="361"/>
      <c r="BO143" s="361"/>
      <c r="BP143" s="96"/>
      <c r="BQ143" s="298">
        <f t="shared" si="25"/>
        <v>2112147.6316786655</v>
      </c>
      <c r="BR143" s="298">
        <f>IF(BQ143="","",RANK(BQ143,BQ$11:BQ$9930,1)+COUNTIF(BQ$11:BQ143,BQ143)-1)</f>
        <v>69</v>
      </c>
      <c r="BS143" s="299">
        <f t="shared" si="21"/>
        <v>69</v>
      </c>
      <c r="BT143" s="96" t="str">
        <f>IFERROR(INDEX($O$11:$O$1013,MATCH(ROWS($BS$11:BS143),$BS$11:$BS$1005,0)),"")</f>
        <v>ETQP4M330KFM</v>
      </c>
      <c r="BU143" s="299" t="str">
        <f t="shared" si="26"/>
        <v>ETQP4M330KFM</v>
      </c>
      <c r="BV143" s="96"/>
    </row>
    <row r="144" spans="1:74" ht="15">
      <c r="A144" s="95"/>
      <c r="B144" s="259" t="s">
        <v>584</v>
      </c>
      <c r="C144" s="144" t="s">
        <v>871</v>
      </c>
      <c r="D144" s="95" t="s">
        <v>585</v>
      </c>
      <c r="E144" s="231"/>
      <c r="F144" s="95" t="s">
        <v>153</v>
      </c>
      <c r="G144" s="69" t="s">
        <v>586</v>
      </c>
      <c r="H144" s="68" t="s">
        <v>587</v>
      </c>
      <c r="I144" s="69" t="s">
        <v>588</v>
      </c>
      <c r="J144" s="68" t="s">
        <v>589</v>
      </c>
      <c r="K144" s="68" t="s">
        <v>596</v>
      </c>
      <c r="L144" s="95" t="s">
        <v>847</v>
      </c>
      <c r="M144" s="95" t="s">
        <v>707</v>
      </c>
      <c r="N144" s="95" t="s">
        <v>593</v>
      </c>
      <c r="O144" s="34" t="s">
        <v>716</v>
      </c>
      <c r="P144" s="37" t="str">
        <f>MID(All_PCC_a[[#This Row],[Part Number]],7,3)</f>
        <v>4R7</v>
      </c>
      <c r="Q144" s="129">
        <v>4.7</v>
      </c>
      <c r="R144" s="130" t="str">
        <f>IF(All_PCC_a[[#This Row],[Lo (uH)]]&lt;1,"&lt;1",IF(All_PCC_a[[#This Row],[Lo (uH)]]&lt;10,"&lt;10",IF(All_PCC_a[[#This Row],[Lo (uH)]]&lt;100,"&lt;100",IF(All_PCC_a[[#This Row],[Lo (uH)]]&lt;2000,"&lt;2000",""))))</f>
        <v>&lt;10</v>
      </c>
      <c r="S144" s="97" t="str">
        <f>IFERROR(VLOOKUP(All_PCC_a[[#This Row],[Lo (uH)]],Utility!$D$5:$E$43,2,1),"-")</f>
        <v>≤   5</v>
      </c>
      <c r="T144" s="248">
        <v>0.2</v>
      </c>
      <c r="U144" s="131">
        <v>3.1</v>
      </c>
      <c r="V144" s="125">
        <v>3.41</v>
      </c>
      <c r="W144" s="137">
        <v>10</v>
      </c>
      <c r="X144" s="130">
        <v>31</v>
      </c>
      <c r="Y144" s="129">
        <v>26</v>
      </c>
      <c r="Z144" s="251">
        <v>30</v>
      </c>
      <c r="AA144" s="129">
        <v>21.1</v>
      </c>
      <c r="AB144" s="95">
        <v>15.6</v>
      </c>
      <c r="AC144" s="68">
        <v>17.2</v>
      </c>
      <c r="AD144" s="129">
        <v>10.5</v>
      </c>
      <c r="AE144" s="68">
        <f>ROUND(All_PCC_a[[#This Row],[L (mm)]]*All_PCC_a[[#This Row],[W (mm)]],1)</f>
        <v>268.3</v>
      </c>
      <c r="AF144" s="129" t="str">
        <f>All_PCC_a[[#This Row],[L (mm)]]&amp;"  x  "&amp;All_PCC_a[[#This Row],[W (mm)]]</f>
        <v>15.6  x  17.2</v>
      </c>
      <c r="AG144" s="91" t="s">
        <v>709</v>
      </c>
      <c r="AH144" s="130" t="str">
        <f>IF(All_PCC_a[[#This Row],[Max Height (mm)]]&lt;=9,"≤ "&amp;ROUNDUP(AD144,0),"≤"&amp;ROUNDUP(AD144,0))</f>
        <v>≤11</v>
      </c>
      <c r="AI144" s="95">
        <v>-40</v>
      </c>
      <c r="AJ144" s="95">
        <v>160</v>
      </c>
      <c r="AK144" s="68" t="str">
        <f>All_PCC_a[[#This Row],[Min Temp (deg.C)]]&amp;" to +"&amp;All_PCC_a[[#This Row],[Max Temp (deg.C)]]</f>
        <v>-40 to +160</v>
      </c>
      <c r="AL144" s="68"/>
      <c r="AM144" s="95"/>
      <c r="AN144" s="95"/>
      <c r="AO144" s="87" t="s">
        <v>138</v>
      </c>
      <c r="AP144" s="130" t="str">
        <f t="shared" si="20"/>
        <v>-</v>
      </c>
      <c r="AQ144" s="87" t="s">
        <v>138</v>
      </c>
      <c r="AR144" s="87" t="s">
        <v>138</v>
      </c>
      <c r="AS144" s="95" t="s">
        <v>1011</v>
      </c>
      <c r="AT144" s="95" t="s">
        <v>712</v>
      </c>
      <c r="AU144" s="95" t="e" vm="8">
        <f>_xlfn.IMAGE(All_PCC_a[[#This Row],[Image URL]])</f>
        <v>#VALUE!</v>
      </c>
      <c r="AV144" s="95"/>
      <c r="AW144" s="95"/>
      <c r="AY144" s="68"/>
      <c r="BC144" s="96">
        <f>IF(Z144&lt;('DCDC Ref'!$J$24/'DCDC Ref'!$J$26)*'DCDC Ref'!$J$28/100,0,1)</f>
        <v>1</v>
      </c>
      <c r="BD144" s="360">
        <f>IF(BC144=1000000000,"",('All Data'!Q144-'DCDC Ref'!$J$30)/'DCDC Ref'!$J$30*100)</f>
        <v>643.73626373626371</v>
      </c>
      <c r="BE144" s="295">
        <f t="shared" si="22"/>
        <v>643.73626373626371</v>
      </c>
      <c r="BF144" s="295"/>
      <c r="BG144" s="360"/>
      <c r="BH144" s="361">
        <f t="shared" si="23"/>
        <v>0</v>
      </c>
      <c r="BI144" s="295"/>
      <c r="BJ144" s="96">
        <f>IF(BC144=0,"",('All Data'!Z144-'DCDC Ref'!$J$28*('DCDC Ref'!$J$29/100))/'DCDC Ref'!$J$28*('DCDC Ref'!$J$29/100)*100)</f>
        <v>168.9655172413793</v>
      </c>
      <c r="BK144" s="361">
        <f t="shared" si="24"/>
        <v>168.9655172413793</v>
      </c>
      <c r="BL144" s="361"/>
      <c r="BM144" s="361"/>
      <c r="BN144" s="361"/>
      <c r="BO144" s="361"/>
      <c r="BP144" s="96"/>
      <c r="BQ144" s="298">
        <f t="shared" si="25"/>
        <v>3219526.1462675254</v>
      </c>
      <c r="BR144" s="298">
        <f>IF(BQ144="","",RANK(BQ144,BQ$11:BQ$9930,1)+COUNTIF(BQ$11:BQ144,BQ144)-1)</f>
        <v>78</v>
      </c>
      <c r="BS144" s="299">
        <f t="shared" si="21"/>
        <v>78</v>
      </c>
      <c r="BT144" s="96" t="str">
        <f>IFERROR(INDEX($O$11:$O$1013,MATCH(ROWS($BS$11:BS144),$BS$11:$BS$1005,0)),"")</f>
        <v>ETQP5M470YSC</v>
      </c>
      <c r="BU144" s="299" t="str">
        <f t="shared" si="26"/>
        <v>ETQP5M470YSC</v>
      </c>
      <c r="BV144" s="96"/>
    </row>
    <row r="145" spans="1:74">
      <c r="A145" s="95"/>
      <c r="B145" s="259" t="s">
        <v>584</v>
      </c>
      <c r="C145" s="286">
        <v>45057</v>
      </c>
      <c r="D145" s="95" t="s">
        <v>585</v>
      </c>
      <c r="E145" s="110"/>
      <c r="F145" s="95" t="s">
        <v>153</v>
      </c>
      <c r="G145" s="69" t="s">
        <v>586</v>
      </c>
      <c r="H145" s="68" t="s">
        <v>587</v>
      </c>
      <c r="I145" s="69" t="s">
        <v>588</v>
      </c>
      <c r="J145" s="68" t="s">
        <v>589</v>
      </c>
      <c r="K145" s="95" t="s">
        <v>601</v>
      </c>
      <c r="L145" s="95" t="s">
        <v>821</v>
      </c>
      <c r="M145" s="95" t="s">
        <v>603</v>
      </c>
      <c r="N145" s="95" t="s">
        <v>593</v>
      </c>
      <c r="O145" s="34" t="s">
        <v>820</v>
      </c>
      <c r="P145" s="37" t="str">
        <f>MID(All_PCC_a[[#This Row],[Part Number]],7,3)</f>
        <v>220</v>
      </c>
      <c r="Q145" s="129">
        <v>22</v>
      </c>
      <c r="R145" s="130" t="str">
        <f>IF(All_PCC_a[[#This Row],[Lo (uH)]]&lt;1,"&lt;1",IF(All_PCC_a[[#This Row],[Lo (uH)]]&lt;10,"&lt;10",IF(All_PCC_a[[#This Row],[Lo (uH)]]&lt;100,"&lt;100",IF(All_PCC_a[[#This Row],[Lo (uH)]]&lt;2000,"&lt;2000",""))))</f>
        <v>&lt;100</v>
      </c>
      <c r="S145" s="97" t="str">
        <f>IFERROR(VLOOKUP(All_PCC_a[[#This Row],[Lo (uH)]],Utility!$D$5:$E$43,2,1),"-")</f>
        <v>≤  30</v>
      </c>
      <c r="T145" s="250">
        <v>0.2</v>
      </c>
      <c r="U145" s="131">
        <v>165</v>
      </c>
      <c r="V145" s="125">
        <v>181.5</v>
      </c>
      <c r="W145" s="137">
        <v>10</v>
      </c>
      <c r="X145" s="130">
        <v>2.2000000000000002</v>
      </c>
      <c r="Y145" s="129">
        <v>1.8</v>
      </c>
      <c r="Z145" s="251">
        <v>2.8</v>
      </c>
      <c r="AA145" s="129">
        <v>1.9</v>
      </c>
      <c r="AB145" s="129">
        <v>5.5</v>
      </c>
      <c r="AC145" s="87">
        <v>5</v>
      </c>
      <c r="AD145" s="129">
        <v>3</v>
      </c>
      <c r="AE145" s="68">
        <f>ROUND(All_PCC_a[[#This Row],[L (mm)]]*All_PCC_a[[#This Row],[W (mm)]],1)</f>
        <v>27.5</v>
      </c>
      <c r="AF145" s="129" t="str">
        <f>All_PCC_a[[#This Row],[L (mm)]]&amp;"  x  "&amp;All_PCC_a[[#This Row],[W (mm)]]</f>
        <v>5.5  x  5</v>
      </c>
      <c r="AG145" s="91" t="s">
        <v>352</v>
      </c>
      <c r="AH145" s="130" t="str">
        <f>IF(All_PCC_a[[#This Row],[Max Height (mm)]]&lt;=9,"≤ "&amp;ROUNDUP(AD145,0),"≤"&amp;ROUNDUP(AD145,0))</f>
        <v>≤ 3</v>
      </c>
      <c r="AI145" s="95">
        <v>-55</v>
      </c>
      <c r="AJ145" s="95">
        <v>155</v>
      </c>
      <c r="AK145" s="68" t="str">
        <f>All_PCC_a[[#This Row],[Min Temp (deg.C)]]&amp;" to +"&amp;All_PCC_a[[#This Row],[Max Temp (deg.C)]]</f>
        <v>-55 to +155</v>
      </c>
      <c r="AL145" s="68"/>
      <c r="AM145" s="95"/>
      <c r="AN145" s="95"/>
      <c r="AO145" s="87" t="s">
        <v>138</v>
      </c>
      <c r="AP145" s="130" t="s">
        <v>138</v>
      </c>
      <c r="AQ145" s="87" t="s">
        <v>138</v>
      </c>
      <c r="AR145" s="87" t="s">
        <v>138</v>
      </c>
      <c r="AS145" s="95" t="s">
        <v>1012</v>
      </c>
      <c r="AT145" s="95" t="s">
        <v>606</v>
      </c>
      <c r="AU145" s="95" t="e" vm="9">
        <f>_xlfn.IMAGE(All_PCC_a[[#This Row],[Image URL]])</f>
        <v>#VALUE!</v>
      </c>
      <c r="AV145" s="95"/>
      <c r="AW145" s="95"/>
      <c r="AX145" s="87"/>
      <c r="AY145" s="87"/>
      <c r="AZ145" s="95"/>
      <c r="BA145" s="95"/>
      <c r="BB145" s="95"/>
      <c r="BC145" s="96">
        <f>IF(Z145&lt;('DCDC Ref'!$J$24/'DCDC Ref'!$J$26)*'DCDC Ref'!$J$28/100,0,1)</f>
        <v>1</v>
      </c>
      <c r="BD145" s="360">
        <f>IF(BC145=1000000000,"",('All Data'!Q145-'DCDC Ref'!$J$30)/'DCDC Ref'!$J$30*100)</f>
        <v>3381.3186813186817</v>
      </c>
      <c r="BE145" s="295">
        <f t="shared" si="22"/>
        <v>3381.3186813186817</v>
      </c>
      <c r="BF145" s="295"/>
      <c r="BG145" s="360"/>
      <c r="BH145" s="361">
        <f t="shared" si="23"/>
        <v>0</v>
      </c>
      <c r="BI145" s="295"/>
      <c r="BJ145" s="96">
        <f>IF(BC145=0,"",('All Data'!Z145-'DCDC Ref'!$J$28*('DCDC Ref'!$J$29/100))/'DCDC Ref'!$J$28*('DCDC Ref'!$J$29/100)*100)</f>
        <v>-74.896551724137936</v>
      </c>
      <c r="BK145" s="361">
        <f t="shared" si="24"/>
        <v>10000</v>
      </c>
      <c r="BL145" s="361"/>
      <c r="BM145" s="361"/>
      <c r="BN145" s="361"/>
      <c r="BO145" s="361"/>
      <c r="BP145" s="96"/>
      <c r="BQ145" s="298">
        <f t="shared" si="25"/>
        <v>16956593.406593408</v>
      </c>
      <c r="BR145" s="298">
        <f>IF(BQ145="","",RANK(BQ145,BQ$11:BQ$9930,1)+COUNTIF(BQ$11:BQ145,BQ145)-1)</f>
        <v>126</v>
      </c>
      <c r="BS145" s="299">
        <f t="shared" si="21"/>
        <v>126</v>
      </c>
      <c r="BT145" s="96" t="str">
        <f>IFERROR(INDEX($O$11:$O$1013,MATCH(ROWS($BS$11:BS145),$BS$11:$BS$1005,0)),"")</f>
        <v>ETQP4M470YFN</v>
      </c>
      <c r="BU145" s="299" t="str">
        <f t="shared" si="26"/>
        <v>ETQP4M470YFN</v>
      </c>
      <c r="BV145" s="96"/>
    </row>
    <row r="146" spans="1:74" ht="15">
      <c r="A146" s="95"/>
      <c r="B146" s="259" t="s">
        <v>584</v>
      </c>
      <c r="C146" s="95" t="s">
        <v>877</v>
      </c>
      <c r="D146" s="95" t="s">
        <v>585</v>
      </c>
      <c r="E146" s="231"/>
      <c r="F146" s="144" t="s">
        <v>153</v>
      </c>
      <c r="G146" s="69" t="s">
        <v>586</v>
      </c>
      <c r="H146" s="68" t="s">
        <v>587</v>
      </c>
      <c r="I146" s="69" t="s">
        <v>588</v>
      </c>
      <c r="J146" s="68" t="s">
        <v>589</v>
      </c>
      <c r="K146" s="68" t="s">
        <v>848</v>
      </c>
      <c r="L146" s="95" t="s">
        <v>846</v>
      </c>
      <c r="M146" s="95" t="s">
        <v>845</v>
      </c>
      <c r="N146" s="95" t="s">
        <v>593</v>
      </c>
      <c r="O146" s="34" t="s">
        <v>844</v>
      </c>
      <c r="P146" s="37" t="str">
        <f>MID(All_PCC_a[[#This Row],[Part Number]],7,3)</f>
        <v>R22</v>
      </c>
      <c r="Q146" s="129">
        <v>0.22</v>
      </c>
      <c r="R146" s="130" t="str">
        <f>IF(All_PCC_a[[#This Row],[Lo (uH)]]&lt;1,"&lt;1",IF(All_PCC_a[[#This Row],[Lo (uH)]]&lt;10,"&lt;10",IF(All_PCC_a[[#This Row],[Lo (uH)]]&lt;100,"&lt;100",IF(All_PCC_a[[#This Row],[Lo (uH)]]&lt;2000,"&lt;2000",""))))</f>
        <v>&lt;1</v>
      </c>
      <c r="S146" s="97" t="str">
        <f>IFERROR(VLOOKUP(All_PCC_a[[#This Row],[Lo (uH)]],Utility!$D$5:$E$43,2,1),"-")</f>
        <v>≤    0.3</v>
      </c>
      <c r="T146" s="250">
        <v>0.2</v>
      </c>
      <c r="U146" s="131">
        <v>0.71</v>
      </c>
      <c r="V146" s="125">
        <v>0.78</v>
      </c>
      <c r="W146" s="137">
        <v>20</v>
      </c>
      <c r="X146" s="130">
        <v>44</v>
      </c>
      <c r="Y146" s="129">
        <v>32</v>
      </c>
      <c r="Z146" s="251">
        <v>63.7</v>
      </c>
      <c r="AA146" s="129">
        <v>45</v>
      </c>
      <c r="AB146" s="129">
        <v>7.9</v>
      </c>
      <c r="AC146" s="87">
        <v>7</v>
      </c>
      <c r="AD146" s="129">
        <v>5</v>
      </c>
      <c r="AE146" s="68">
        <f>ROUND(All_PCC_a[[#This Row],[L (mm)]]*All_PCC_a[[#This Row],[W (mm)]],1)</f>
        <v>55.3</v>
      </c>
      <c r="AF146" s="129" t="str">
        <f>All_PCC_a[[#This Row],[L (mm)]]&amp;"  x  "&amp;All_PCC_a[[#This Row],[W (mm)]]</f>
        <v>7.9  x  7</v>
      </c>
      <c r="AG146" s="91" t="s">
        <v>661</v>
      </c>
      <c r="AH146" s="130" t="str">
        <f>IF(All_PCC_a[[#This Row],[Max Height (mm)]]&lt;=9,"≤ "&amp;ROUNDUP(AD146,0),"≤"&amp;ROUNDUP(AD146,0))</f>
        <v>≤ 5</v>
      </c>
      <c r="AI146" s="95">
        <v>-55</v>
      </c>
      <c r="AJ146" s="95">
        <v>155</v>
      </c>
      <c r="AK146" s="68" t="str">
        <f>All_PCC_a[[#This Row],[Min Temp (deg.C)]]&amp;" to +"&amp;All_PCC_a[[#This Row],[Max Temp (deg.C)]]</f>
        <v>-55 to +155</v>
      </c>
      <c r="AL146" s="68"/>
      <c r="AM146" s="95"/>
      <c r="AN146" s="95"/>
      <c r="AO146" s="87" t="s">
        <v>138</v>
      </c>
      <c r="AP146" s="130" t="s">
        <v>138</v>
      </c>
      <c r="AQ146" s="87" t="s">
        <v>138</v>
      </c>
      <c r="AR146" s="87" t="s">
        <v>138</v>
      </c>
      <c r="AS146" s="95" t="s">
        <v>1012</v>
      </c>
      <c r="AT146" s="95" t="s">
        <v>1019</v>
      </c>
      <c r="AU146" s="95" t="e" vm="14">
        <f>_xlfn.IMAGE(All_PCC_a[[#This Row],[Image URL]])</f>
        <v>#VALUE!</v>
      </c>
      <c r="AV146" s="95"/>
      <c r="AW146" s="95"/>
      <c r="AX146" s="87"/>
      <c r="AY146" s="87"/>
      <c r="AZ146" s="95"/>
      <c r="BA146" s="95"/>
      <c r="BB146" s="95"/>
      <c r="BC146" s="96">
        <f>IF(Z146&lt;('DCDC Ref'!$J$24/'DCDC Ref'!$J$26)*'DCDC Ref'!$J$28/100,0,1)</f>
        <v>1</v>
      </c>
      <c r="BD146" s="360">
        <f>IF(BC146=1000000000,"",('All Data'!Q146-'DCDC Ref'!$J$30)/'DCDC Ref'!$J$30*100)</f>
        <v>-65.186813186813183</v>
      </c>
      <c r="BE146" s="295">
        <f t="shared" si="22"/>
        <v>65.186813186813183</v>
      </c>
      <c r="BF146" s="295"/>
      <c r="BG146" s="360"/>
      <c r="BH146" s="361">
        <f t="shared" si="23"/>
        <v>0</v>
      </c>
      <c r="BI146" s="295"/>
      <c r="BJ146" s="96">
        <f>IF(BC146=0,"",('All Data'!Z146-'DCDC Ref'!$J$28*('DCDC Ref'!$J$29/100))/'DCDC Ref'!$J$28*('DCDC Ref'!$J$29/100)*100)</f>
        <v>471.10344827586204</v>
      </c>
      <c r="BK146" s="361">
        <f t="shared" si="24"/>
        <v>471.10344827586204</v>
      </c>
      <c r="BL146" s="361"/>
      <c r="BM146" s="361"/>
      <c r="BN146" s="361"/>
      <c r="BO146" s="361"/>
      <c r="BP146" s="96"/>
      <c r="BQ146" s="298">
        <f t="shared" si="25"/>
        <v>328289.58317544521</v>
      </c>
      <c r="BR146" s="298">
        <f>IF(BQ146="","",RANK(BQ146,BQ$11:BQ$9930,1)+COUNTIF(BQ$11:BQ146,BQ146)-1)</f>
        <v>27</v>
      </c>
      <c r="BS146" s="299">
        <f t="shared" si="21"/>
        <v>27</v>
      </c>
      <c r="BT146" s="96" t="str">
        <f>IFERROR(INDEX($O$11:$O$1013,MATCH(ROWS($BS$11:BS146),$BS$11:$BS$1005,0)),"")</f>
        <v>ETQP5M470YFC</v>
      </c>
      <c r="BU146" s="299" t="str">
        <f t="shared" si="26"/>
        <v>ETQP5M470YFC</v>
      </c>
      <c r="BV146" s="96"/>
    </row>
    <row r="147" spans="1:74">
      <c r="A147" s="95"/>
      <c r="B147" s="259" t="s">
        <v>584</v>
      </c>
      <c r="C147" s="286" t="s">
        <v>866</v>
      </c>
      <c r="D147" s="95" t="s">
        <v>585</v>
      </c>
      <c r="E147" s="231"/>
      <c r="F147" s="95" t="s">
        <v>153</v>
      </c>
      <c r="G147" s="69" t="s">
        <v>586</v>
      </c>
      <c r="H147" s="68" t="s">
        <v>854</v>
      </c>
      <c r="I147" s="69" t="s">
        <v>588</v>
      </c>
      <c r="J147" s="68" t="s">
        <v>589</v>
      </c>
      <c r="K147" s="95" t="s">
        <v>625</v>
      </c>
      <c r="L147" s="95" t="s">
        <v>860</v>
      </c>
      <c r="M147" s="95" t="s">
        <v>703</v>
      </c>
      <c r="N147" s="95" t="s">
        <v>593</v>
      </c>
      <c r="O147" s="34" t="s">
        <v>856</v>
      </c>
      <c r="P147" s="37" t="str">
        <f>MID(All_PCC_a[[#This Row],[Part Number]],7,3)</f>
        <v>2R5</v>
      </c>
      <c r="Q147" s="129">
        <v>2.5</v>
      </c>
      <c r="R147" s="130" t="str">
        <f>IF(All_PCC_a[[#This Row],[Lo (uH)]]&lt;1,"&lt;1",IF(All_PCC_a[[#This Row],[Lo (uH)]]&lt;10,"&lt;10",IF(All_PCC_a[[#This Row],[Lo (uH)]]&lt;100,"&lt;100",IF(All_PCC_a[[#This Row],[Lo (uH)]]&lt;2000,"&lt;2000",""))))</f>
        <v>&lt;10</v>
      </c>
      <c r="S147" s="97" t="str">
        <f>IFERROR(VLOOKUP(All_PCC_a[[#This Row],[Lo (uH)]],Utility!$D$5:$E$43,2,1),"-")</f>
        <v>≤   3</v>
      </c>
      <c r="T147" s="250">
        <v>0.2</v>
      </c>
      <c r="U147" s="131">
        <v>5.3</v>
      </c>
      <c r="V147" s="125">
        <v>5.83</v>
      </c>
      <c r="W147" s="137">
        <v>10</v>
      </c>
      <c r="X147" s="130">
        <v>18.100000000000001</v>
      </c>
      <c r="Y147" s="129">
        <v>15.1</v>
      </c>
      <c r="Z147" s="251">
        <v>27.2</v>
      </c>
      <c r="AA147" s="129">
        <v>20</v>
      </c>
      <c r="AB147" s="129">
        <v>10.9</v>
      </c>
      <c r="AC147" s="87">
        <v>10</v>
      </c>
      <c r="AD147" s="129">
        <v>5.4</v>
      </c>
      <c r="AE147" s="68">
        <f>ROUND(All_PCC_a[[#This Row],[L (mm)]]*All_PCC_a[[#This Row],[W (mm)]],1)</f>
        <v>109</v>
      </c>
      <c r="AF147" s="129" t="str">
        <f>All_PCC_a[[#This Row],[L (mm)]]&amp;"  x  "&amp;All_PCC_a[[#This Row],[W (mm)]]</f>
        <v>10.9  x  10</v>
      </c>
      <c r="AG147" s="91" t="s">
        <v>614</v>
      </c>
      <c r="AH147" s="97" t="str">
        <f>IF(All_PCC_a[[#This Row],[Max Height (mm)]]&lt;=9,"≤ "&amp;ROUNDUP(AD147,0),"≤"&amp;ROUNDUP(AD147,0))</f>
        <v>≤ 6</v>
      </c>
      <c r="AI147" s="95">
        <v>-40</v>
      </c>
      <c r="AJ147" s="95">
        <v>150</v>
      </c>
      <c r="AK147" s="68" t="str">
        <f>All_PCC_a[[#This Row],[Min Temp (deg.C)]]&amp;" to +"&amp;All_PCC_a[[#This Row],[Max Temp (deg.C)]]</f>
        <v>-40 to +150</v>
      </c>
      <c r="AL147" s="68"/>
      <c r="AM147" s="95"/>
      <c r="AN147" s="95"/>
      <c r="AO147" s="87" t="s">
        <v>138</v>
      </c>
      <c r="AP147" s="130" t="s">
        <v>138</v>
      </c>
      <c r="AQ147" s="87" t="s">
        <v>138</v>
      </c>
      <c r="AR147" s="87" t="s">
        <v>138</v>
      </c>
      <c r="AS147" s="95" t="s">
        <v>1013</v>
      </c>
      <c r="AT147" s="95" t="s">
        <v>628</v>
      </c>
      <c r="AU147" s="95" t="e" vm="10">
        <f>_xlfn.IMAGE(All_PCC_a[[#This Row],[Image URL]])</f>
        <v>#VALUE!</v>
      </c>
      <c r="AV147" s="95"/>
      <c r="AW147" s="95"/>
      <c r="AX147" s="87"/>
      <c r="AY147" s="87"/>
      <c r="AZ147" s="95"/>
      <c r="BA147" s="95"/>
      <c r="BB147" s="95"/>
      <c r="BC147" s="96">
        <f>IF(Z147&lt;('DCDC Ref'!$J$24/'DCDC Ref'!$J$26)*'DCDC Ref'!$J$28/100,0,1)</f>
        <v>1</v>
      </c>
      <c r="BD147" s="360">
        <f>IF(BC147=1000000000,"",('All Data'!Q147-'DCDC Ref'!$J$30)/'DCDC Ref'!$J$30*100)</f>
        <v>295.60439560439562</v>
      </c>
      <c r="BE147" s="295">
        <f t="shared" si="22"/>
        <v>295.60439560439562</v>
      </c>
      <c r="BF147" s="295"/>
      <c r="BG147" s="360"/>
      <c r="BH147" s="361">
        <f t="shared" si="23"/>
        <v>0</v>
      </c>
      <c r="BI147" s="295"/>
      <c r="BJ147" s="96">
        <f>IF(BC147=0,"",('All Data'!Z147-'DCDC Ref'!$J$28*('DCDC Ref'!$J$29/100))/'DCDC Ref'!$J$28*('DCDC Ref'!$J$29/100)*100)</f>
        <v>143.86206896551718</v>
      </c>
      <c r="BK147" s="361">
        <f t="shared" si="24"/>
        <v>143.86206896551718</v>
      </c>
      <c r="BL147" s="361"/>
      <c r="BM147" s="361"/>
      <c r="BN147" s="361"/>
      <c r="BO147" s="361"/>
      <c r="BP147" s="96"/>
      <c r="BQ147" s="298">
        <f t="shared" si="25"/>
        <v>1478741.2883668058</v>
      </c>
      <c r="BR147" s="298">
        <f>IF(BQ147="","",RANK(BQ147,BQ$11:BQ$9930,1)+COUNTIF(BQ$11:BQ147,BQ147)-1)</f>
        <v>54</v>
      </c>
      <c r="BS147" s="299">
        <f t="shared" si="21"/>
        <v>54</v>
      </c>
      <c r="BT147" s="96" t="str">
        <f>IFERROR(INDEX($O$11:$O$1013,MATCH(ROWS($BS$11:BS147),$BS$11:$BS$1005,0)),"")</f>
        <v>ETQP4M470KVC</v>
      </c>
      <c r="BU147" s="299" t="str">
        <f t="shared" si="26"/>
        <v>ETQP4M470KVC</v>
      </c>
      <c r="BV147" s="96"/>
    </row>
    <row r="148" spans="1:74">
      <c r="A148" s="95"/>
      <c r="B148" s="259" t="s">
        <v>584</v>
      </c>
      <c r="C148" s="286" t="s">
        <v>866</v>
      </c>
      <c r="D148" s="95" t="s">
        <v>585</v>
      </c>
      <c r="E148" s="231"/>
      <c r="F148" s="95" t="s">
        <v>153</v>
      </c>
      <c r="G148" s="69" t="s">
        <v>586</v>
      </c>
      <c r="H148" s="68" t="s">
        <v>854</v>
      </c>
      <c r="I148" s="69" t="s">
        <v>588</v>
      </c>
      <c r="J148" s="68" t="s">
        <v>589</v>
      </c>
      <c r="K148" s="95" t="s">
        <v>625</v>
      </c>
      <c r="L148" s="95" t="s">
        <v>860</v>
      </c>
      <c r="M148" s="95" t="s">
        <v>703</v>
      </c>
      <c r="N148" s="95" t="s">
        <v>593</v>
      </c>
      <c r="O148" s="34" t="s">
        <v>858</v>
      </c>
      <c r="P148" s="37" t="str">
        <f>MID(All_PCC_a[[#This Row],[Part Number]],7,3)</f>
        <v>3R3</v>
      </c>
      <c r="Q148" s="129">
        <v>3.3</v>
      </c>
      <c r="R148" s="130" t="str">
        <f>IF(All_PCC_a[[#This Row],[Lo (uH)]]&lt;1,"&lt;1",IF(All_PCC_a[[#This Row],[Lo (uH)]]&lt;10,"&lt;10",IF(All_PCC_a[[#This Row],[Lo (uH)]]&lt;100,"&lt;100",IF(All_PCC_a[[#This Row],[Lo (uH)]]&lt;2000,"&lt;2000",""))))</f>
        <v>&lt;10</v>
      </c>
      <c r="S148" s="97" t="str">
        <f>IFERROR(VLOOKUP(All_PCC_a[[#This Row],[Lo (uH)]],Utility!$D$5:$E$43,2,1),"-")</f>
        <v>≤   4</v>
      </c>
      <c r="T148" s="250">
        <v>0.2</v>
      </c>
      <c r="U148" s="131">
        <v>7.1</v>
      </c>
      <c r="V148" s="125">
        <v>7.81</v>
      </c>
      <c r="W148" s="137">
        <v>10</v>
      </c>
      <c r="X148" s="130">
        <v>15.7</v>
      </c>
      <c r="Y148" s="129">
        <v>13.1</v>
      </c>
      <c r="Z148" s="251">
        <v>22.7</v>
      </c>
      <c r="AA148" s="129">
        <v>17.5</v>
      </c>
      <c r="AB148" s="129">
        <v>10.9</v>
      </c>
      <c r="AC148" s="87">
        <v>10</v>
      </c>
      <c r="AD148" s="129">
        <v>5.4</v>
      </c>
      <c r="AE148" s="68">
        <f>ROUND(All_PCC_a[[#This Row],[L (mm)]]*All_PCC_a[[#This Row],[W (mm)]],1)</f>
        <v>109</v>
      </c>
      <c r="AF148" s="129" t="str">
        <f>All_PCC_a[[#This Row],[L (mm)]]&amp;"  x  "&amp;All_PCC_a[[#This Row],[W (mm)]]</f>
        <v>10.9  x  10</v>
      </c>
      <c r="AG148" s="91" t="s">
        <v>614</v>
      </c>
      <c r="AH148" s="97" t="str">
        <f>IF(All_PCC_a[[#This Row],[Max Height (mm)]]&lt;=9,"≤ "&amp;ROUNDUP(AD148,0),"≤"&amp;ROUNDUP(AD148,0))</f>
        <v>≤ 6</v>
      </c>
      <c r="AI148" s="95">
        <v>-40</v>
      </c>
      <c r="AJ148" s="95">
        <v>150</v>
      </c>
      <c r="AK148" s="68" t="str">
        <f>All_PCC_a[[#This Row],[Min Temp (deg.C)]]&amp;" to +"&amp;All_PCC_a[[#This Row],[Max Temp (deg.C)]]</f>
        <v>-40 to +150</v>
      </c>
      <c r="AL148" s="68"/>
      <c r="AM148" s="95"/>
      <c r="AN148" s="95"/>
      <c r="AO148" s="87" t="s">
        <v>138</v>
      </c>
      <c r="AP148" s="130" t="s">
        <v>138</v>
      </c>
      <c r="AQ148" s="87" t="s">
        <v>138</v>
      </c>
      <c r="AR148" s="87" t="s">
        <v>138</v>
      </c>
      <c r="AS148" s="95" t="s">
        <v>1014</v>
      </c>
      <c r="AT148" s="95" t="s">
        <v>628</v>
      </c>
      <c r="AU148" s="95" t="e" vm="10">
        <f>_xlfn.IMAGE(All_PCC_a[[#This Row],[Image URL]])</f>
        <v>#VALUE!</v>
      </c>
      <c r="AV148" s="95"/>
      <c r="AW148" s="95"/>
      <c r="AX148" s="87"/>
      <c r="AY148" s="87"/>
      <c r="AZ148" s="95"/>
      <c r="BA148" s="95"/>
      <c r="BB148" s="95"/>
      <c r="BC148" s="96">
        <f>IF(Z148&lt;('DCDC Ref'!$J$24/'DCDC Ref'!$J$26)*'DCDC Ref'!$J$28/100,0,1)</f>
        <v>1</v>
      </c>
      <c r="BD148" s="360">
        <f>IF(BC148=1000000000,"",('All Data'!Q148-'DCDC Ref'!$J$30)/'DCDC Ref'!$J$30*100)</f>
        <v>422.1978021978021</v>
      </c>
      <c r="BE148" s="295">
        <f t="shared" si="22"/>
        <v>422.1978021978021</v>
      </c>
      <c r="BF148" s="295"/>
      <c r="BG148" s="360"/>
      <c r="BH148" s="361">
        <f t="shared" si="23"/>
        <v>0</v>
      </c>
      <c r="BI148" s="295"/>
      <c r="BJ148" s="96">
        <f>IF(BC148=0,"",('All Data'!Z148-'DCDC Ref'!$J$28*('DCDC Ref'!$J$29/100))/'DCDC Ref'!$J$28*('DCDC Ref'!$J$29/100)*100)</f>
        <v>103.51724137931031</v>
      </c>
      <c r="BK148" s="361">
        <f t="shared" si="24"/>
        <v>103.51724137931031</v>
      </c>
      <c r="BL148" s="361"/>
      <c r="BM148" s="361"/>
      <c r="BN148" s="361"/>
      <c r="BO148" s="361"/>
      <c r="BP148" s="96"/>
      <c r="BQ148" s="298">
        <f t="shared" si="25"/>
        <v>2111506.597195907</v>
      </c>
      <c r="BR148" s="298">
        <f>IF(BQ148="","",RANK(BQ148,BQ$11:BQ$9930,1)+COUNTIF(BQ$11:BQ148,BQ148)-1)</f>
        <v>65</v>
      </c>
      <c r="BS148" s="299">
        <f t="shared" si="21"/>
        <v>65</v>
      </c>
      <c r="BT148" s="96" t="str">
        <f>IFERROR(INDEX($O$11:$O$1013,MATCH(ROWS($BS$11:BS148),$BS$11:$BS$1005,0)),"")</f>
        <v>ETQP4M470KFM</v>
      </c>
      <c r="BU148" s="299" t="str">
        <f t="shared" si="26"/>
        <v>ETQP4M470KFM</v>
      </c>
      <c r="BV148" s="96"/>
    </row>
    <row r="149" spans="1:74">
      <c r="A149" s="95"/>
      <c r="B149" s="95" t="s">
        <v>584</v>
      </c>
      <c r="C149" s="286" t="s">
        <v>866</v>
      </c>
      <c r="D149" s="95" t="s">
        <v>585</v>
      </c>
      <c r="E149" s="231"/>
      <c r="F149" s="95" t="s">
        <v>153</v>
      </c>
      <c r="G149" s="69" t="s">
        <v>586</v>
      </c>
      <c r="H149" s="68" t="s">
        <v>854</v>
      </c>
      <c r="I149" s="69" t="s">
        <v>588</v>
      </c>
      <c r="J149" s="68" t="s">
        <v>589</v>
      </c>
      <c r="K149" s="68" t="s">
        <v>601</v>
      </c>
      <c r="L149" s="95" t="s">
        <v>821</v>
      </c>
      <c r="M149" s="95" t="s">
        <v>603</v>
      </c>
      <c r="N149" s="95" t="s">
        <v>593</v>
      </c>
      <c r="O149" s="34" t="s">
        <v>862</v>
      </c>
      <c r="P149" s="37" t="str">
        <f>MID(All_PCC_a[[#This Row],[Part Number]],7,3)</f>
        <v>R10</v>
      </c>
      <c r="Q149" s="129">
        <v>0.105</v>
      </c>
      <c r="R149" s="130" t="str">
        <f>IF(All_PCC_a[[#This Row],[Lo (uH)]]&lt;1,"&lt;1",IF(All_PCC_a[[#This Row],[Lo (uH)]]&lt;10,"&lt;10",IF(All_PCC_a[[#This Row],[Lo (uH)]]&lt;100,"&lt;100",IF(All_PCC_a[[#This Row],[Lo (uH)]]&lt;2000,"&lt;2000",""))))</f>
        <v>&lt;1</v>
      </c>
      <c r="S149" s="97" t="str">
        <f>IFERROR(VLOOKUP(All_PCC_a[[#This Row],[Lo (uH)]],Utility!$D$5:$E$43,2,1),"-")</f>
        <v>≤    0.1</v>
      </c>
      <c r="T149" s="250">
        <v>0.2</v>
      </c>
      <c r="U149" s="131">
        <v>1.52</v>
      </c>
      <c r="V149" s="125">
        <v>1.67</v>
      </c>
      <c r="W149" s="137">
        <v>10</v>
      </c>
      <c r="X149" s="130">
        <v>22.7</v>
      </c>
      <c r="Y149" s="129">
        <v>18.899999999999999</v>
      </c>
      <c r="Z149" s="251">
        <v>37.299999999999997</v>
      </c>
      <c r="AA149" s="129">
        <v>25.5</v>
      </c>
      <c r="AB149" s="129">
        <v>5.5</v>
      </c>
      <c r="AC149" s="87">
        <v>5</v>
      </c>
      <c r="AD149" s="129">
        <v>3</v>
      </c>
      <c r="AE149" s="68">
        <f>ROUND(All_PCC_a[[#This Row],[L (mm)]]*All_PCC_a[[#This Row],[W (mm)]],1)</f>
        <v>27.5</v>
      </c>
      <c r="AF149" s="129" t="str">
        <f>All_PCC_a[[#This Row],[L (mm)]]&amp;"  x  "&amp;All_PCC_a[[#This Row],[W (mm)]]</f>
        <v>5.5  x  5</v>
      </c>
      <c r="AG149" s="91" t="s">
        <v>352</v>
      </c>
      <c r="AH149" s="130" t="str">
        <f>IF(All_PCC_a[[#This Row],[Max Height (mm)]]&lt;=9,"≤ "&amp;ROUNDUP(AD149,0),"≤"&amp;ROUNDUP(AD149,0))</f>
        <v>≤ 3</v>
      </c>
      <c r="AI149" s="95">
        <v>-55</v>
      </c>
      <c r="AJ149" s="95">
        <v>155</v>
      </c>
      <c r="AK149" s="68" t="str">
        <f>All_PCC_a[[#This Row],[Min Temp (deg.C)]]&amp;" to +"&amp;All_PCC_a[[#This Row],[Max Temp (deg.C)]]</f>
        <v>-55 to +155</v>
      </c>
      <c r="AL149" s="68"/>
      <c r="AM149" s="95"/>
      <c r="AN149" s="95"/>
      <c r="AO149" s="87" t="s">
        <v>138</v>
      </c>
      <c r="AP149" s="130" t="s">
        <v>138</v>
      </c>
      <c r="AQ149" s="87" t="s">
        <v>138</v>
      </c>
      <c r="AR149" s="87" t="s">
        <v>138</v>
      </c>
      <c r="AS149" s="95" t="s">
        <v>1015</v>
      </c>
      <c r="AT149" s="95" t="s">
        <v>606</v>
      </c>
      <c r="AU149" s="95" t="e" vm="9">
        <f>_xlfn.IMAGE(All_PCC_a[[#This Row],[Image URL]])</f>
        <v>#VALUE!</v>
      </c>
      <c r="AV149" s="95"/>
      <c r="AW149" s="95"/>
      <c r="AX149" s="87"/>
      <c r="AY149" s="87"/>
      <c r="AZ149" s="95"/>
      <c r="BA149" s="95"/>
      <c r="BB149" s="95"/>
      <c r="BC149" s="96">
        <f>IF(Z149&lt;('DCDC Ref'!$J$24/'DCDC Ref'!$J$26)*'DCDC Ref'!$J$28/100,0,1)</f>
        <v>1</v>
      </c>
      <c r="BD149" s="360">
        <f>IF(BC149=1000000000,"",('All Data'!Q149-'DCDC Ref'!$J$30)/'DCDC Ref'!$J$30*100)</f>
        <v>-83.384615384615387</v>
      </c>
      <c r="BE149" s="295">
        <f t="shared" si="22"/>
        <v>83.384615384615387</v>
      </c>
      <c r="BF149" s="295"/>
      <c r="BG149" s="360"/>
      <c r="BH149" s="361">
        <f t="shared" si="23"/>
        <v>0</v>
      </c>
      <c r="BI149" s="295"/>
      <c r="BJ149" s="96">
        <f>IF(BC149=0,"",('All Data'!Z149-'DCDC Ref'!$J$28*('DCDC Ref'!$J$29/100))/'DCDC Ref'!$J$28*('DCDC Ref'!$J$29/100)*100)</f>
        <v>234.41379310344823</v>
      </c>
      <c r="BK149" s="361">
        <f t="shared" si="24"/>
        <v>234.41379310344823</v>
      </c>
      <c r="BL149" s="361"/>
      <c r="BM149" s="361"/>
      <c r="BN149" s="361"/>
      <c r="BO149" s="361"/>
      <c r="BP149" s="96"/>
      <c r="BQ149" s="298">
        <f t="shared" si="25"/>
        <v>418095.14588859415</v>
      </c>
      <c r="BR149" s="298">
        <f>IF(BQ149="","",RANK(BQ149,BQ$11:BQ$9930,1)+COUNTIF(BQ$11:BQ149,BQ149)-1)</f>
        <v>28</v>
      </c>
      <c r="BS149" s="299">
        <f t="shared" si="21"/>
        <v>28</v>
      </c>
      <c r="BT149" s="96" t="str">
        <f>IFERROR(INDEX($O$11:$O$1013,MATCH(ROWS($BS$11:BS149),$BS$11:$BS$1005,0)),"")</f>
        <v>ETQP4M470KFN</v>
      </c>
      <c r="BU149" s="299" t="str">
        <f t="shared" si="26"/>
        <v>ETQP4M470KFN</v>
      </c>
      <c r="BV149" s="96"/>
    </row>
    <row r="150" spans="1:74">
      <c r="A150" s="95"/>
      <c r="B150" s="95" t="s">
        <v>584</v>
      </c>
      <c r="C150" s="286" t="s">
        <v>866</v>
      </c>
      <c r="D150" s="95" t="s">
        <v>585</v>
      </c>
      <c r="E150" s="231"/>
      <c r="F150" s="95" t="s">
        <v>153</v>
      </c>
      <c r="G150" s="69" t="s">
        <v>586</v>
      </c>
      <c r="H150" s="68" t="s">
        <v>854</v>
      </c>
      <c r="I150" s="69" t="s">
        <v>588</v>
      </c>
      <c r="J150" s="68" t="s">
        <v>589</v>
      </c>
      <c r="K150" s="68" t="s">
        <v>654</v>
      </c>
      <c r="L150" s="95" t="s">
        <v>865</v>
      </c>
      <c r="M150" s="95" t="s">
        <v>671</v>
      </c>
      <c r="N150" s="95" t="s">
        <v>593</v>
      </c>
      <c r="O150" s="34" t="s">
        <v>864</v>
      </c>
      <c r="P150" s="37" t="str">
        <f>MID(All_PCC_a[[#This Row],[Part Number]],7,3)</f>
        <v>R47</v>
      </c>
      <c r="Q150" s="129">
        <v>0.47</v>
      </c>
      <c r="R150" s="130" t="str">
        <f>IF(All_PCC_a[[#This Row],[Lo (uH)]]&lt;1,"&lt;1",IF(All_PCC_a[[#This Row],[Lo (uH)]]&lt;10,"&lt;10",IF(All_PCC_a[[#This Row],[Lo (uH)]]&lt;100,"&lt;100",IF(All_PCC_a[[#This Row],[Lo (uH)]]&lt;2000,"&lt;2000",""))))</f>
        <v>&lt;1</v>
      </c>
      <c r="S150" s="97" t="str">
        <f>IFERROR(VLOOKUP(All_PCC_a[[#This Row],[Lo (uH)]],Utility!$D$5:$E$43,2,1),"-")</f>
        <v>≤    0.5</v>
      </c>
      <c r="T150" s="250">
        <v>0.2</v>
      </c>
      <c r="U150" s="131">
        <v>3.3</v>
      </c>
      <c r="V150" s="125">
        <v>3.63</v>
      </c>
      <c r="W150" s="137">
        <v>10</v>
      </c>
      <c r="X150" s="130">
        <v>19.8</v>
      </c>
      <c r="Y150" s="129">
        <v>14.7</v>
      </c>
      <c r="Z150" s="251">
        <v>29.8</v>
      </c>
      <c r="AA150" s="129">
        <v>21.7</v>
      </c>
      <c r="AB150" s="129">
        <v>7.4</v>
      </c>
      <c r="AC150" s="87">
        <v>7</v>
      </c>
      <c r="AD150" s="129">
        <v>4.8</v>
      </c>
      <c r="AE150" s="68">
        <f>ROUND(All_PCC_a[[#This Row],[L (mm)]]*All_PCC_a[[#This Row],[W (mm)]],1)</f>
        <v>51.8</v>
      </c>
      <c r="AF150" s="87" t="str">
        <f>All_PCC_a[[#This Row],[L (mm)]]&amp;"  x  "&amp;All_PCC_a[[#This Row],[W (mm)]]</f>
        <v>7.4  x  7</v>
      </c>
      <c r="AG150" s="141" t="s">
        <v>661</v>
      </c>
      <c r="AH150" s="97" t="str">
        <f>IF(All_PCC_a[[#This Row],[Max Height (mm)]]&lt;=9,"≤ "&amp;ROUNDUP(AD150,0),"≤"&amp;ROUNDUP(AD150,0))</f>
        <v>≤ 5</v>
      </c>
      <c r="AI150" s="68">
        <v>-40</v>
      </c>
      <c r="AJ150" s="68">
        <v>150</v>
      </c>
      <c r="AK150" s="68" t="str">
        <f>All_PCC_a[[#This Row],[Min Temp (deg.C)]]&amp;" to +"&amp;All_PCC_a[[#This Row],[Max Temp (deg.C)]]</f>
        <v>-40 to +150</v>
      </c>
      <c r="AL150" s="68"/>
      <c r="AM150" s="95"/>
      <c r="AN150" s="95"/>
      <c r="AO150" s="87" t="s">
        <v>138</v>
      </c>
      <c r="AP150" s="130" t="s">
        <v>138</v>
      </c>
      <c r="AQ150" s="87" t="s">
        <v>138</v>
      </c>
      <c r="AR150" s="87" t="s">
        <v>138</v>
      </c>
      <c r="AS150" s="68" t="s">
        <v>1016</v>
      </c>
      <c r="AT150" s="68" t="s">
        <v>657</v>
      </c>
      <c r="AU150" s="96" t="e" vm="12">
        <f>_xlfn.IMAGE(All_PCC_a[[#This Row],[Image URL]])</f>
        <v>#VALUE!</v>
      </c>
      <c r="AV150" s="95"/>
      <c r="AW150" s="95"/>
      <c r="AX150" s="87"/>
      <c r="AY150" s="87"/>
      <c r="AZ150" s="95"/>
      <c r="BA150" s="95"/>
      <c r="BB150" s="95"/>
      <c r="BC150" s="96">
        <f>IF(Z150&lt;('DCDC Ref'!$J$24/'DCDC Ref'!$J$26)*'DCDC Ref'!$J$28/100,0,1)</f>
        <v>1</v>
      </c>
      <c r="BD150" s="360">
        <f>IF(BC150=1000000000,"",('All Data'!Q150-'DCDC Ref'!$J$30)/'DCDC Ref'!$J$30*100)</f>
        <v>-25.626373626373628</v>
      </c>
      <c r="BE150" s="295">
        <f t="shared" si="22"/>
        <v>25.626373626373628</v>
      </c>
      <c r="BF150" s="295"/>
      <c r="BG150" s="360"/>
      <c r="BH150" s="361">
        <f t="shared" si="23"/>
        <v>0</v>
      </c>
      <c r="BI150" s="295"/>
      <c r="BJ150" s="96">
        <f>IF(BC150=0,"",('All Data'!Z150-'DCDC Ref'!$J$28*('DCDC Ref'!$J$29/100))/'DCDC Ref'!$J$28*('DCDC Ref'!$J$29/100)*100)</f>
        <v>167.1724137931034</v>
      </c>
      <c r="BK150" s="361">
        <f t="shared" si="24"/>
        <v>167.1724137931034</v>
      </c>
      <c r="BL150" s="361"/>
      <c r="BM150" s="361"/>
      <c r="BN150" s="361"/>
      <c r="BO150" s="361"/>
      <c r="BP150" s="96"/>
      <c r="BQ150" s="298">
        <f t="shared" si="25"/>
        <v>128967.73020083366</v>
      </c>
      <c r="BR150" s="298">
        <f>IF(BQ150="","",RANK(BQ150,BQ$11:BQ$9930,1)+COUNTIF(BQ$11:BQ150,BQ150)-1)</f>
        <v>11</v>
      </c>
      <c r="BS150" s="299">
        <f t="shared" si="21"/>
        <v>11</v>
      </c>
      <c r="BT150" s="96" t="str">
        <f>IFERROR(INDEX($O$11:$O$1013,MATCH(ROWS($BS$11:BS150),$BS$11:$BS$1005,0)),"")</f>
        <v>ETQP5M470YFK</v>
      </c>
      <c r="BU150" s="299" t="str">
        <f t="shared" si="26"/>
        <v>ETQP5M470YFK</v>
      </c>
      <c r="BV150" s="96"/>
    </row>
    <row r="151" spans="1:74" ht="15">
      <c r="A151" s="95"/>
      <c r="B151" s="95" t="s">
        <v>584</v>
      </c>
      <c r="C151" s="144" t="s">
        <v>869</v>
      </c>
      <c r="D151" s="95" t="s">
        <v>585</v>
      </c>
      <c r="E151" s="231"/>
      <c r="F151" s="95" t="s">
        <v>153</v>
      </c>
      <c r="G151" s="69" t="s">
        <v>586</v>
      </c>
      <c r="H151" s="68" t="s">
        <v>854</v>
      </c>
      <c r="I151" s="69" t="s">
        <v>588</v>
      </c>
      <c r="J151" s="68" t="s">
        <v>589</v>
      </c>
      <c r="K151" s="68" t="s">
        <v>590</v>
      </c>
      <c r="L151" s="68" t="s">
        <v>667</v>
      </c>
      <c r="M151" s="95" t="s">
        <v>668</v>
      </c>
      <c r="N151" s="68" t="s">
        <v>22</v>
      </c>
      <c r="O151" s="34" t="s">
        <v>870</v>
      </c>
      <c r="P151" s="37" t="str">
        <f>MID(All_PCC_a[[#This Row],[Part Number]],7,3)</f>
        <v>100</v>
      </c>
      <c r="Q151" s="129">
        <v>10</v>
      </c>
      <c r="R151" s="130" t="str">
        <f>IF(All_PCC_a[[#This Row],[Lo (uH)]]&lt;1,"&lt;1",IF(All_PCC_a[[#This Row],[Lo (uH)]]&lt;10,"&lt;10",IF(All_PCC_a[[#This Row],[Lo (uH)]]&lt;100,"&lt;100",IF(All_PCC_a[[#This Row],[Lo (uH)]]&lt;2000,"&lt;2000",""))))</f>
        <v>&lt;100</v>
      </c>
      <c r="S151" s="97" t="str">
        <f>IFERROR(VLOOKUP(All_PCC_a[[#This Row],[Lo (uH)]],Utility!$D$5:$E$43,2,1),"-")</f>
        <v>≤  10</v>
      </c>
      <c r="T151" s="250">
        <v>0.2</v>
      </c>
      <c r="U151" s="131">
        <v>95</v>
      </c>
      <c r="V151" s="125">
        <v>104.5</v>
      </c>
      <c r="W151" s="137">
        <v>10</v>
      </c>
      <c r="X151" s="130">
        <v>3</v>
      </c>
      <c r="Y151" s="129">
        <v>2.5</v>
      </c>
      <c r="Z151" s="251">
        <v>3.9</v>
      </c>
      <c r="AA151" s="602">
        <v>2.75</v>
      </c>
      <c r="AB151" s="68">
        <v>5.5</v>
      </c>
      <c r="AC151" s="68">
        <v>5</v>
      </c>
      <c r="AD151" s="129">
        <v>4</v>
      </c>
      <c r="AE151" s="68">
        <f>ROUND(All_PCC_a[[#This Row],[L (mm)]]*All_PCC_a[[#This Row],[W (mm)]],1)</f>
        <v>27.5</v>
      </c>
      <c r="AF151" s="87" t="str">
        <f>All_PCC_a[[#This Row],[L (mm)]]&amp;"  x  "&amp;All_PCC_a[[#This Row],[W (mm)]]</f>
        <v>5.5  x  5</v>
      </c>
      <c r="AG151" s="91" t="s">
        <v>605</v>
      </c>
      <c r="AH151" s="87" t="str">
        <f>IF(All_PCC_a[[#This Row],[Max Height (mm)]]&lt;=9,"≤ "&amp;ROUNDUP(AD151,0),"≤"&amp;ROUNDUP(AD151,0))</f>
        <v>≤ 4</v>
      </c>
      <c r="AI151" s="72">
        <v>-40</v>
      </c>
      <c r="AJ151" s="72">
        <v>150</v>
      </c>
      <c r="AK151" s="68" t="str">
        <f>All_PCC_a[[#This Row],[Min Temp (deg.C)]]&amp;" to +"&amp;All_PCC_a[[#This Row],[Max Temp (deg.C)]]</f>
        <v>-40 to +150</v>
      </c>
      <c r="AL151" s="68"/>
      <c r="AM151" s="95"/>
      <c r="AN151" s="95"/>
      <c r="AO151" s="87" t="s">
        <v>138</v>
      </c>
      <c r="AP151" s="130" t="s">
        <v>138</v>
      </c>
      <c r="AQ151" s="87" t="s">
        <v>138</v>
      </c>
      <c r="AR151" s="87" t="s">
        <v>138</v>
      </c>
      <c r="AS151" s="68" t="s">
        <v>1017</v>
      </c>
      <c r="AT151" s="68" t="s">
        <v>594</v>
      </c>
      <c r="AU151" s="95" t="e" vm="7">
        <f>_xlfn.IMAGE(All_PCC_a[[#This Row],[Image URL]])</f>
        <v>#VALUE!</v>
      </c>
      <c r="AV151" s="95"/>
      <c r="AW151" s="95"/>
      <c r="AX151" s="87"/>
      <c r="AY151" s="87"/>
      <c r="AZ151" s="95"/>
      <c r="BA151" s="95"/>
      <c r="BB151" s="95"/>
      <c r="BC151" s="96">
        <f>IF(Z151&lt;('DCDC Ref'!$J$24/'DCDC Ref'!$J$26)*'DCDC Ref'!$J$28/100,0,1)</f>
        <v>1</v>
      </c>
      <c r="BD151" s="360">
        <f>IF(BC151=1000000000,"",('All Data'!Q151-'DCDC Ref'!$J$30)/'DCDC Ref'!$J$30*100)</f>
        <v>1482.4175824175825</v>
      </c>
      <c r="BE151" s="295">
        <f t="shared" si="22"/>
        <v>1482.4175824175825</v>
      </c>
      <c r="BF151" s="295"/>
      <c r="BG151" s="360"/>
      <c r="BH151" s="361">
        <f t="shared" si="23"/>
        <v>0</v>
      </c>
      <c r="BI151" s="295"/>
      <c r="BJ151" s="96">
        <f>IF(BC151=0,"",('All Data'!Z151-'DCDC Ref'!$J$28*('DCDC Ref'!$J$29/100))/'DCDC Ref'!$J$28*('DCDC Ref'!$J$29/100)*100)</f>
        <v>-65.034482758620697</v>
      </c>
      <c r="BK151" s="361">
        <f t="shared" si="24"/>
        <v>10000</v>
      </c>
      <c r="BL151" s="361"/>
      <c r="BM151" s="361"/>
      <c r="BN151" s="361"/>
      <c r="BO151" s="361"/>
      <c r="BP151" s="96"/>
      <c r="BQ151" s="298">
        <f t="shared" si="25"/>
        <v>7462087.9120879127</v>
      </c>
      <c r="BR151" s="298">
        <f>IF(BQ151="","",RANK(BQ151,BQ$11:BQ$9930,1)+COUNTIF(BQ$11:BQ151,BQ151)-1)</f>
        <v>105</v>
      </c>
      <c r="BS151" s="299">
        <f t="shared" si="21"/>
        <v>105</v>
      </c>
      <c r="BT151" s="96" t="str">
        <f>IFERROR(INDEX($O$11:$O$1013,MATCH(ROWS($BS$11:BS151),$BS$11:$BS$1005,0)),"")</f>
        <v>ETQP5M470YFM</v>
      </c>
      <c r="BU151" s="299" t="str">
        <f t="shared" si="26"/>
        <v>ETQP5M470YFM</v>
      </c>
      <c r="BV151" s="96"/>
    </row>
    <row r="152" spans="1:74" ht="15">
      <c r="A152" s="95"/>
      <c r="B152" s="95" t="s">
        <v>584</v>
      </c>
      <c r="C152" s="144" t="s">
        <v>874</v>
      </c>
      <c r="D152" s="95" t="s">
        <v>585</v>
      </c>
      <c r="E152" s="231"/>
      <c r="F152" s="95" t="s">
        <v>153</v>
      </c>
      <c r="G152" s="69" t="s">
        <v>586</v>
      </c>
      <c r="H152" s="68" t="s">
        <v>854</v>
      </c>
      <c r="I152" s="69" t="s">
        <v>588</v>
      </c>
      <c r="J152" s="68" t="s">
        <v>589</v>
      </c>
      <c r="K152" s="68" t="s">
        <v>601</v>
      </c>
      <c r="L152" s="95" t="s">
        <v>873</v>
      </c>
      <c r="M152" s="95" t="s">
        <v>621</v>
      </c>
      <c r="N152" s="68" t="s">
        <v>22</v>
      </c>
      <c r="O152" s="34" t="s">
        <v>872</v>
      </c>
      <c r="P152" s="37" t="str">
        <f>MID(All_PCC_a[[#This Row],[Part Number]],7,3)</f>
        <v>R47</v>
      </c>
      <c r="Q152" s="129">
        <v>0.47</v>
      </c>
      <c r="R152" s="130" t="str">
        <f>IF(All_PCC_a[[#This Row],[Lo (uH)]]&lt;1,"&lt;1",IF(All_PCC_a[[#This Row],[Lo (uH)]]&lt;10,"&lt;10",IF(All_PCC_a[[#This Row],[Lo (uH)]]&lt;100,"&lt;100",IF(All_PCC_a[[#This Row],[Lo (uH)]]&lt;2000,"&lt;2000",""))))</f>
        <v>&lt;1</v>
      </c>
      <c r="S152" s="97" t="str">
        <f>IFERROR(VLOOKUP(All_PCC_a[[#This Row],[Lo (uH)]],Utility!$D$5:$E$43,2,1),"-")</f>
        <v>≤    0.5</v>
      </c>
      <c r="T152" s="250">
        <v>0.2</v>
      </c>
      <c r="U152" s="131">
        <v>3.7</v>
      </c>
      <c r="V152" s="125">
        <v>4.07</v>
      </c>
      <c r="W152" s="137">
        <v>10</v>
      </c>
      <c r="X152" s="130">
        <v>15.7</v>
      </c>
      <c r="Y152" s="129">
        <v>12.8</v>
      </c>
      <c r="Z152" s="251">
        <v>20</v>
      </c>
      <c r="AA152" s="129">
        <v>15.5</v>
      </c>
      <c r="AB152" s="129">
        <v>6</v>
      </c>
      <c r="AC152" s="87">
        <v>6.4</v>
      </c>
      <c r="AD152" s="129">
        <v>3</v>
      </c>
      <c r="AE152" s="68">
        <f>ROUND(All_PCC_a[[#This Row],[L (mm)]]*All_PCC_a[[#This Row],[W (mm)]],1)</f>
        <v>38.4</v>
      </c>
      <c r="AF152" s="87" t="str">
        <f>All_PCC_a[[#This Row],[L (mm)]]&amp;"  x  "&amp;All_PCC_a[[#This Row],[W (mm)]]</f>
        <v>6  x  6.4</v>
      </c>
      <c r="AG152" s="91" t="s">
        <v>354</v>
      </c>
      <c r="AH152" s="87" t="str">
        <f>IF(All_PCC_a[[#This Row],[Max Height (mm)]]&lt;=9,"≤ "&amp;ROUNDUP(AD152,0),"≤"&amp;ROUNDUP(AD152,0))</f>
        <v>≤ 3</v>
      </c>
      <c r="AI152" s="68">
        <v>-55</v>
      </c>
      <c r="AJ152" s="68">
        <v>155</v>
      </c>
      <c r="AK152" s="68" t="str">
        <f>All_PCC_a[[#This Row],[Min Temp (deg.C)]]&amp;" to +"&amp;All_PCC_a[[#This Row],[Max Temp (deg.C)]]</f>
        <v>-55 to +155</v>
      </c>
      <c r="AL152" s="68"/>
      <c r="AM152" s="95"/>
      <c r="AN152" s="95"/>
      <c r="AO152" s="87" t="s">
        <v>138</v>
      </c>
      <c r="AP152" s="130" t="s">
        <v>138</v>
      </c>
      <c r="AQ152" s="87" t="s">
        <v>138</v>
      </c>
      <c r="AR152" s="87" t="s">
        <v>138</v>
      </c>
      <c r="AS152" s="68" t="s">
        <v>1018</v>
      </c>
      <c r="AT152" s="95" t="s">
        <v>606</v>
      </c>
      <c r="AU152" s="95" t="e" vm="9">
        <f>_xlfn.IMAGE(All_PCC_a[[#This Row],[Image URL]])</f>
        <v>#VALUE!</v>
      </c>
      <c r="AV152" s="95"/>
      <c r="AW152" s="95"/>
      <c r="AX152" s="87"/>
      <c r="AY152" s="87"/>
      <c r="AZ152" s="95"/>
      <c r="BA152" s="95"/>
      <c r="BB152" s="95"/>
      <c r="BC152" s="96">
        <f>IF(Z152&lt;('DCDC Ref'!$J$24/'DCDC Ref'!$J$26)*'DCDC Ref'!$J$28/100,0,1)</f>
        <v>1</v>
      </c>
      <c r="BD152" s="360">
        <f>IF(BC152=1000000000,"",('All Data'!Q152-'DCDC Ref'!$J$30)/'DCDC Ref'!$J$30*100)</f>
        <v>-25.626373626373628</v>
      </c>
      <c r="BE152" s="295">
        <f t="shared" si="22"/>
        <v>25.626373626373628</v>
      </c>
      <c r="BF152" s="295"/>
      <c r="BG152" s="360"/>
      <c r="BH152" s="361">
        <f t="shared" si="23"/>
        <v>0</v>
      </c>
      <c r="BI152" s="295"/>
      <c r="BJ152" s="96">
        <f>IF(BC152=0,"",('All Data'!Z152-'DCDC Ref'!$J$28*('DCDC Ref'!$J$29/100))/'DCDC Ref'!$J$28*('DCDC Ref'!$J$29/100)*100)</f>
        <v>79.310344827586192</v>
      </c>
      <c r="BK152" s="361">
        <f t="shared" si="24"/>
        <v>79.310344827586192</v>
      </c>
      <c r="BL152" s="361"/>
      <c r="BM152" s="361"/>
      <c r="BN152" s="361"/>
      <c r="BO152" s="361"/>
      <c r="BP152" s="96"/>
      <c r="BQ152" s="298">
        <f t="shared" si="25"/>
        <v>128528.41985600606</v>
      </c>
      <c r="BR152" s="298">
        <f>IF(BQ152="","",RANK(BQ152,BQ$11:BQ$9930,1)+COUNTIF(BQ$11:BQ152,BQ152)-1)</f>
        <v>10</v>
      </c>
      <c r="BS152" s="299">
        <f t="shared" si="21"/>
        <v>10</v>
      </c>
      <c r="BT152" s="96" t="str">
        <f>IFERROR(INDEX($O$11:$O$1013,MATCH(ROWS($BS$11:BS152),$BS$11:$BS$1005,0)),"")</f>
        <v>ETQP5M680YFC</v>
      </c>
      <c r="BU152" s="299" t="str">
        <f t="shared" si="26"/>
        <v>ETQP5M680YFC</v>
      </c>
      <c r="BV152" s="96"/>
    </row>
    <row r="153" spans="1:74" ht="15">
      <c r="A153" s="95"/>
      <c r="B153" s="95" t="s">
        <v>584</v>
      </c>
      <c r="C153" s="144" t="s">
        <v>1021</v>
      </c>
      <c r="D153" s="95" t="s">
        <v>585</v>
      </c>
      <c r="E153" s="231"/>
      <c r="F153" s="95" t="s">
        <v>153</v>
      </c>
      <c r="G153" s="69" t="s">
        <v>586</v>
      </c>
      <c r="H153" s="68" t="s">
        <v>854</v>
      </c>
      <c r="I153" s="69" t="s">
        <v>588</v>
      </c>
      <c r="J153" s="68" t="s">
        <v>589</v>
      </c>
      <c r="K153" s="68" t="s">
        <v>654</v>
      </c>
      <c r="L153" s="95" t="s">
        <v>865</v>
      </c>
      <c r="M153" s="95" t="s">
        <v>1024</v>
      </c>
      <c r="N153" s="68" t="s">
        <v>22</v>
      </c>
      <c r="O153" s="34" t="s">
        <v>1020</v>
      </c>
      <c r="P153" s="37" t="str">
        <f>MID(All_PCC_a[[#This Row],[Part Number]],7,3)</f>
        <v>1R2</v>
      </c>
      <c r="Q153" s="129">
        <v>1.2</v>
      </c>
      <c r="R153" s="130" t="str">
        <f>IF(All_PCC_a[[#This Row],[Lo (uH)]]&lt;1,"&lt;1",IF(All_PCC_a[[#This Row],[Lo (uH)]]&lt;10,"&lt;10",IF(All_PCC_a[[#This Row],[Lo (uH)]]&lt;100,"&lt;100",IF(All_PCC_a[[#This Row],[Lo (uH)]]&lt;2000,"&lt;2000",""))))</f>
        <v>&lt;10</v>
      </c>
      <c r="S153" s="97" t="str">
        <f>IFERROR(VLOOKUP(All_PCC_a[[#This Row],[Lo (uH)]],Utility!$D$5:$E$43,2,1),"-")</f>
        <v>≤   2</v>
      </c>
      <c r="T153" s="250">
        <v>0.2</v>
      </c>
      <c r="U153" s="131">
        <v>6.6</v>
      </c>
      <c r="V153" s="125">
        <v>7.26</v>
      </c>
      <c r="W153" s="137">
        <v>10</v>
      </c>
      <c r="X153" s="130">
        <v>14</v>
      </c>
      <c r="Y153" s="129">
        <v>10.4</v>
      </c>
      <c r="Z153" s="251">
        <v>20.7</v>
      </c>
      <c r="AA153" s="129">
        <v>15.8</v>
      </c>
      <c r="AB153" s="129">
        <v>7.4</v>
      </c>
      <c r="AC153" s="87">
        <v>7</v>
      </c>
      <c r="AD153" s="129">
        <v>4.8</v>
      </c>
      <c r="AE153" s="68">
        <f>ROUND(All_PCC_a[[#This Row],[L (mm)]]*All_PCC_a[[#This Row],[W (mm)]],1)</f>
        <v>51.8</v>
      </c>
      <c r="AF153" s="87" t="str">
        <f>All_PCC_a[[#This Row],[L (mm)]]&amp;"  x  "&amp;All_PCC_a[[#This Row],[W (mm)]]</f>
        <v>7.4  x  7</v>
      </c>
      <c r="AG153" s="141" t="s">
        <v>661</v>
      </c>
      <c r="AH153" s="87" t="str">
        <f>IF(All_PCC_a[[#This Row],[Max Height (mm)]]&lt;=9,"≤ "&amp;ROUNDUP(AD153,0),"≤"&amp;ROUNDUP(AD153,0))</f>
        <v>≤ 5</v>
      </c>
      <c r="AI153" s="68">
        <v>-40</v>
      </c>
      <c r="AJ153" s="68">
        <v>150</v>
      </c>
      <c r="AK153" s="68" t="str">
        <f>All_PCC_a[[#This Row],[Min Temp (deg.C)]]&amp;" to +"&amp;All_PCC_a[[#This Row],[Max Temp (deg.C)]]</f>
        <v>-40 to +150</v>
      </c>
      <c r="AL153" s="68"/>
      <c r="AM153" s="95"/>
      <c r="AN153" s="95"/>
      <c r="AO153" s="87" t="s">
        <v>138</v>
      </c>
      <c r="AP153" s="130" t="s">
        <v>138</v>
      </c>
      <c r="AQ153" s="87" t="s">
        <v>138</v>
      </c>
      <c r="AR153" s="87" t="s">
        <v>138</v>
      </c>
      <c r="AS153" s="68" t="s">
        <v>1016</v>
      </c>
      <c r="AT153" s="68" t="s">
        <v>657</v>
      </c>
      <c r="AU153" s="96" t="e" vm="12">
        <f>_xlfn.IMAGE(All_PCC_a[[#This Row],[Image URL]])</f>
        <v>#VALUE!</v>
      </c>
      <c r="AV153" s="95"/>
      <c r="AW153" s="95"/>
      <c r="AX153" s="87"/>
      <c r="AY153" s="87"/>
      <c r="AZ153" s="95"/>
      <c r="BA153" s="95"/>
      <c r="BB153" s="95"/>
      <c r="BC153" s="96">
        <f>IF(Z153&lt;('DCDC Ref'!$J$24/'DCDC Ref'!$J$26)*'DCDC Ref'!$J$28/100,0,1)</f>
        <v>1</v>
      </c>
      <c r="BD153" s="360">
        <f>IF(BC153=1000000000,"",('All Data'!Q153-'DCDC Ref'!$J$30)/'DCDC Ref'!$J$30*100)</f>
        <v>89.890109890109898</v>
      </c>
      <c r="BE153" s="295">
        <f t="shared" si="22"/>
        <v>89.890109890109898</v>
      </c>
      <c r="BF153" s="295"/>
      <c r="BG153" s="360"/>
      <c r="BH153" s="361">
        <f t="shared" si="23"/>
        <v>0</v>
      </c>
      <c r="BI153" s="295"/>
      <c r="BJ153" s="96">
        <f>IF(BC153=0,"",('All Data'!Z153-'DCDC Ref'!$J$28*('DCDC Ref'!$J$29/100))/'DCDC Ref'!$J$28*('DCDC Ref'!$J$29/100)*100)</f>
        <v>85.586206896551701</v>
      </c>
      <c r="BK153" s="361">
        <f t="shared" si="24"/>
        <v>85.586206896551701</v>
      </c>
      <c r="BL153" s="361"/>
      <c r="BM153" s="361"/>
      <c r="BN153" s="361"/>
      <c r="BO153" s="361"/>
      <c r="BP153" s="96"/>
      <c r="BQ153" s="298">
        <f t="shared" si="25"/>
        <v>449878.48048503225</v>
      </c>
      <c r="BR153" s="298">
        <f>IF(BQ153="","",RANK(BQ153,BQ$11:BQ$9930,1)+COUNTIF(BQ$11:BQ153,BQ153)-1)</f>
        <v>29</v>
      </c>
      <c r="BS153" s="299">
        <f t="shared" si="21"/>
        <v>29</v>
      </c>
      <c r="BT153" s="96" t="str">
        <f>IFERROR(INDEX($O$11:$O$1013,MATCH(ROWS($BS$11:BS153),$BS$11:$BS$1005,0)),"")</f>
        <v>ETQP5M680YFM</v>
      </c>
      <c r="BU153" s="299" t="str">
        <f t="shared" si="26"/>
        <v>ETQP5M680YFM</v>
      </c>
      <c r="BV153" s="96"/>
    </row>
    <row r="154" spans="1:74" ht="15">
      <c r="A154" s="95"/>
      <c r="B154" s="95" t="s">
        <v>584</v>
      </c>
      <c r="C154" s="144" t="s">
        <v>1021</v>
      </c>
      <c r="D154" s="95" t="s">
        <v>585</v>
      </c>
      <c r="E154" s="231"/>
      <c r="F154" s="95" t="s">
        <v>153</v>
      </c>
      <c r="G154" s="69" t="s">
        <v>586</v>
      </c>
      <c r="H154" s="68" t="s">
        <v>854</v>
      </c>
      <c r="I154" s="69" t="s">
        <v>588</v>
      </c>
      <c r="J154" s="68" t="s">
        <v>589</v>
      </c>
      <c r="K154" s="68" t="s">
        <v>654</v>
      </c>
      <c r="L154" s="95" t="s">
        <v>865</v>
      </c>
      <c r="M154" s="95" t="s">
        <v>1024</v>
      </c>
      <c r="N154" s="68" t="s">
        <v>22</v>
      </c>
      <c r="O154" s="34" t="s">
        <v>1023</v>
      </c>
      <c r="P154" s="37" t="str">
        <f>MID(All_PCC_a[[#This Row],[Part Number]],7,3)</f>
        <v>1R5</v>
      </c>
      <c r="Q154" s="129">
        <v>1.5</v>
      </c>
      <c r="R154" s="130" t="str">
        <f>IF(All_PCC_a[[#This Row],[Lo (uH)]]&lt;1,"&lt;1",IF(All_PCC_a[[#This Row],[Lo (uH)]]&lt;10,"&lt;10",IF(All_PCC_a[[#This Row],[Lo (uH)]]&lt;100,"&lt;100",IF(All_PCC_a[[#This Row],[Lo (uH)]]&lt;2000,"&lt;2000",""))))</f>
        <v>&lt;10</v>
      </c>
      <c r="S154" s="97" t="str">
        <f>IFERROR(VLOOKUP(All_PCC_a[[#This Row],[Lo (uH)]],Utility!$D$5:$E$43,2,1),"-")</f>
        <v>≤   2</v>
      </c>
      <c r="T154" s="250">
        <v>0.2</v>
      </c>
      <c r="U154" s="131">
        <v>8.1</v>
      </c>
      <c r="V154" s="125">
        <v>8.91</v>
      </c>
      <c r="W154" s="137">
        <v>10</v>
      </c>
      <c r="X154" s="130">
        <v>12.6</v>
      </c>
      <c r="Y154" s="129">
        <v>9.3000000000000007</v>
      </c>
      <c r="Z154" s="251">
        <v>18.2</v>
      </c>
      <c r="AA154" s="129">
        <v>12.5</v>
      </c>
      <c r="AB154" s="129">
        <v>7.4</v>
      </c>
      <c r="AC154" s="87">
        <v>7</v>
      </c>
      <c r="AD154" s="129">
        <v>4.8</v>
      </c>
      <c r="AE154" s="68">
        <f>ROUND(All_PCC_a[[#This Row],[L (mm)]]*All_PCC_a[[#This Row],[W (mm)]],1)</f>
        <v>51.8</v>
      </c>
      <c r="AF154" s="87" t="str">
        <f>All_PCC_a[[#This Row],[L (mm)]]&amp;"  x  "&amp;All_PCC_a[[#This Row],[W (mm)]]</f>
        <v>7.4  x  7</v>
      </c>
      <c r="AG154" s="141" t="s">
        <v>661</v>
      </c>
      <c r="AH154" s="87" t="str">
        <f>IF(All_PCC_a[[#This Row],[Max Height (mm)]]&lt;=9,"≤ "&amp;ROUNDUP(AD154,0),"≤"&amp;ROUNDUP(AD154,0))</f>
        <v>≤ 5</v>
      </c>
      <c r="AI154" s="68">
        <v>-40</v>
      </c>
      <c r="AJ154" s="68">
        <v>150</v>
      </c>
      <c r="AK154" s="68" t="str">
        <f>All_PCC_a[[#This Row],[Min Temp (deg.C)]]&amp;" to +"&amp;All_PCC_a[[#This Row],[Max Temp (deg.C)]]</f>
        <v>-40 to +150</v>
      </c>
      <c r="AL154" s="68"/>
      <c r="AM154" s="95"/>
      <c r="AN154" s="95"/>
      <c r="AO154" s="87" t="s">
        <v>138</v>
      </c>
      <c r="AP154" s="130" t="s">
        <v>138</v>
      </c>
      <c r="AQ154" s="87" t="s">
        <v>138</v>
      </c>
      <c r="AR154" s="87" t="s">
        <v>138</v>
      </c>
      <c r="AS154" s="68" t="s">
        <v>1016</v>
      </c>
      <c r="AT154" s="68" t="s">
        <v>657</v>
      </c>
      <c r="AU154" s="96" t="e" vm="12">
        <f>_xlfn.IMAGE(All_PCC_a[[#This Row],[Image URL]])</f>
        <v>#VALUE!</v>
      </c>
      <c r="AV154" s="95"/>
      <c r="AW154" s="95"/>
      <c r="AX154" s="87"/>
      <c r="AY154" s="87"/>
      <c r="AZ154" s="95"/>
      <c r="BA154" s="95"/>
      <c r="BB154" s="95"/>
      <c r="BC154" s="96">
        <f>IF(Z154&lt;('DCDC Ref'!$J$24/'DCDC Ref'!$J$26)*'DCDC Ref'!$J$28/100,0,1)</f>
        <v>1</v>
      </c>
      <c r="BD154" s="360">
        <f>IF(BC154=1000000000,"",('All Data'!Q154-'DCDC Ref'!$J$30)/'DCDC Ref'!$J$30*100)</f>
        <v>137.36263736263737</v>
      </c>
      <c r="BE154" s="295">
        <f t="shared" si="22"/>
        <v>137.36263736263737</v>
      </c>
      <c r="BF154" s="295"/>
      <c r="BG154" s="360"/>
      <c r="BH154" s="361">
        <f t="shared" si="23"/>
        <v>0</v>
      </c>
      <c r="BI154" s="295"/>
      <c r="BJ154" s="96">
        <f>IF(BC154=0,"",('All Data'!Z154-'DCDC Ref'!$J$28*('DCDC Ref'!$J$29/100))/'DCDC Ref'!$J$28*('DCDC Ref'!$J$29/100)*100)</f>
        <v>63.172413793103424</v>
      </c>
      <c r="BK154" s="361">
        <f t="shared" si="24"/>
        <v>63.172413793103424</v>
      </c>
      <c r="BL154" s="361"/>
      <c r="BM154" s="361"/>
      <c r="BN154" s="361"/>
      <c r="BO154" s="361"/>
      <c r="BP154" s="96"/>
      <c r="BQ154" s="298">
        <f t="shared" si="25"/>
        <v>687129.04888215242</v>
      </c>
      <c r="BR154" s="298">
        <f>IF(BQ154="","",RANK(BQ154,BQ$11:BQ$9930,1)+COUNTIF(BQ$11:BQ154,BQ154)-1)</f>
        <v>32</v>
      </c>
      <c r="BS154" s="299">
        <f t="shared" si="21"/>
        <v>32</v>
      </c>
      <c r="BT154" s="96" t="str">
        <f>IFERROR(INDEX($O$11:$O$1013,MATCH(ROWS($BS$11:BS154),$BS$11:$BS$1005,0)),"")</f>
        <v>ETQP4M680KVC</v>
      </c>
      <c r="BU154" s="299" t="str">
        <f t="shared" si="26"/>
        <v>ETQP4M680KVC</v>
      </c>
      <c r="BV154" s="96"/>
    </row>
    <row r="155" spans="1:74" ht="15">
      <c r="A155" s="95"/>
      <c r="B155" s="95" t="s">
        <v>584</v>
      </c>
      <c r="C155" s="144" t="s">
        <v>1021</v>
      </c>
      <c r="D155" s="95" t="s">
        <v>585</v>
      </c>
      <c r="E155" s="231"/>
      <c r="F155" s="95" t="s">
        <v>153</v>
      </c>
      <c r="G155" s="69" t="s">
        <v>586</v>
      </c>
      <c r="H155" s="68" t="s">
        <v>854</v>
      </c>
      <c r="I155" s="69" t="s">
        <v>588</v>
      </c>
      <c r="J155" s="68" t="s">
        <v>589</v>
      </c>
      <c r="K155" s="68" t="s">
        <v>654</v>
      </c>
      <c r="L155" s="95" t="s">
        <v>865</v>
      </c>
      <c r="M155" s="95" t="s">
        <v>1024</v>
      </c>
      <c r="N155" s="68" t="s">
        <v>22</v>
      </c>
      <c r="O155" s="34" t="s">
        <v>1022</v>
      </c>
      <c r="P155" s="37" t="str">
        <f>MID(All_PCC_a[[#This Row],[Part Number]],7,3)</f>
        <v>2R2</v>
      </c>
      <c r="Q155" s="129">
        <v>2.2000000000000002</v>
      </c>
      <c r="R155" s="130" t="str">
        <f>IF(All_PCC_a[[#This Row],[Lo (uH)]]&lt;1,"&lt;1",IF(All_PCC_a[[#This Row],[Lo (uH)]]&lt;10,"&lt;10",IF(All_PCC_a[[#This Row],[Lo (uH)]]&lt;100,"&lt;100",IF(All_PCC_a[[#This Row],[Lo (uH)]]&lt;2000,"&lt;2000",""))))</f>
        <v>&lt;10</v>
      </c>
      <c r="S155" s="97" t="str">
        <f>IFERROR(VLOOKUP(All_PCC_a[[#This Row],[Lo (uH)]],Utility!$D$5:$E$43,2,1),"-")</f>
        <v>≤   3</v>
      </c>
      <c r="T155" s="250">
        <v>0.2</v>
      </c>
      <c r="U155" s="131">
        <v>9.5</v>
      </c>
      <c r="V155" s="125">
        <v>10.45</v>
      </c>
      <c r="W155" s="137">
        <v>10</v>
      </c>
      <c r="X155" s="130">
        <v>11.7</v>
      </c>
      <c r="Y155" s="129">
        <v>8.6</v>
      </c>
      <c r="Z155" s="251">
        <v>16.100000000000001</v>
      </c>
      <c r="AA155" s="129">
        <v>11</v>
      </c>
      <c r="AB155" s="129">
        <v>7.4</v>
      </c>
      <c r="AC155" s="87">
        <v>7</v>
      </c>
      <c r="AD155" s="129">
        <v>4.8</v>
      </c>
      <c r="AE155" s="68">
        <f>ROUND(All_PCC_a[[#This Row],[L (mm)]]*All_PCC_a[[#This Row],[W (mm)]],1)</f>
        <v>51.8</v>
      </c>
      <c r="AF155" s="87" t="str">
        <f>All_PCC_a[[#This Row],[L (mm)]]&amp;"  x  "&amp;All_PCC_a[[#This Row],[W (mm)]]</f>
        <v>7.4  x  7</v>
      </c>
      <c r="AG155" s="141" t="s">
        <v>661</v>
      </c>
      <c r="AH155" s="87" t="str">
        <f>IF(All_PCC_a[[#This Row],[Max Height (mm)]]&lt;=9,"≤ "&amp;ROUNDUP(AD155,0),"≤"&amp;ROUNDUP(AD155,0))</f>
        <v>≤ 5</v>
      </c>
      <c r="AI155" s="68">
        <v>-40</v>
      </c>
      <c r="AJ155" s="68">
        <v>150</v>
      </c>
      <c r="AK155" s="68" t="str">
        <f>All_PCC_a[[#This Row],[Min Temp (deg.C)]]&amp;" to +"&amp;All_PCC_a[[#This Row],[Max Temp (deg.C)]]</f>
        <v>-40 to +150</v>
      </c>
      <c r="AL155" s="68"/>
      <c r="AM155" s="95"/>
      <c r="AN155" s="95"/>
      <c r="AO155" s="87" t="s">
        <v>138</v>
      </c>
      <c r="AP155" s="130" t="s">
        <v>138</v>
      </c>
      <c r="AQ155" s="87" t="s">
        <v>138</v>
      </c>
      <c r="AR155" s="87" t="s">
        <v>138</v>
      </c>
      <c r="AS155" s="68" t="s">
        <v>1016</v>
      </c>
      <c r="AT155" s="68" t="s">
        <v>657</v>
      </c>
      <c r="AU155" s="96" t="e" vm="12">
        <f>_xlfn.IMAGE(All_PCC_a[[#This Row],[Image URL]])</f>
        <v>#VALUE!</v>
      </c>
      <c r="AV155" s="95"/>
      <c r="AW155" s="95"/>
      <c r="AX155" s="87"/>
      <c r="AY155" s="87"/>
      <c r="AZ155" s="95"/>
      <c r="BA155" s="95"/>
      <c r="BB155" s="95"/>
      <c r="BC155" s="96">
        <f>IF(Z155&lt;('DCDC Ref'!$J$24/'DCDC Ref'!$J$26)*'DCDC Ref'!$J$28/100,0,1)</f>
        <v>1</v>
      </c>
      <c r="BD155" s="360">
        <f>IF(BC155=1000000000,"",('All Data'!Q155-'DCDC Ref'!$J$30)/'DCDC Ref'!$J$30*100)</f>
        <v>248.13186813186817</v>
      </c>
      <c r="BE155" s="295">
        <f t="shared" si="22"/>
        <v>248.13186813186817</v>
      </c>
      <c r="BF155" s="295"/>
      <c r="BG155" s="360"/>
      <c r="BH155" s="361">
        <f t="shared" si="23"/>
        <v>0</v>
      </c>
      <c r="BI155" s="295"/>
      <c r="BJ155" s="96">
        <f>IF(BC155=0,"",('All Data'!Z155-'DCDC Ref'!$J$28*('DCDC Ref'!$J$29/100))/'DCDC Ref'!$J$28*('DCDC Ref'!$J$29/100)*100)</f>
        <v>44.34482758620689</v>
      </c>
      <c r="BK155" s="361">
        <f t="shared" si="24"/>
        <v>44.34482758620689</v>
      </c>
      <c r="BL155" s="361"/>
      <c r="BM155" s="361"/>
      <c r="BN155" s="361"/>
      <c r="BO155" s="361"/>
      <c r="BP155" s="96"/>
      <c r="BQ155" s="298">
        <f t="shared" si="25"/>
        <v>1240881.064797272</v>
      </c>
      <c r="BR155" s="298">
        <f>IF(BQ155="","",RANK(BQ155,BQ$11:BQ$9930,1)+COUNTIF(BQ$11:BQ155,BQ155)-1)</f>
        <v>43</v>
      </c>
      <c r="BS155" s="299">
        <f t="shared" si="21"/>
        <v>43</v>
      </c>
      <c r="BT155" s="96" t="str">
        <f>IFERROR(INDEX($O$11:$O$1013,MATCH(ROWS($BS$11:BS155),$BS$11:$BS$1005,0)),"")</f>
        <v>ETQP5M820YGC</v>
      </c>
      <c r="BU155" s="299" t="str">
        <f t="shared" si="26"/>
        <v>ETQP5M820YGC</v>
      </c>
      <c r="BV155" s="96"/>
    </row>
    <row r="156" spans="1:74" ht="15">
      <c r="A156" s="95"/>
      <c r="B156" s="95" t="s">
        <v>584</v>
      </c>
      <c r="C156" s="144" t="s">
        <v>1021</v>
      </c>
      <c r="D156" s="95" t="s">
        <v>585</v>
      </c>
      <c r="E156" s="231"/>
      <c r="F156" s="95" t="s">
        <v>153</v>
      </c>
      <c r="G156" s="69" t="s">
        <v>586</v>
      </c>
      <c r="H156" s="68" t="s">
        <v>854</v>
      </c>
      <c r="I156" s="69" t="s">
        <v>588</v>
      </c>
      <c r="J156" s="68" t="s">
        <v>589</v>
      </c>
      <c r="K156" s="68" t="s">
        <v>601</v>
      </c>
      <c r="L156" s="95" t="s">
        <v>1026</v>
      </c>
      <c r="M156" s="95" t="s">
        <v>623</v>
      </c>
      <c r="N156" s="68" t="s">
        <v>22</v>
      </c>
      <c r="O156" s="34" t="s">
        <v>1025</v>
      </c>
      <c r="P156" s="37" t="str">
        <f>MID(All_PCC_a[[#This Row],[Part Number]],7,3)</f>
        <v>R47</v>
      </c>
      <c r="Q156" s="129">
        <v>0.47</v>
      </c>
      <c r="R156" s="130" t="str">
        <f>IF(All_PCC_a[[#This Row],[Lo (uH)]]&lt;1,"&lt;1",IF(All_PCC_a[[#This Row],[Lo (uH)]]&lt;10,"&lt;10",IF(All_PCC_a[[#This Row],[Lo (uH)]]&lt;100,"&lt;100",IF(All_PCC_a[[#This Row],[Lo (uH)]]&lt;2000,"&lt;2000",""))))</f>
        <v>&lt;1</v>
      </c>
      <c r="S156" s="97" t="str">
        <f>IFERROR(VLOOKUP(All_PCC_a[[#This Row],[Lo (uH)]],Utility!$D$5:$E$43,2,1),"-")</f>
        <v>≤    0.5</v>
      </c>
      <c r="T156" s="250">
        <v>0.2</v>
      </c>
      <c r="U156" s="131">
        <v>2.2000000000000002</v>
      </c>
      <c r="V156" s="125">
        <v>2.42</v>
      </c>
      <c r="W156" s="137">
        <v>10</v>
      </c>
      <c r="X156" s="137">
        <v>22.5</v>
      </c>
      <c r="Y156" s="129">
        <v>19.2</v>
      </c>
      <c r="Z156" s="251">
        <v>37.200000000000003</v>
      </c>
      <c r="AA156" s="129">
        <v>27.4</v>
      </c>
      <c r="AB156" s="129">
        <v>8.4</v>
      </c>
      <c r="AC156" s="87">
        <v>8</v>
      </c>
      <c r="AD156" s="129">
        <v>4</v>
      </c>
      <c r="AE156" s="68">
        <f>ROUND(All_PCC_a[[#This Row],[L (mm)]]*All_PCC_a[[#This Row],[W (mm)]],1)</f>
        <v>67.2</v>
      </c>
      <c r="AF156" s="87" t="str">
        <f>All_PCC_a[[#This Row],[L (mm)]]&amp;"  x  "&amp;All_PCC_a[[#This Row],[W (mm)]]</f>
        <v>8.4  x  8</v>
      </c>
      <c r="AG156" s="141" t="s">
        <v>661</v>
      </c>
      <c r="AH156" s="87" t="str">
        <f>IF(All_PCC_a[[#This Row],[Max Height (mm)]]&lt;=9,"≤ "&amp;ROUNDUP(AD156,0),"≤"&amp;ROUNDUP(AD156,0))</f>
        <v>≤ 4</v>
      </c>
      <c r="AI156" s="68">
        <v>-55</v>
      </c>
      <c r="AJ156" s="68">
        <v>155</v>
      </c>
      <c r="AK156" s="68" t="str">
        <f>All_PCC_a[[#This Row],[Min Temp (deg.C)]]&amp;" to +"&amp;All_PCC_a[[#This Row],[Max Temp (deg.C)]]</f>
        <v>-55 to +155</v>
      </c>
      <c r="AL156" s="68"/>
      <c r="AM156" s="95"/>
      <c r="AN156" s="95"/>
      <c r="AO156" s="87" t="s">
        <v>138</v>
      </c>
      <c r="AP156" s="97" t="str">
        <f t="shared" ref="AP156:AP160" si="27">IFERROR(IF(L1Round&gt;1,ROUND(L1Round,1),L1Round),"-")</f>
        <v>-</v>
      </c>
      <c r="AQ156" s="87" t="s">
        <v>138</v>
      </c>
      <c r="AR156" s="87" t="s">
        <v>138</v>
      </c>
      <c r="AS156" s="68" t="s">
        <v>984</v>
      </c>
      <c r="AT156" s="95" t="s">
        <v>606</v>
      </c>
      <c r="AU156" s="96" t="e" vm="9">
        <f>_xlfn.IMAGE(All_PCC_a[[#This Row],[Image URL]])</f>
        <v>#VALUE!</v>
      </c>
      <c r="AV156" s="95"/>
      <c r="AW156" s="95"/>
      <c r="AX156" s="87"/>
      <c r="AY156" s="87"/>
      <c r="AZ156" s="95"/>
      <c r="BA156" s="95"/>
      <c r="BB156" s="95"/>
      <c r="BC156" s="96">
        <f>IF(Z156&lt;('DCDC Ref'!$J$24/'DCDC Ref'!$J$26)*'DCDC Ref'!$J$28/100,0,1)</f>
        <v>1</v>
      </c>
      <c r="BD156" s="360">
        <f>IF(BC156=1000000000,"",('All Data'!Q156-'DCDC Ref'!$J$30)/'DCDC Ref'!$J$30*100)</f>
        <v>-25.626373626373628</v>
      </c>
      <c r="BE156" s="295">
        <f t="shared" si="22"/>
        <v>25.626373626373628</v>
      </c>
      <c r="BF156" s="295"/>
      <c r="BG156" s="360"/>
      <c r="BH156" s="361">
        <f t="shared" si="23"/>
        <v>0</v>
      </c>
      <c r="BI156" s="295"/>
      <c r="BJ156" s="96">
        <f>IF(BC156=0,"",('All Data'!Z156-'DCDC Ref'!$J$28*('DCDC Ref'!$J$29/100))/'DCDC Ref'!$J$28*('DCDC Ref'!$J$29/100)*100)</f>
        <v>233.51724137931035</v>
      </c>
      <c r="BK156" s="361">
        <f t="shared" si="24"/>
        <v>233.51724137931035</v>
      </c>
      <c r="BL156" s="361"/>
      <c r="BM156" s="361"/>
      <c r="BN156" s="361"/>
      <c r="BO156" s="361"/>
      <c r="BP156" s="96"/>
      <c r="BQ156" s="298">
        <f t="shared" si="25"/>
        <v>129299.45433876468</v>
      </c>
      <c r="BR156" s="298">
        <f>IF(BQ156="","",RANK(BQ156,BQ$11:BQ$9930,1)+COUNTIF(BQ$11:BQ156,BQ156)-1)</f>
        <v>12</v>
      </c>
      <c r="BS156" s="299">
        <f t="shared" si="21"/>
        <v>12</v>
      </c>
      <c r="BT156" s="96" t="str">
        <f>IFERROR(INDEX($O$11:$O$1013,MATCH(ROWS($BS$11:BS156),$BS$11:$BS$1005,0)),"")</f>
        <v>ETQP5M101YGM</v>
      </c>
      <c r="BU156" s="299" t="str">
        <f t="shared" si="26"/>
        <v>ETQP5M101YGM</v>
      </c>
      <c r="BV156" s="96"/>
    </row>
    <row r="157" spans="1:74" ht="15">
      <c r="A157" s="95"/>
      <c r="B157" s="95" t="s">
        <v>584</v>
      </c>
      <c r="C157" s="144" t="s">
        <v>1071</v>
      </c>
      <c r="D157" s="95" t="s">
        <v>585</v>
      </c>
      <c r="E157" s="231"/>
      <c r="F157" s="95" t="s">
        <v>153</v>
      </c>
      <c r="G157" s="69" t="s">
        <v>586</v>
      </c>
      <c r="H157" s="68" t="s">
        <v>854</v>
      </c>
      <c r="I157" s="69" t="s">
        <v>588</v>
      </c>
      <c r="J157" s="68" t="s">
        <v>589</v>
      </c>
      <c r="K157" s="68" t="s">
        <v>601</v>
      </c>
      <c r="L157" s="95" t="s">
        <v>1074</v>
      </c>
      <c r="M157" s="95" t="s">
        <v>656</v>
      </c>
      <c r="N157" s="68" t="s">
        <v>22</v>
      </c>
      <c r="O157" s="34" t="s">
        <v>1073</v>
      </c>
      <c r="P157" s="37" t="str">
        <f>MID(All_PCC_a[[#This Row],[Part Number]],7,3)</f>
        <v>470</v>
      </c>
      <c r="Q157" s="129">
        <v>47</v>
      </c>
      <c r="R157" s="130" t="str">
        <f>IF(All_PCC_a[[#This Row],[Lo (uH)]]&lt;1,"&lt;1",IF(All_PCC_a[[#This Row],[Lo (uH)]]&lt;10,"&lt;10",IF(All_PCC_a[[#This Row],[Lo (uH)]]&lt;100,"&lt;100",IF(All_PCC_a[[#This Row],[Lo (uH)]]&lt;2000,"&lt;2000",""))))</f>
        <v>&lt;100</v>
      </c>
      <c r="S157" s="97" t="str">
        <f>IFERROR(VLOOKUP(All_PCC_a[[#This Row],[Lo (uH)]],Utility!$D$5:$E$43,2,1),"-")</f>
        <v>≤  50</v>
      </c>
      <c r="T157" s="250">
        <v>0.2</v>
      </c>
      <c r="U157" s="131">
        <v>190</v>
      </c>
      <c r="V157" s="125">
        <v>209</v>
      </c>
      <c r="W157" s="137">
        <v>10</v>
      </c>
      <c r="X157" s="137">
        <v>2.4</v>
      </c>
      <c r="Y157" s="130">
        <v>1.9</v>
      </c>
      <c r="Z157" s="251">
        <v>3.3</v>
      </c>
      <c r="AA157" s="129">
        <v>2.4</v>
      </c>
      <c r="AB157" s="129">
        <v>6.4</v>
      </c>
      <c r="AC157" s="87">
        <v>6</v>
      </c>
      <c r="AD157" s="129">
        <v>4.8</v>
      </c>
      <c r="AE157" s="68">
        <f>ROUND(All_PCC_a[[#This Row],[L (mm)]]*All_PCC_a[[#This Row],[W (mm)]],1)</f>
        <v>38.4</v>
      </c>
      <c r="AF157" s="87" t="str">
        <f>All_PCC_a[[#This Row],[L (mm)]]&amp;"  x  "&amp;All_PCC_a[[#This Row],[W (mm)]]</f>
        <v>6.4  x  6</v>
      </c>
      <c r="AG157" s="141" t="s">
        <v>661</v>
      </c>
      <c r="AH157" s="87" t="str">
        <f>IF(All_PCC_a[[#This Row],[Max Height (mm)]]&lt;=9,"≤ "&amp;ROUNDUP(AD157,0),"≤"&amp;ROUNDUP(AD157,0))</f>
        <v>≤ 5</v>
      </c>
      <c r="AI157" s="68">
        <v>-55</v>
      </c>
      <c r="AJ157" s="68">
        <v>150</v>
      </c>
      <c r="AK157" s="68" t="str">
        <f>All_PCC_a[[#This Row],[Min Temp (deg.C)]]&amp;" to +"&amp;All_PCC_a[[#This Row],[Max Temp (deg.C)]]</f>
        <v>-55 to +150</v>
      </c>
      <c r="AL157" s="68"/>
      <c r="AM157" s="95"/>
      <c r="AN157" s="95"/>
      <c r="AO157" s="87" t="s">
        <v>138</v>
      </c>
      <c r="AP157" s="97" t="str">
        <f t="shared" si="27"/>
        <v>-</v>
      </c>
      <c r="AQ157" s="87" t="s">
        <v>138</v>
      </c>
      <c r="AR157" s="87" t="s">
        <v>138</v>
      </c>
      <c r="AS157" s="68" t="s">
        <v>1076</v>
      </c>
      <c r="AT157" s="95"/>
      <c r="AU157" s="95" t="e" vm="15">
        <f>_xlfn.IMAGE(All_PCC_a[[#This Row],[Image URL]])</f>
        <v>#VALUE!</v>
      </c>
      <c r="AV157" s="95"/>
      <c r="AW157" s="95"/>
      <c r="AX157" s="87"/>
      <c r="AY157" s="87"/>
      <c r="AZ157" s="95"/>
      <c r="BA157" s="95"/>
      <c r="BB157" s="95"/>
      <c r="BC157" s="96">
        <f>IF(Z157&lt;('DCDC Ref'!$J$24/'DCDC Ref'!$J$26)*'DCDC Ref'!$J$28/100,0,1)</f>
        <v>1</v>
      </c>
      <c r="BD157" s="360">
        <f>IF(BC157=1000000000,"",('All Data'!Q157-'DCDC Ref'!$J$30)/'DCDC Ref'!$J$30*100)</f>
        <v>7337.3626373626375</v>
      </c>
      <c r="BE157" s="295">
        <f t="shared" ref="BE157" si="28">ABS(BD157)</f>
        <v>7337.3626373626375</v>
      </c>
      <c r="BF157" s="295"/>
      <c r="BG157" s="360"/>
      <c r="BH157" s="361">
        <f t="shared" ref="BH157" si="29">IF(BG157&lt;0,10000,BG157)</f>
        <v>0</v>
      </c>
      <c r="BI157" s="295"/>
      <c r="BJ157" s="96">
        <f>IF(BC157=0,"",('All Data'!Z157-'DCDC Ref'!$J$28*('DCDC Ref'!$J$29/100))/'DCDC Ref'!$J$28*('DCDC Ref'!$J$29/100)*100)</f>
        <v>-70.413793103448285</v>
      </c>
      <c r="BK157" s="361">
        <f t="shared" ref="BK157" si="30">IF(BJ157&lt;0,10000,BJ157)</f>
        <v>10000</v>
      </c>
      <c r="BL157" s="361"/>
      <c r="BM157" s="361"/>
      <c r="BN157" s="361"/>
      <c r="BO157" s="361"/>
      <c r="BP157" s="96"/>
      <c r="BQ157" s="298">
        <f t="shared" ref="BQ157" si="31">IFERROR(BE157*$BP$6+BK157*$BP$7,"")</f>
        <v>36736813.186813191</v>
      </c>
      <c r="BR157" s="298">
        <f>IF(BQ157="","",RANK(BQ157,BQ$11:BQ$9930,1)+COUNTIF(BQ$11:BQ157,BQ157)-1)</f>
        <v>139</v>
      </c>
      <c r="BS157" s="299">
        <f t="shared" si="21"/>
        <v>139</v>
      </c>
      <c r="BT157" s="96" t="str">
        <f>IFERROR(INDEX($O$11:$O$1013,MATCH(ROWS($BS$11:BS157),$BS$11:$BS$1005,0)),"")</f>
        <v>ETQP5M101YGC</v>
      </c>
      <c r="BU157" s="299" t="str">
        <f t="shared" ref="BU157" si="32">IF(BT157&lt;&gt;"",BT157,"")</f>
        <v>ETQP5M101YGC</v>
      </c>
      <c r="BV157" s="96"/>
    </row>
    <row r="158" spans="1:74">
      <c r="A158" s="95"/>
      <c r="B158" s="95" t="s">
        <v>584</v>
      </c>
      <c r="C158" s="286" t="s">
        <v>1090</v>
      </c>
      <c r="D158" s="95" t="s">
        <v>585</v>
      </c>
      <c r="E158" s="231"/>
      <c r="F158" s="95" t="s">
        <v>153</v>
      </c>
      <c r="G158" s="69" t="s">
        <v>586</v>
      </c>
      <c r="H158" s="68" t="s">
        <v>854</v>
      </c>
      <c r="I158" s="69" t="s">
        <v>588</v>
      </c>
      <c r="J158" s="68" t="s">
        <v>589</v>
      </c>
      <c r="K158" s="68" t="s">
        <v>590</v>
      </c>
      <c r="L158" s="95" t="s">
        <v>676</v>
      </c>
      <c r="M158" s="95" t="s">
        <v>652</v>
      </c>
      <c r="N158" s="68" t="s">
        <v>22</v>
      </c>
      <c r="O158" s="34" t="s">
        <v>1078</v>
      </c>
      <c r="P158" s="37" t="str">
        <f>MID(All_PCC_a[[#This Row],[Part Number]],7,3)</f>
        <v>6R8</v>
      </c>
      <c r="Q158" s="129">
        <v>6.8</v>
      </c>
      <c r="R158" s="130" t="str">
        <f>IF(All_PCC_a[[#This Row],[Lo (uH)]]&lt;1,"&lt;1",IF(All_PCC_a[[#This Row],[Lo (uH)]]&lt;10,"&lt;10",IF(All_PCC_a[[#This Row],[Lo (uH)]]&lt;100,"&lt;100",IF(All_PCC_a[[#This Row],[Lo (uH)]]&lt;2000,"&lt;2000",""))))</f>
        <v>&lt;10</v>
      </c>
      <c r="S158" s="97" t="str">
        <f>IFERROR(VLOOKUP(All_PCC_a[[#This Row],[Lo (uH)]],Utility!$D$5:$E$43,2,1),"-")</f>
        <v>≤   7</v>
      </c>
      <c r="T158" s="250">
        <v>0.2</v>
      </c>
      <c r="U158" s="131">
        <v>18</v>
      </c>
      <c r="V158" s="125">
        <v>19.8</v>
      </c>
      <c r="W158" s="137">
        <v>10</v>
      </c>
      <c r="X158" s="130">
        <v>9.1</v>
      </c>
      <c r="Y158" s="129">
        <v>7.7</v>
      </c>
      <c r="Z158" s="251">
        <v>12.8</v>
      </c>
      <c r="AA158" s="129">
        <v>9.4</v>
      </c>
      <c r="AB158" s="129">
        <v>8.5</v>
      </c>
      <c r="AC158" s="87">
        <v>8</v>
      </c>
      <c r="AD158" s="129">
        <v>5.4</v>
      </c>
      <c r="AE158" s="68">
        <f>ROUND(All_PCC_a[[#This Row],[L (mm)]]*All_PCC_a[[#This Row],[W (mm)]],1)</f>
        <v>68</v>
      </c>
      <c r="AF158" s="87" t="str">
        <f>All_PCC_a[[#This Row],[L (mm)]]&amp;"  x  "&amp;All_PCC_a[[#This Row],[W (mm)]]</f>
        <v>8.5  x  8</v>
      </c>
      <c r="AG158" s="141" t="s">
        <v>358</v>
      </c>
      <c r="AH158" s="87" t="str">
        <f>IF(All_PCC_a[[#This Row],[Max Height (mm)]]&lt;=9,"≤ "&amp;ROUNDUP(AD158,0),"≤"&amp;ROUNDUP(AD158,0))</f>
        <v>≤ 6</v>
      </c>
      <c r="AI158" s="68">
        <v>-40</v>
      </c>
      <c r="AJ158" s="68">
        <v>150</v>
      </c>
      <c r="AK158" s="68" t="str">
        <f>All_PCC_a[[#This Row],[Min Temp (deg.C)]]&amp;" to +"&amp;All_PCC_a[[#This Row],[Max Temp (deg.C)]]</f>
        <v>-40 to +150</v>
      </c>
      <c r="AL158" s="68"/>
      <c r="AM158" s="95"/>
      <c r="AN158" s="95"/>
      <c r="AO158" s="87" t="s">
        <v>138</v>
      </c>
      <c r="AP158" s="97" t="str">
        <f t="shared" si="27"/>
        <v>-</v>
      </c>
      <c r="AQ158" s="87" t="s">
        <v>138</v>
      </c>
      <c r="AR158" s="87" t="s">
        <v>138</v>
      </c>
      <c r="AS158" s="68" t="s">
        <v>1084</v>
      </c>
      <c r="AT158" s="95"/>
      <c r="AU158" s="95" t="e" vm="15">
        <f>_xlfn.IMAGE(All_PCC_a[[#This Row],[Image URL]])</f>
        <v>#VALUE!</v>
      </c>
      <c r="AV158" s="95"/>
      <c r="AW158" s="95"/>
      <c r="AX158" s="87"/>
      <c r="AY158" s="87"/>
      <c r="AZ158" s="95"/>
      <c r="BA158" s="95"/>
      <c r="BB158" s="95"/>
      <c r="BC158" s="96">
        <f>IF(Z158&lt;('DCDC Ref'!$J$24/'DCDC Ref'!$J$26)*'DCDC Ref'!$J$28/100,0,1)</f>
        <v>1</v>
      </c>
      <c r="BD158" s="360">
        <f>IF(BC158=1000000000,"",('All Data'!Q158-'DCDC Ref'!$J$30)/'DCDC Ref'!$J$30*100)</f>
        <v>976.04395604395597</v>
      </c>
      <c r="BE158" s="295">
        <f t="shared" ref="BE158:BE160" si="33">ABS(BD158)</f>
        <v>976.04395604395597</v>
      </c>
      <c r="BF158" s="295"/>
      <c r="BG158" s="360"/>
      <c r="BH158" s="361">
        <f t="shared" ref="BH158:BH160" si="34">IF(BG158&lt;0,10000,BG158)</f>
        <v>0</v>
      </c>
      <c r="BI158" s="295"/>
      <c r="BJ158" s="96">
        <f>IF(BC158=0,"",('All Data'!Z158-'DCDC Ref'!$J$28*('DCDC Ref'!$J$29/100))/'DCDC Ref'!$J$28*('DCDC Ref'!$J$29/100)*100)</f>
        <v>14.758620689655167</v>
      </c>
      <c r="BK158" s="361">
        <f t="shared" ref="BK158:BK160" si="35">IF(BJ158&lt;0,10000,BJ158)</f>
        <v>14.758620689655167</v>
      </c>
      <c r="BL158" s="361"/>
      <c r="BM158" s="361"/>
      <c r="BN158" s="361"/>
      <c r="BO158" s="361"/>
      <c r="BP158" s="96"/>
      <c r="BQ158" s="298">
        <f t="shared" ref="BQ158:BQ160" si="36">IFERROR(BE158*$BP$6+BK158*$BP$7,"")</f>
        <v>4880293.5733232284</v>
      </c>
      <c r="BR158" s="298">
        <f>IF(BQ158="","",RANK(BQ158,BQ$11:BQ$9930,1)+COUNTIF(BQ$11:BQ158,BQ158)-1)</f>
        <v>86</v>
      </c>
      <c r="BS158" s="299">
        <f t="shared" ref="BS158:BS160" si="37">RANK(BR158,BR$11:BR$9930,1)</f>
        <v>86</v>
      </c>
      <c r="BT158" s="96" t="str">
        <f>IFERROR(INDEX($O$11:$O$1013,MATCH(ROWS($BS$11:BS158),$BS$11:$BS$1005,0)),"")</f>
        <v>ETQP5M101YGK</v>
      </c>
      <c r="BU158" s="299" t="str">
        <f t="shared" ref="BU158:BU160" si="38">IF(BT158&lt;&gt;"",BT158,"")</f>
        <v>ETQP5M101YGK</v>
      </c>
      <c r="BV158" s="96"/>
    </row>
    <row r="159" spans="1:74">
      <c r="A159" s="95"/>
      <c r="B159" s="95" t="s">
        <v>584</v>
      </c>
      <c r="C159" s="286" t="s">
        <v>1090</v>
      </c>
      <c r="D159" s="95" t="s">
        <v>585</v>
      </c>
      <c r="E159" s="231"/>
      <c r="F159" s="95" t="s">
        <v>153</v>
      </c>
      <c r="G159" s="69" t="s">
        <v>586</v>
      </c>
      <c r="H159" s="68" t="s">
        <v>854</v>
      </c>
      <c r="I159" s="69" t="s">
        <v>588</v>
      </c>
      <c r="J159" s="68" t="s">
        <v>589</v>
      </c>
      <c r="K159" s="68" t="s">
        <v>1082</v>
      </c>
      <c r="L159" s="95" t="s">
        <v>611</v>
      </c>
      <c r="M159" s="95" t="s">
        <v>612</v>
      </c>
      <c r="N159" s="68" t="s">
        <v>22</v>
      </c>
      <c r="O159" s="34" t="s">
        <v>1079</v>
      </c>
      <c r="P159" s="37" t="str">
        <f>MID(All_PCC_a[[#This Row],[Part Number]],7,3)</f>
        <v>R33</v>
      </c>
      <c r="Q159" s="129">
        <v>0.33</v>
      </c>
      <c r="R159" s="130" t="str">
        <f>IF(All_PCC_a[[#This Row],[Lo (uH)]]&lt;1,"&lt;1",IF(All_PCC_a[[#This Row],[Lo (uH)]]&lt;10,"&lt;10",IF(All_PCC_a[[#This Row],[Lo (uH)]]&lt;100,"&lt;100",IF(All_PCC_a[[#This Row],[Lo (uH)]]&lt;2000,"&lt;2000",""))))</f>
        <v>&lt;1</v>
      </c>
      <c r="S159" s="97" t="str">
        <f>IFERROR(VLOOKUP(All_PCC_a[[#This Row],[Lo (uH)]],Utility!$D$5:$E$43,2,1),"-")</f>
        <v>≤    0.4</v>
      </c>
      <c r="T159" s="250">
        <v>0.2</v>
      </c>
      <c r="U159" s="131">
        <v>1.08</v>
      </c>
      <c r="V159" s="125">
        <v>1.19</v>
      </c>
      <c r="W159" s="137">
        <v>10</v>
      </c>
      <c r="X159" s="130">
        <v>37.1</v>
      </c>
      <c r="Y159" s="129">
        <v>30.4</v>
      </c>
      <c r="Z159" s="251">
        <v>45.9</v>
      </c>
      <c r="AA159" s="129">
        <v>33.4</v>
      </c>
      <c r="AB159" s="129">
        <v>10.9</v>
      </c>
      <c r="AC159" s="87">
        <v>10</v>
      </c>
      <c r="AD159" s="129">
        <v>4</v>
      </c>
      <c r="AE159" s="68">
        <f>ROUND(All_PCC_a[[#This Row],[L (mm)]]*All_PCC_a[[#This Row],[W (mm)]],1)</f>
        <v>109</v>
      </c>
      <c r="AF159" s="87" t="str">
        <f>All_PCC_a[[#This Row],[L (mm)]]&amp;"  x  "&amp;All_PCC_a[[#This Row],[W (mm)]]</f>
        <v>10.9  x  10</v>
      </c>
      <c r="AG159" s="141" t="s">
        <v>324</v>
      </c>
      <c r="AH159" s="87" t="str">
        <f>IF(All_PCC_a[[#This Row],[Max Height (mm)]]&lt;=9,"≤ "&amp;ROUNDUP(AD159,0),"≤"&amp;ROUNDUP(AD159,0))</f>
        <v>≤ 4</v>
      </c>
      <c r="AI159" s="68">
        <v>-40</v>
      </c>
      <c r="AJ159" s="68">
        <v>150</v>
      </c>
      <c r="AK159" s="68" t="str">
        <f>All_PCC_a[[#This Row],[Min Temp (deg.C)]]&amp;" to +"&amp;All_PCC_a[[#This Row],[Max Temp (deg.C)]]</f>
        <v>-40 to +150</v>
      </c>
      <c r="AL159" s="68"/>
      <c r="AM159" s="95"/>
      <c r="AN159" s="95"/>
      <c r="AO159" s="87" t="s">
        <v>138</v>
      </c>
      <c r="AP159" s="97" t="str">
        <f t="shared" si="27"/>
        <v>-</v>
      </c>
      <c r="AQ159" s="87" t="s">
        <v>138</v>
      </c>
      <c r="AR159" s="87" t="s">
        <v>138</v>
      </c>
      <c r="AS159" s="68" t="s">
        <v>1086</v>
      </c>
      <c r="AT159" s="95"/>
      <c r="AU159" s="95" t="e" vm="15">
        <f>_xlfn.IMAGE(All_PCC_a[[#This Row],[Image URL]])</f>
        <v>#VALUE!</v>
      </c>
      <c r="AV159" s="95"/>
      <c r="AW159" s="95"/>
      <c r="AX159" s="87"/>
      <c r="AY159" s="87"/>
      <c r="AZ159" s="95"/>
      <c r="BA159" s="95"/>
      <c r="BB159" s="95"/>
      <c r="BC159" s="96">
        <f>IF(Z159&lt;('DCDC Ref'!$J$24/'DCDC Ref'!$J$26)*'DCDC Ref'!$J$28/100,0,1)</f>
        <v>1</v>
      </c>
      <c r="BD159" s="360">
        <f>IF(BC159=1000000000,"",('All Data'!Q159-'DCDC Ref'!$J$30)/'DCDC Ref'!$J$30*100)</f>
        <v>-47.780219780219774</v>
      </c>
      <c r="BE159" s="295">
        <f t="shared" si="33"/>
        <v>47.780219780219774</v>
      </c>
      <c r="BF159" s="295"/>
      <c r="BG159" s="360"/>
      <c r="BH159" s="361">
        <f t="shared" si="34"/>
        <v>0</v>
      </c>
      <c r="BI159" s="295"/>
      <c r="BJ159" s="96">
        <f>IF(BC159=0,"",('All Data'!Z159-'DCDC Ref'!$J$28*('DCDC Ref'!$J$29/100))/'DCDC Ref'!$J$28*('DCDC Ref'!$J$29/100)*100)</f>
        <v>311.51724137931029</v>
      </c>
      <c r="BK159" s="361">
        <f t="shared" si="35"/>
        <v>311.51724137931029</v>
      </c>
      <c r="BL159" s="361"/>
      <c r="BM159" s="361"/>
      <c r="BN159" s="361"/>
      <c r="BO159" s="361"/>
      <c r="BP159" s="96"/>
      <c r="BQ159" s="298">
        <f t="shared" si="36"/>
        <v>240458.68510799541</v>
      </c>
      <c r="BR159" s="298">
        <f>IF(BQ159="","",RANK(BQ159,BQ$11:BQ$9930,1)+COUNTIF(BQ$11:BQ159,BQ159)-1)</f>
        <v>15</v>
      </c>
      <c r="BS159" s="299">
        <f t="shared" si="37"/>
        <v>15</v>
      </c>
      <c r="BT159" s="96" t="str">
        <f>IFERROR(INDEX($O$11:$O$1013,MATCH(ROWS($BS$11:BS159),$BS$11:$BS$1005,0)),"")</f>
        <v>ETQP4M101KVC</v>
      </c>
      <c r="BU159" s="299" t="str">
        <f t="shared" si="38"/>
        <v>ETQP4M101KVC</v>
      </c>
      <c r="BV159" s="96"/>
    </row>
    <row r="160" spans="1:74">
      <c r="A160" s="95"/>
      <c r="B160" s="95" t="s">
        <v>584</v>
      </c>
      <c r="C160" s="286" t="s">
        <v>1090</v>
      </c>
      <c r="D160" s="95" t="s">
        <v>585</v>
      </c>
      <c r="E160" s="231"/>
      <c r="F160" s="95" t="s">
        <v>153</v>
      </c>
      <c r="G160" s="69" t="s">
        <v>586</v>
      </c>
      <c r="H160" s="68" t="s">
        <v>854</v>
      </c>
      <c r="I160" s="69" t="s">
        <v>588</v>
      </c>
      <c r="J160" s="68" t="s">
        <v>589</v>
      </c>
      <c r="K160" s="68" t="s">
        <v>1082</v>
      </c>
      <c r="L160" s="95" t="s">
        <v>1081</v>
      </c>
      <c r="M160" s="95" t="s">
        <v>634</v>
      </c>
      <c r="N160" s="68" t="s">
        <v>22</v>
      </c>
      <c r="O160" s="34" t="s">
        <v>1080</v>
      </c>
      <c r="P160" s="37" t="str">
        <f>MID(All_PCC_a[[#This Row],[Part Number]],7,3)</f>
        <v>100</v>
      </c>
      <c r="Q160" s="129">
        <v>10</v>
      </c>
      <c r="R160" s="130" t="str">
        <f>IF(All_PCC_a[[#This Row],[Lo (uH)]]&lt;1,"&lt;1",IF(All_PCC_a[[#This Row],[Lo (uH)]]&lt;10,"&lt;10",IF(All_PCC_a[[#This Row],[Lo (uH)]]&lt;100,"&lt;100",IF(All_PCC_a[[#This Row],[Lo (uH)]]&lt;2000,"&lt;2000",""))))</f>
        <v>&lt;100</v>
      </c>
      <c r="S160" s="97" t="str">
        <f>IFERROR(VLOOKUP(All_PCC_a[[#This Row],[Lo (uH)]],Utility!$D$5:$E$43,2,1),"-")</f>
        <v>≤  10</v>
      </c>
      <c r="T160" s="250">
        <v>0.2</v>
      </c>
      <c r="U160" s="131">
        <v>19</v>
      </c>
      <c r="V160" s="125">
        <v>20.9</v>
      </c>
      <c r="W160" s="137">
        <v>10</v>
      </c>
      <c r="X160" s="130">
        <v>9.6</v>
      </c>
      <c r="Y160" s="129">
        <v>8</v>
      </c>
      <c r="Z160" s="251">
        <v>14</v>
      </c>
      <c r="AA160" s="129">
        <v>10.1</v>
      </c>
      <c r="AB160" s="129">
        <v>10.9</v>
      </c>
      <c r="AC160" s="87">
        <v>10</v>
      </c>
      <c r="AD160" s="129">
        <v>6</v>
      </c>
      <c r="AE160" s="68">
        <f>ROUND(All_PCC_a[[#This Row],[L (mm)]]*All_PCC_a[[#This Row],[W (mm)]],1)</f>
        <v>109</v>
      </c>
      <c r="AF160" s="87" t="str">
        <f>All_PCC_a[[#This Row],[L (mm)]]&amp;"  x  "&amp;All_PCC_a[[#This Row],[W (mm)]]</f>
        <v>10.9  x  10</v>
      </c>
      <c r="AG160" s="141" t="s">
        <v>324</v>
      </c>
      <c r="AH160" s="87" t="str">
        <f>IF(All_PCC_a[[#This Row],[Max Height (mm)]]&lt;=9,"≤ "&amp;ROUNDUP(AD160,0),"≤"&amp;ROUNDUP(AD160,0))</f>
        <v>≤ 6</v>
      </c>
      <c r="AI160" s="68">
        <v>-40</v>
      </c>
      <c r="AJ160" s="68">
        <v>150</v>
      </c>
      <c r="AK160" s="68" t="str">
        <f>All_PCC_a[[#This Row],[Min Temp (deg.C)]]&amp;" to +"&amp;All_PCC_a[[#This Row],[Max Temp (deg.C)]]</f>
        <v>-40 to +150</v>
      </c>
      <c r="AL160" s="68"/>
      <c r="AM160" s="95"/>
      <c r="AN160" s="95"/>
      <c r="AO160" s="87" t="s">
        <v>138</v>
      </c>
      <c r="AP160" s="97" t="str">
        <f t="shared" si="27"/>
        <v>-</v>
      </c>
      <c r="AQ160" s="87" t="s">
        <v>138</v>
      </c>
      <c r="AR160" s="87" t="s">
        <v>138</v>
      </c>
      <c r="AS160" s="68" t="s">
        <v>1088</v>
      </c>
      <c r="AT160" s="95"/>
      <c r="AU160" s="95" t="e" vm="15">
        <f>_xlfn.IMAGE(All_PCC_a[[#This Row],[Image URL]])</f>
        <v>#VALUE!</v>
      </c>
      <c r="AV160" s="95"/>
      <c r="AW160" s="95"/>
      <c r="AX160" s="87"/>
      <c r="AY160" s="87"/>
      <c r="AZ160" s="95"/>
      <c r="BA160" s="95"/>
      <c r="BB160" s="95"/>
      <c r="BC160" s="96">
        <f>IF(Z160&lt;('DCDC Ref'!$J$24/'DCDC Ref'!$J$26)*'DCDC Ref'!$J$28/100,0,1)</f>
        <v>1</v>
      </c>
      <c r="BD160" s="360">
        <f>IF(BC160=1000000000,"",('All Data'!Q160-'DCDC Ref'!$J$30)/'DCDC Ref'!$J$30*100)</f>
        <v>1482.4175824175825</v>
      </c>
      <c r="BE160" s="295">
        <f t="shared" si="33"/>
        <v>1482.4175824175825</v>
      </c>
      <c r="BF160" s="295"/>
      <c r="BG160" s="360"/>
      <c r="BH160" s="361">
        <f t="shared" si="34"/>
        <v>0</v>
      </c>
      <c r="BI160" s="295"/>
      <c r="BJ160" s="96">
        <f>IF(BC160=0,"",('All Data'!Z160-'DCDC Ref'!$J$28*('DCDC Ref'!$J$29/100))/'DCDC Ref'!$J$28*('DCDC Ref'!$J$29/100)*100)</f>
        <v>25.517241379310327</v>
      </c>
      <c r="BK160" s="361">
        <f t="shared" si="35"/>
        <v>25.517241379310327</v>
      </c>
      <c r="BL160" s="361"/>
      <c r="BM160" s="361"/>
      <c r="BN160" s="361"/>
      <c r="BO160" s="361"/>
      <c r="BP160" s="96"/>
      <c r="BQ160" s="298">
        <f t="shared" si="36"/>
        <v>7412215.4982948089</v>
      </c>
      <c r="BR160" s="298">
        <f>IF(BQ160="","",RANK(BQ160,BQ$11:BQ$9930,1)+COUNTIF(BQ$11:BQ160,BQ160)-1)</f>
        <v>93</v>
      </c>
      <c r="BS160" s="299">
        <f t="shared" si="37"/>
        <v>93</v>
      </c>
      <c r="BT160" s="96" t="str">
        <f>IFERROR(INDEX($O$11:$O$1013,MATCH(ROWS($BS$11:BS160),$BS$11:$BS$1005,0)),"")</f>
        <v/>
      </c>
      <c r="BU160" s="299" t="str">
        <f t="shared" si="38"/>
        <v/>
      </c>
      <c r="BV160" s="96"/>
    </row>
    <row r="161" spans="1:69">
      <c r="A161" s="95"/>
      <c r="B161" s="95"/>
      <c r="C161" s="95"/>
      <c r="D161" s="95"/>
      <c r="E161" s="231"/>
      <c r="F161" s="95"/>
      <c r="G161" s="231"/>
      <c r="H161" s="95"/>
      <c r="I161" s="231"/>
      <c r="J161" s="95"/>
      <c r="K161" s="95"/>
      <c r="L161" s="95"/>
      <c r="M161" s="95"/>
      <c r="N161" s="95"/>
      <c r="O161" s="34"/>
      <c r="P161" s="37"/>
      <c r="Q161" s="129"/>
      <c r="R161" s="130"/>
      <c r="S161" s="97"/>
      <c r="T161" s="250"/>
      <c r="U161" s="131"/>
      <c r="V161" s="125"/>
      <c r="W161" s="87"/>
      <c r="X161" s="130"/>
      <c r="Y161" s="129"/>
      <c r="Z161" s="251"/>
      <c r="AA161" s="129"/>
      <c r="AC161" s="95"/>
      <c r="AD161" s="129"/>
      <c r="AG161" s="91"/>
      <c r="AJ161" s="129"/>
      <c r="AK161" s="130"/>
      <c r="AM161" s="95"/>
      <c r="AN161" s="95"/>
      <c r="AO161" s="95"/>
      <c r="AT161" s="95"/>
      <c r="AU161" s="95"/>
      <c r="AV161" s="87"/>
      <c r="AW161" s="130"/>
      <c r="BE161" s="96"/>
      <c r="BF161" s="96"/>
      <c r="BG161" s="96"/>
      <c r="BH161" s="96"/>
      <c r="BI161" s="96"/>
      <c r="BJ161" s="96"/>
      <c r="BK161" s="96"/>
      <c r="BL161" s="96"/>
      <c r="BM161" s="96"/>
      <c r="BN161" s="96"/>
      <c r="BO161" s="96"/>
      <c r="BQ161" s="96"/>
    </row>
    <row r="162" spans="1:69">
      <c r="A162" s="95"/>
      <c r="B162" s="95"/>
      <c r="C162" s="95"/>
      <c r="D162" s="95"/>
      <c r="E162" s="231"/>
      <c r="F162" s="95"/>
      <c r="G162" s="231"/>
      <c r="H162" s="95"/>
      <c r="I162" s="231"/>
      <c r="J162" s="95"/>
      <c r="K162" s="95"/>
      <c r="L162" s="95"/>
      <c r="M162" s="95"/>
      <c r="N162" s="95"/>
      <c r="O162" s="34"/>
      <c r="P162" s="37"/>
      <c r="Q162" s="129"/>
      <c r="R162" s="130"/>
      <c r="S162" s="97"/>
      <c r="T162" s="250"/>
      <c r="U162" s="131"/>
      <c r="V162" s="125"/>
      <c r="W162" s="87"/>
      <c r="X162" s="130"/>
      <c r="Y162" s="129"/>
      <c r="Z162" s="251"/>
      <c r="AA162" s="129"/>
      <c r="AC162" s="95"/>
      <c r="AD162" s="129"/>
      <c r="AG162" s="91"/>
      <c r="AJ162" s="129"/>
      <c r="AK162" s="130"/>
      <c r="AM162" s="95"/>
      <c r="AN162" s="95"/>
      <c r="AO162" s="95"/>
      <c r="AT162" s="95"/>
      <c r="AU162" s="95"/>
      <c r="AV162" s="87"/>
      <c r="AW162" s="130"/>
      <c r="BE162" s="96"/>
      <c r="BF162" s="96"/>
      <c r="BG162" s="96"/>
      <c r="BH162" s="96"/>
      <c r="BI162" s="96"/>
      <c r="BJ162" s="96"/>
      <c r="BK162" s="96"/>
      <c r="BL162" s="96"/>
      <c r="BM162" s="96"/>
      <c r="BN162" s="96"/>
      <c r="BO162" s="96"/>
      <c r="BQ162" s="96"/>
    </row>
    <row r="163" spans="1:69">
      <c r="A163" s="95"/>
      <c r="B163" s="95"/>
      <c r="C163" s="95"/>
      <c r="D163" s="95"/>
      <c r="E163" s="231"/>
      <c r="F163" s="95"/>
      <c r="G163" s="231"/>
      <c r="H163" s="95"/>
      <c r="I163" s="231"/>
      <c r="J163" s="95"/>
      <c r="K163" s="95"/>
      <c r="L163" s="95"/>
      <c r="M163" s="95"/>
      <c r="N163" s="95"/>
      <c r="O163" s="34"/>
      <c r="P163" s="37"/>
      <c r="Q163" s="129"/>
      <c r="R163" s="130"/>
      <c r="S163" s="97"/>
      <c r="T163" s="250"/>
      <c r="U163" s="131"/>
      <c r="V163" s="125"/>
      <c r="W163" s="87"/>
      <c r="X163" s="130"/>
      <c r="Y163" s="129"/>
      <c r="Z163" s="251"/>
      <c r="AA163" s="129"/>
      <c r="AC163" s="95"/>
      <c r="AD163" s="129"/>
      <c r="AG163" s="91"/>
      <c r="AJ163" s="129"/>
      <c r="AK163" s="130"/>
      <c r="AM163" s="95"/>
      <c r="AN163" s="95"/>
      <c r="AO163" s="95"/>
      <c r="AT163" s="95"/>
      <c r="AU163" s="95"/>
      <c r="AV163" s="87"/>
      <c r="AW163" s="130"/>
      <c r="BH163" s="96"/>
      <c r="BI163" s="96"/>
      <c r="BJ163" s="96"/>
      <c r="BK163" s="96"/>
      <c r="BL163" s="96"/>
      <c r="BM163" s="96"/>
      <c r="BN163" s="96"/>
      <c r="BO163" s="96"/>
      <c r="BQ163" s="96"/>
    </row>
    <row r="164" spans="1:69">
      <c r="A164" s="95"/>
      <c r="B164" s="95"/>
      <c r="C164" s="95"/>
      <c r="D164" s="95"/>
      <c r="E164" s="231"/>
      <c r="F164" s="95"/>
      <c r="G164" s="231"/>
      <c r="H164" s="95"/>
      <c r="I164" s="231"/>
      <c r="J164" s="95"/>
      <c r="K164" s="95"/>
      <c r="L164" s="95"/>
      <c r="M164" s="95"/>
      <c r="N164" s="95"/>
      <c r="O164" s="34"/>
      <c r="P164" s="37"/>
      <c r="Q164" s="129"/>
      <c r="R164" s="130"/>
      <c r="S164" s="97"/>
      <c r="T164" s="250"/>
      <c r="U164" s="131"/>
      <c r="V164" s="125"/>
      <c r="W164" s="87"/>
      <c r="X164" s="130"/>
      <c r="Y164" s="129"/>
      <c r="Z164" s="251"/>
      <c r="AA164" s="129"/>
      <c r="AC164" s="95"/>
      <c r="AD164" s="129"/>
      <c r="AG164" s="91"/>
      <c r="AJ164" s="129"/>
      <c r="AK164" s="130"/>
      <c r="AM164" s="95"/>
      <c r="AN164" s="95"/>
      <c r="AO164" s="95"/>
      <c r="AT164" s="95"/>
      <c r="AU164" s="95"/>
      <c r="AV164" s="87"/>
      <c r="AW164" s="130"/>
      <c r="BH164" s="96"/>
      <c r="BI164" s="96"/>
      <c r="BJ164" s="96"/>
      <c r="BK164" s="96"/>
      <c r="BL164" s="96"/>
      <c r="BM164" s="96"/>
      <c r="BN164" s="96"/>
      <c r="BO164" s="96"/>
      <c r="BQ164" s="96"/>
    </row>
    <row r="165" spans="1:69">
      <c r="A165" s="95"/>
      <c r="B165" s="95"/>
      <c r="C165" s="95"/>
      <c r="D165" s="95"/>
      <c r="E165" s="231"/>
      <c r="F165" s="95"/>
      <c r="G165" s="231"/>
      <c r="H165" s="95"/>
      <c r="I165" s="231"/>
      <c r="J165" s="95"/>
      <c r="K165" s="95"/>
      <c r="L165" s="95" t="s">
        <v>867</v>
      </c>
      <c r="M165" s="95" t="s">
        <v>868</v>
      </c>
      <c r="N165" s="95"/>
      <c r="O165" s="34"/>
      <c r="P165" s="37"/>
      <c r="Q165" s="129"/>
      <c r="R165" s="130"/>
      <c r="S165" s="97"/>
      <c r="T165" s="250"/>
      <c r="U165" s="131"/>
      <c r="V165" s="125"/>
      <c r="W165" s="87"/>
      <c r="X165" s="130"/>
      <c r="Y165" s="129"/>
      <c r="Z165" s="251"/>
      <c r="AA165" s="129"/>
      <c r="AC165" s="95"/>
      <c r="AD165" s="129"/>
      <c r="AG165" s="91"/>
      <c r="AJ165" s="129"/>
      <c r="AK165" s="130"/>
      <c r="AM165" s="95"/>
      <c r="AN165" s="95"/>
      <c r="AO165" s="95"/>
      <c r="AT165" s="95"/>
      <c r="AU165" s="95"/>
      <c r="AV165" s="87"/>
      <c r="AW165" s="130"/>
      <c r="BH165" s="96"/>
      <c r="BI165" s="96"/>
      <c r="BJ165" s="96"/>
      <c r="BK165" s="96"/>
      <c r="BL165" s="96"/>
      <c r="BM165" s="96"/>
      <c r="BN165" s="96"/>
      <c r="BO165" s="96"/>
      <c r="BQ165" s="96"/>
    </row>
    <row r="166" spans="1:69">
      <c r="A166" s="95"/>
      <c r="B166" s="95"/>
      <c r="C166" s="95"/>
      <c r="D166" s="95"/>
      <c r="E166" s="231"/>
      <c r="F166" s="95"/>
      <c r="G166" s="231"/>
      <c r="H166" s="95"/>
      <c r="I166" s="231"/>
      <c r="J166" s="95"/>
      <c r="K166" s="95" t="s">
        <v>855</v>
      </c>
      <c r="L166" s="95">
        <v>27.2</v>
      </c>
      <c r="M166" s="95" t="s">
        <v>859</v>
      </c>
      <c r="N166" s="95"/>
      <c r="O166" s="34"/>
      <c r="P166" s="37"/>
      <c r="Q166" s="129"/>
      <c r="R166" s="130"/>
      <c r="S166" s="97"/>
      <c r="T166" s="250"/>
      <c r="U166" s="131"/>
      <c r="V166" s="125"/>
      <c r="W166" s="87"/>
      <c r="X166" s="130"/>
      <c r="Y166" s="129"/>
      <c r="Z166" s="251"/>
      <c r="AA166" s="129"/>
      <c r="AC166" s="95"/>
      <c r="AD166" s="129"/>
      <c r="AG166" s="91"/>
      <c r="AJ166" s="129"/>
      <c r="AK166" s="130"/>
      <c r="AM166" s="95"/>
      <c r="AN166" s="95"/>
      <c r="AO166" s="95"/>
      <c r="AT166" s="95"/>
      <c r="AU166" s="95"/>
      <c r="AV166" s="87"/>
      <c r="AW166" s="130"/>
      <c r="BH166" s="96"/>
      <c r="BI166" s="96"/>
      <c r="BJ166" s="96"/>
      <c r="BK166" s="96"/>
      <c r="BL166" s="96"/>
      <c r="BM166" s="96"/>
      <c r="BN166" s="96"/>
      <c r="BO166" s="96"/>
      <c r="BQ166" s="96"/>
    </row>
    <row r="167" spans="1:69">
      <c r="A167" s="95"/>
      <c r="B167" s="95"/>
      <c r="C167" s="95"/>
      <c r="D167" s="95"/>
      <c r="E167" s="231"/>
      <c r="F167" s="95"/>
      <c r="G167" s="231"/>
      <c r="H167" s="95"/>
      <c r="I167" s="231"/>
      <c r="J167" s="95"/>
      <c r="K167" s="95" t="s">
        <v>857</v>
      </c>
      <c r="L167" s="95">
        <v>22.7</v>
      </c>
      <c r="M167" s="95" t="s">
        <v>859</v>
      </c>
      <c r="N167" s="95"/>
      <c r="O167" s="34"/>
      <c r="P167" s="37"/>
      <c r="Q167" s="129"/>
      <c r="R167" s="130"/>
      <c r="S167" s="97"/>
      <c r="T167" s="250"/>
      <c r="U167" s="131"/>
      <c r="V167" s="125"/>
      <c r="W167" s="87"/>
      <c r="X167" s="130"/>
      <c r="Y167" s="129"/>
      <c r="Z167" s="251"/>
      <c r="AA167" s="129"/>
      <c r="AC167" s="95"/>
      <c r="AD167" s="129"/>
      <c r="AG167" s="91"/>
      <c r="AJ167" s="129"/>
      <c r="AK167" s="130"/>
      <c r="AM167" s="95"/>
      <c r="AN167" s="95"/>
      <c r="AO167" s="95"/>
      <c r="AT167" s="95"/>
      <c r="AU167" s="95"/>
      <c r="AV167" s="87"/>
      <c r="AW167" s="130"/>
      <c r="BH167" s="96"/>
      <c r="BI167" s="96"/>
      <c r="BJ167" s="96"/>
      <c r="BK167" s="96"/>
      <c r="BL167" s="96"/>
      <c r="BM167" s="96"/>
      <c r="BN167" s="96"/>
      <c r="BO167" s="96"/>
    </row>
    <row r="168" spans="1:69">
      <c r="A168" s="95"/>
      <c r="B168" s="95"/>
      <c r="C168" s="95"/>
      <c r="D168" s="95"/>
      <c r="E168" s="231"/>
      <c r="F168" s="95"/>
      <c r="G168" s="231"/>
      <c r="H168" s="95"/>
      <c r="I168" s="231"/>
      <c r="J168" s="95"/>
      <c r="K168" s="95" t="s">
        <v>861</v>
      </c>
      <c r="L168" s="95">
        <v>37.299999999999997</v>
      </c>
      <c r="M168" s="95" t="s">
        <v>859</v>
      </c>
      <c r="N168" s="95"/>
      <c r="O168" s="34"/>
      <c r="P168" s="37"/>
      <c r="Q168" s="129"/>
      <c r="R168" s="130"/>
      <c r="S168" s="97"/>
      <c r="T168" s="250"/>
      <c r="U168" s="131"/>
      <c r="V168" s="125"/>
      <c r="W168" s="87"/>
      <c r="X168" s="130"/>
      <c r="Y168" s="129"/>
      <c r="Z168" s="251"/>
      <c r="AA168" s="129"/>
      <c r="AC168" s="95"/>
      <c r="AD168" s="129"/>
      <c r="AG168" s="91"/>
      <c r="AJ168" s="129"/>
      <c r="AK168" s="130"/>
      <c r="AM168" s="95"/>
      <c r="AN168" s="95"/>
      <c r="AO168" s="95"/>
      <c r="AT168" s="95"/>
      <c r="AU168" s="95"/>
      <c r="AV168" s="87"/>
      <c r="AW168" s="130"/>
      <c r="AX168" s="32" t="s">
        <v>737</v>
      </c>
      <c r="AY168" s="32" t="s">
        <v>738</v>
      </c>
      <c r="AZ168" s="36" t="s">
        <v>18</v>
      </c>
      <c r="BE168" s="96"/>
      <c r="BF168" s="96"/>
      <c r="BG168" s="96"/>
    </row>
    <row r="169" spans="1:69">
      <c r="K169" s="95" t="s">
        <v>863</v>
      </c>
      <c r="L169" s="95">
        <v>29.8</v>
      </c>
      <c r="M169" s="95" t="s">
        <v>859</v>
      </c>
      <c r="AX169" s="87" t="s">
        <v>124</v>
      </c>
      <c r="AY169" s="87" t="s">
        <v>124</v>
      </c>
      <c r="AZ169" s="277" t="s">
        <v>159</v>
      </c>
      <c r="BE169" s="96"/>
      <c r="BF169" s="96"/>
      <c r="BG169" s="96"/>
    </row>
    <row r="170" spans="1:69" ht="15" thickBot="1">
      <c r="AX170" s="97" t="s">
        <v>124</v>
      </c>
      <c r="AY170" s="97" t="s">
        <v>124</v>
      </c>
      <c r="AZ170" s="277" t="s">
        <v>162</v>
      </c>
      <c r="BE170" s="96"/>
      <c r="BF170" s="96"/>
      <c r="BG170" s="96"/>
    </row>
    <row r="171" spans="1:69" ht="48">
      <c r="D171" s="108" t="s">
        <v>717</v>
      </c>
      <c r="E171" s="53" t="s">
        <v>718</v>
      </c>
      <c r="F171" s="53" t="s">
        <v>16</v>
      </c>
      <c r="G171" s="53" t="s">
        <v>545</v>
      </c>
      <c r="H171" s="53" t="s">
        <v>546</v>
      </c>
      <c r="I171" s="153" t="s">
        <v>719</v>
      </c>
      <c r="J171" s="53" t="s">
        <v>547</v>
      </c>
      <c r="K171" s="53" t="s">
        <v>274</v>
      </c>
      <c r="L171" s="53" t="s">
        <v>720</v>
      </c>
      <c r="M171" s="53" t="s">
        <v>721</v>
      </c>
      <c r="N171" s="55" t="s">
        <v>15</v>
      </c>
      <c r="O171" s="32" t="s">
        <v>17</v>
      </c>
      <c r="P171" s="56" t="s">
        <v>550</v>
      </c>
      <c r="Q171" s="31" t="s">
        <v>217</v>
      </c>
      <c r="R171" s="54" t="s">
        <v>722</v>
      </c>
      <c r="S171" s="31" t="s">
        <v>723</v>
      </c>
      <c r="T171" s="32" t="s">
        <v>724</v>
      </c>
      <c r="U171" s="272" t="s">
        <v>725</v>
      </c>
      <c r="V171" s="57" t="s">
        <v>726</v>
      </c>
      <c r="W171" s="57" t="s">
        <v>727</v>
      </c>
      <c r="X171" s="269" t="s">
        <v>728</v>
      </c>
      <c r="Y171" s="269" t="s">
        <v>729</v>
      </c>
      <c r="Z171" s="270" t="s">
        <v>8</v>
      </c>
      <c r="AA171" s="271" t="s">
        <v>9</v>
      </c>
      <c r="AC171" s="142" t="s">
        <v>558</v>
      </c>
      <c r="AD171" s="32" t="s">
        <v>218</v>
      </c>
      <c r="AE171" s="142" t="s">
        <v>559</v>
      </c>
      <c r="AG171" s="32" t="s">
        <v>315</v>
      </c>
      <c r="AJ171" s="32" t="s">
        <v>730</v>
      </c>
      <c r="AK171" s="32" t="s">
        <v>731</v>
      </c>
      <c r="AM171" s="32" t="s">
        <v>14</v>
      </c>
      <c r="AN171" s="32" t="s">
        <v>732</v>
      </c>
      <c r="AO171" s="32" t="s">
        <v>733</v>
      </c>
      <c r="AR171" s="142" t="s">
        <v>560</v>
      </c>
      <c r="AS171" s="142" t="s">
        <v>565</v>
      </c>
      <c r="AT171" s="142" t="s">
        <v>520</v>
      </c>
      <c r="AU171" s="36" t="s">
        <v>734</v>
      </c>
      <c r="AV171" s="31" t="s">
        <v>735</v>
      </c>
      <c r="AW171" s="31" t="s">
        <v>736</v>
      </c>
      <c r="AX171" s="103" t="s">
        <v>124</v>
      </c>
      <c r="AY171" s="103">
        <v>60</v>
      </c>
      <c r="AZ171" s="277" t="s">
        <v>166</v>
      </c>
      <c r="BE171" s="96"/>
      <c r="BF171" s="96"/>
      <c r="BG171" s="96"/>
    </row>
    <row r="172" spans="1:69" ht="15">
      <c r="D172" s="95" t="s">
        <v>739</v>
      </c>
      <c r="E172" s="273"/>
      <c r="F172" s="68" t="s">
        <v>23</v>
      </c>
      <c r="G172" s="68" t="s">
        <v>586</v>
      </c>
      <c r="H172" s="68" t="s">
        <v>587</v>
      </c>
      <c r="I172" s="69" t="s">
        <v>588</v>
      </c>
      <c r="J172" s="68" t="s">
        <v>589</v>
      </c>
      <c r="K172" s="68" t="s">
        <v>740</v>
      </c>
      <c r="L172" s="68"/>
      <c r="N172" s="68" t="s">
        <v>157</v>
      </c>
      <c r="O172" s="34" t="s">
        <v>158</v>
      </c>
      <c r="P172" s="37" t="s">
        <v>741</v>
      </c>
      <c r="Q172" s="87">
        <v>0.15</v>
      </c>
      <c r="R172" s="87" t="s">
        <v>742</v>
      </c>
      <c r="S172" s="87" t="s">
        <v>306</v>
      </c>
      <c r="T172" s="88">
        <v>0.2</v>
      </c>
      <c r="U172" s="125" t="s">
        <v>743</v>
      </c>
      <c r="V172" s="276">
        <v>0.66</v>
      </c>
      <c r="W172" s="87">
        <v>7</v>
      </c>
      <c r="X172" s="274">
        <v>43</v>
      </c>
      <c r="Y172" s="87">
        <v>29</v>
      </c>
      <c r="Z172" s="275">
        <v>40</v>
      </c>
      <c r="AA172" s="275">
        <v>30</v>
      </c>
      <c r="AD172" s="87" t="s">
        <v>744</v>
      </c>
      <c r="AG172" s="89" t="s">
        <v>745</v>
      </c>
      <c r="AJ172" s="87">
        <v>3</v>
      </c>
      <c r="AK172" s="87" t="s">
        <v>746</v>
      </c>
      <c r="AM172" s="68" t="s">
        <v>192</v>
      </c>
      <c r="AN172" s="72">
        <v>-40</v>
      </c>
      <c r="AO172" s="72">
        <v>130</v>
      </c>
      <c r="AV172" s="87" t="s">
        <v>124</v>
      </c>
      <c r="AW172" s="87" t="s">
        <v>124</v>
      </c>
      <c r="AX172" s="98">
        <v>0.2</v>
      </c>
      <c r="AY172" s="97">
        <v>21</v>
      </c>
      <c r="AZ172" s="283" t="s">
        <v>170</v>
      </c>
      <c r="BE172" s="96"/>
      <c r="BF172" s="96"/>
      <c r="BG172" s="96"/>
    </row>
    <row r="173" spans="1:69" ht="15">
      <c r="D173" s="95" t="s">
        <v>747</v>
      </c>
      <c r="E173" s="110"/>
      <c r="F173" s="68" t="s">
        <v>23</v>
      </c>
      <c r="G173" s="96" t="s">
        <v>586</v>
      </c>
      <c r="H173" s="96" t="s">
        <v>587</v>
      </c>
      <c r="I173" s="154" t="s">
        <v>588</v>
      </c>
      <c r="J173" s="96" t="s">
        <v>589</v>
      </c>
      <c r="K173" s="96" t="s">
        <v>740</v>
      </c>
      <c r="L173" s="96"/>
      <c r="M173" s="96"/>
      <c r="N173" s="96" t="s">
        <v>157</v>
      </c>
      <c r="O173" s="34" t="s">
        <v>748</v>
      </c>
      <c r="P173" s="37" t="s">
        <v>741</v>
      </c>
      <c r="Q173" s="97">
        <v>0.15</v>
      </c>
      <c r="R173" s="87" t="s">
        <v>742</v>
      </c>
      <c r="S173" s="87" t="s">
        <v>317</v>
      </c>
      <c r="T173" s="98">
        <v>0.2</v>
      </c>
      <c r="U173" s="279" t="s">
        <v>749</v>
      </c>
      <c r="V173" s="279">
        <v>0.70620000000000005</v>
      </c>
      <c r="W173" s="97">
        <v>7</v>
      </c>
      <c r="X173" s="274">
        <v>43</v>
      </c>
      <c r="Y173" s="97">
        <v>29</v>
      </c>
      <c r="Z173" s="278">
        <v>45</v>
      </c>
      <c r="AA173" s="278">
        <v>34</v>
      </c>
      <c r="AD173" s="97" t="s">
        <v>744</v>
      </c>
      <c r="AG173" s="89" t="s">
        <v>745</v>
      </c>
      <c r="AJ173" s="97">
        <v>4</v>
      </c>
      <c r="AK173" s="97" t="s">
        <v>750</v>
      </c>
      <c r="AM173" s="68" t="s">
        <v>192</v>
      </c>
      <c r="AN173" s="100">
        <v>-40</v>
      </c>
      <c r="AO173" s="100">
        <v>130</v>
      </c>
      <c r="AV173" s="97" t="s">
        <v>124</v>
      </c>
      <c r="AW173" s="97" t="s">
        <v>124</v>
      </c>
      <c r="AX173" s="87" t="s">
        <v>124</v>
      </c>
      <c r="AY173" s="87">
        <v>22</v>
      </c>
      <c r="AZ173" s="283" t="s">
        <v>173</v>
      </c>
    </row>
    <row r="174" spans="1:69" ht="15">
      <c r="D174" s="95" t="s">
        <v>747</v>
      </c>
      <c r="E174" s="110"/>
      <c r="F174" s="68" t="s">
        <v>23</v>
      </c>
      <c r="G174" s="101" t="s">
        <v>586</v>
      </c>
      <c r="H174" s="101" t="s">
        <v>587</v>
      </c>
      <c r="I174" s="155" t="s">
        <v>588</v>
      </c>
      <c r="J174" s="101" t="s">
        <v>589</v>
      </c>
      <c r="K174" s="96" t="s">
        <v>740</v>
      </c>
      <c r="L174" s="101"/>
      <c r="M174" s="101"/>
      <c r="N174" s="101" t="s">
        <v>157</v>
      </c>
      <c r="O174" s="102" t="s">
        <v>751</v>
      </c>
      <c r="P174" s="37" t="s">
        <v>741</v>
      </c>
      <c r="Q174" s="103">
        <v>0.15</v>
      </c>
      <c r="R174" s="87" t="s">
        <v>742</v>
      </c>
      <c r="S174" s="87" t="s">
        <v>306</v>
      </c>
      <c r="T174" s="104">
        <v>0.2</v>
      </c>
      <c r="U174" s="281" t="s">
        <v>752</v>
      </c>
      <c r="V174" s="281">
        <v>0.45</v>
      </c>
      <c r="W174" s="103">
        <v>7</v>
      </c>
      <c r="X174" s="274">
        <v>51</v>
      </c>
      <c r="Y174" s="103">
        <v>42</v>
      </c>
      <c r="Z174" s="280">
        <v>70</v>
      </c>
      <c r="AA174" s="280">
        <v>50</v>
      </c>
      <c r="AD174" s="103" t="s">
        <v>753</v>
      </c>
      <c r="AG174" s="105" t="s">
        <v>324</v>
      </c>
      <c r="AJ174" s="103">
        <v>4</v>
      </c>
      <c r="AK174" s="103" t="s">
        <v>750</v>
      </c>
      <c r="AM174" s="68" t="s">
        <v>192</v>
      </c>
      <c r="AN174" s="100">
        <v>-40</v>
      </c>
      <c r="AO174" s="100">
        <v>130</v>
      </c>
      <c r="AV174" s="103">
        <v>0.13</v>
      </c>
      <c r="AW174" s="103">
        <v>0.13</v>
      </c>
      <c r="AX174" s="97" t="s">
        <v>124</v>
      </c>
      <c r="AY174" s="97">
        <v>24</v>
      </c>
      <c r="AZ174" s="283" t="s">
        <v>176</v>
      </c>
    </row>
    <row r="175" spans="1:69">
      <c r="D175" s="95" t="s">
        <v>754</v>
      </c>
      <c r="E175" s="110"/>
      <c r="F175" s="68" t="s">
        <v>23</v>
      </c>
      <c r="G175" s="96" t="s">
        <v>586</v>
      </c>
      <c r="H175" s="96" t="s">
        <v>587</v>
      </c>
      <c r="I175" s="154" t="s">
        <v>588</v>
      </c>
      <c r="J175" s="96" t="s">
        <v>589</v>
      </c>
      <c r="K175" s="96" t="s">
        <v>740</v>
      </c>
      <c r="L175" s="96"/>
      <c r="M175" s="96"/>
      <c r="N175" s="96" t="s">
        <v>157</v>
      </c>
      <c r="O175" s="34" t="s">
        <v>169</v>
      </c>
      <c r="P175" s="37" t="s">
        <v>755</v>
      </c>
      <c r="Q175" s="97">
        <v>0.2</v>
      </c>
      <c r="R175" s="87" t="s">
        <v>742</v>
      </c>
      <c r="S175" s="87" t="s">
        <v>310</v>
      </c>
      <c r="T175" s="98">
        <v>0.2</v>
      </c>
      <c r="U175" s="279" t="s">
        <v>756</v>
      </c>
      <c r="V175" s="279">
        <v>0.77</v>
      </c>
      <c r="W175" s="97">
        <v>10</v>
      </c>
      <c r="X175" s="282">
        <v>38</v>
      </c>
      <c r="Y175" s="97">
        <v>28</v>
      </c>
      <c r="Z175" s="278">
        <v>68</v>
      </c>
      <c r="AA175" s="278">
        <v>50</v>
      </c>
      <c r="AD175" s="97" t="s">
        <v>191</v>
      </c>
      <c r="AG175" s="99" t="s">
        <v>324</v>
      </c>
      <c r="AJ175" s="97">
        <v>4</v>
      </c>
      <c r="AK175" s="97" t="s">
        <v>750</v>
      </c>
      <c r="AM175" s="68" t="s">
        <v>192</v>
      </c>
      <c r="AN175" s="100">
        <v>-40</v>
      </c>
      <c r="AO175" s="100">
        <v>130</v>
      </c>
      <c r="AV175" s="97">
        <v>0.19</v>
      </c>
      <c r="AW175" s="97">
        <v>0.19</v>
      </c>
      <c r="AX175" s="97" t="s">
        <v>124</v>
      </c>
      <c r="AY175" s="97">
        <v>20</v>
      </c>
      <c r="AZ175" s="283" t="s">
        <v>179</v>
      </c>
    </row>
    <row r="176" spans="1:69">
      <c r="D176" s="95" t="s">
        <v>754</v>
      </c>
      <c r="E176" s="109"/>
      <c r="F176" s="68" t="s">
        <v>23</v>
      </c>
      <c r="G176" s="68" t="s">
        <v>586</v>
      </c>
      <c r="H176" s="68" t="s">
        <v>587</v>
      </c>
      <c r="I176" s="69" t="s">
        <v>588</v>
      </c>
      <c r="J176" s="68" t="s">
        <v>589</v>
      </c>
      <c r="K176" s="68" t="s">
        <v>740</v>
      </c>
      <c r="L176" s="68"/>
      <c r="N176" s="68" t="s">
        <v>157</v>
      </c>
      <c r="O176" s="34" t="s">
        <v>172</v>
      </c>
      <c r="P176" s="37" t="s">
        <v>757</v>
      </c>
      <c r="Q176" s="87">
        <v>0.24</v>
      </c>
      <c r="R176" s="87" t="s">
        <v>742</v>
      </c>
      <c r="S176" s="87" t="s">
        <v>306</v>
      </c>
      <c r="T176" s="88">
        <v>0.2</v>
      </c>
      <c r="U176" s="125" t="s">
        <v>758</v>
      </c>
      <c r="V176" s="276">
        <v>1.1984000000000001</v>
      </c>
      <c r="W176" s="87">
        <v>7</v>
      </c>
      <c r="X176" s="282">
        <v>35</v>
      </c>
      <c r="Y176" s="87">
        <v>22</v>
      </c>
      <c r="Z176" s="275">
        <v>30</v>
      </c>
      <c r="AA176" s="275">
        <v>22</v>
      </c>
      <c r="AD176" s="87" t="s">
        <v>744</v>
      </c>
      <c r="AG176" s="89" t="s">
        <v>745</v>
      </c>
      <c r="AJ176" s="87">
        <v>3</v>
      </c>
      <c r="AK176" s="87" t="s">
        <v>746</v>
      </c>
      <c r="AM176" s="68" t="s">
        <v>192</v>
      </c>
      <c r="AN176" s="72">
        <v>-40</v>
      </c>
      <c r="AO176" s="72">
        <v>130</v>
      </c>
      <c r="AV176" s="87">
        <v>0.19</v>
      </c>
      <c r="AW176" s="87">
        <v>0.19</v>
      </c>
      <c r="AX176" s="97" t="s">
        <v>124</v>
      </c>
      <c r="AY176" s="97">
        <v>30</v>
      </c>
      <c r="AZ176" s="283" t="s">
        <v>182</v>
      </c>
    </row>
    <row r="177" spans="4:52">
      <c r="D177" s="95" t="s">
        <v>754</v>
      </c>
      <c r="E177" s="110"/>
      <c r="F177" s="68" t="s">
        <v>23</v>
      </c>
      <c r="G177" s="96" t="s">
        <v>586</v>
      </c>
      <c r="H177" s="96" t="s">
        <v>587</v>
      </c>
      <c r="I177" s="154" t="s">
        <v>588</v>
      </c>
      <c r="J177" s="96" t="s">
        <v>589</v>
      </c>
      <c r="K177" s="96" t="s">
        <v>740</v>
      </c>
      <c r="L177" s="96"/>
      <c r="M177" s="96"/>
      <c r="N177" s="96" t="s">
        <v>157</v>
      </c>
      <c r="O177" s="34" t="s">
        <v>175</v>
      </c>
      <c r="P177" s="37" t="s">
        <v>757</v>
      </c>
      <c r="Q177" s="97">
        <v>0.24</v>
      </c>
      <c r="R177" s="87" t="s">
        <v>742</v>
      </c>
      <c r="S177" s="87" t="s">
        <v>325</v>
      </c>
      <c r="T177" s="98">
        <v>0.2</v>
      </c>
      <c r="U177" s="279" t="s">
        <v>759</v>
      </c>
      <c r="V177" s="279">
        <v>1.07</v>
      </c>
      <c r="W177" s="97">
        <v>7</v>
      </c>
      <c r="X177" s="282">
        <v>35.5</v>
      </c>
      <c r="Y177" s="97">
        <v>24</v>
      </c>
      <c r="Z177" s="278">
        <v>35</v>
      </c>
      <c r="AA177" s="278">
        <v>27</v>
      </c>
      <c r="AD177" s="97" t="s">
        <v>744</v>
      </c>
      <c r="AG177" s="89" t="s">
        <v>745</v>
      </c>
      <c r="AJ177" s="97">
        <v>4</v>
      </c>
      <c r="AK177" s="97" t="s">
        <v>750</v>
      </c>
      <c r="AM177" s="68" t="s">
        <v>192</v>
      </c>
      <c r="AN177" s="100">
        <v>-40</v>
      </c>
      <c r="AO177" s="100">
        <v>130</v>
      </c>
      <c r="AV177" s="97">
        <v>0.2</v>
      </c>
      <c r="AW177" s="97">
        <v>0.2</v>
      </c>
      <c r="AX177" s="98">
        <v>0.2</v>
      </c>
      <c r="AY177" s="97">
        <v>17</v>
      </c>
      <c r="AZ177" s="283" t="s">
        <v>185</v>
      </c>
    </row>
    <row r="178" spans="4:52" ht="15">
      <c r="D178" s="95" t="s">
        <v>754</v>
      </c>
      <c r="E178" s="110"/>
      <c r="F178" s="68" t="s">
        <v>23</v>
      </c>
      <c r="G178" s="96" t="s">
        <v>586</v>
      </c>
      <c r="H178" s="96" t="s">
        <v>587</v>
      </c>
      <c r="I178" s="154" t="s">
        <v>588</v>
      </c>
      <c r="J178" s="96" t="s">
        <v>589</v>
      </c>
      <c r="K178" s="96" t="s">
        <v>740</v>
      </c>
      <c r="L178" s="96"/>
      <c r="M178" s="96"/>
      <c r="N178" s="96" t="s">
        <v>157</v>
      </c>
      <c r="O178" s="102" t="s">
        <v>178</v>
      </c>
      <c r="P178" s="37" t="s">
        <v>760</v>
      </c>
      <c r="Q178" s="97">
        <v>0.36</v>
      </c>
      <c r="R178" s="87" t="s">
        <v>742</v>
      </c>
      <c r="S178" s="87" t="s">
        <v>333</v>
      </c>
      <c r="T178" s="98">
        <v>0.2</v>
      </c>
      <c r="U178" s="279" t="s">
        <v>761</v>
      </c>
      <c r="V178" s="279">
        <v>1.4445000000000001</v>
      </c>
      <c r="W178" s="97">
        <v>7</v>
      </c>
      <c r="X178" s="282">
        <v>31</v>
      </c>
      <c r="Y178" s="97">
        <v>20</v>
      </c>
      <c r="Z178" s="284">
        <v>35</v>
      </c>
      <c r="AA178" s="278">
        <v>25</v>
      </c>
      <c r="AD178" s="97" t="s">
        <v>744</v>
      </c>
      <c r="AG178" s="89" t="s">
        <v>745</v>
      </c>
      <c r="AJ178" s="97">
        <v>4</v>
      </c>
      <c r="AK178" s="97" t="s">
        <v>750</v>
      </c>
      <c r="AM178" s="68" t="s">
        <v>192</v>
      </c>
      <c r="AN178" s="100">
        <v>-40</v>
      </c>
      <c r="AO178" s="100">
        <v>130</v>
      </c>
      <c r="AV178" s="97">
        <v>0.3</v>
      </c>
      <c r="AW178" s="97">
        <v>0.3</v>
      </c>
      <c r="AX178" s="97" t="s">
        <v>124</v>
      </c>
      <c r="AY178" s="97">
        <v>17</v>
      </c>
      <c r="AZ178" s="283" t="s">
        <v>188</v>
      </c>
    </row>
    <row r="179" spans="4:52">
      <c r="D179" s="95" t="s">
        <v>754</v>
      </c>
      <c r="E179" s="110"/>
      <c r="F179" s="68" t="s">
        <v>23</v>
      </c>
      <c r="G179" s="96" t="s">
        <v>586</v>
      </c>
      <c r="H179" s="96" t="s">
        <v>587</v>
      </c>
      <c r="I179" s="154" t="s">
        <v>588</v>
      </c>
      <c r="J179" s="96" t="s">
        <v>589</v>
      </c>
      <c r="K179" s="96" t="s">
        <v>740</v>
      </c>
      <c r="L179" s="96"/>
      <c r="M179" s="96"/>
      <c r="N179" s="96" t="s">
        <v>157</v>
      </c>
      <c r="O179" s="34" t="s">
        <v>181</v>
      </c>
      <c r="P179" s="37" t="s">
        <v>760</v>
      </c>
      <c r="Q179" s="97">
        <v>0.36</v>
      </c>
      <c r="R179" s="87" t="s">
        <v>742</v>
      </c>
      <c r="S179" s="87" t="s">
        <v>310</v>
      </c>
      <c r="T179" s="98">
        <v>0.2</v>
      </c>
      <c r="U179" s="279" t="s">
        <v>762</v>
      </c>
      <c r="V179" s="279">
        <v>0.79800000000000004</v>
      </c>
      <c r="W179" s="97">
        <v>5</v>
      </c>
      <c r="X179" s="282">
        <v>40</v>
      </c>
      <c r="Y179" s="97">
        <v>30</v>
      </c>
      <c r="Z179" s="278">
        <v>46</v>
      </c>
      <c r="AA179" s="278">
        <v>35</v>
      </c>
      <c r="AD179" s="97" t="s">
        <v>753</v>
      </c>
      <c r="AG179" s="99" t="s">
        <v>324</v>
      </c>
      <c r="AJ179" s="97">
        <v>4</v>
      </c>
      <c r="AK179" s="97" t="s">
        <v>750</v>
      </c>
      <c r="AM179" s="68" t="s">
        <v>192</v>
      </c>
      <c r="AN179" s="100">
        <v>-40</v>
      </c>
      <c r="AO179" s="100">
        <v>130</v>
      </c>
      <c r="AV179" s="97">
        <v>0.28999999999999998</v>
      </c>
      <c r="AW179" s="97">
        <v>0.28999999999999998</v>
      </c>
      <c r="AX179" s="97" t="s">
        <v>124</v>
      </c>
      <c r="AY179" s="97">
        <v>25</v>
      </c>
      <c r="AZ179" s="283" t="s">
        <v>194</v>
      </c>
    </row>
    <row r="180" spans="4:52">
      <c r="D180" s="95" t="s">
        <v>754</v>
      </c>
      <c r="E180" s="110"/>
      <c r="F180" s="68" t="s">
        <v>23</v>
      </c>
      <c r="G180" s="96" t="s">
        <v>586</v>
      </c>
      <c r="H180" s="96" t="s">
        <v>587</v>
      </c>
      <c r="I180" s="154" t="s">
        <v>588</v>
      </c>
      <c r="J180" s="96" t="s">
        <v>589</v>
      </c>
      <c r="K180" s="96" t="s">
        <v>740</v>
      </c>
      <c r="L180" s="96"/>
      <c r="M180" s="96"/>
      <c r="N180" s="96" t="s">
        <v>157</v>
      </c>
      <c r="O180" s="34" t="s">
        <v>184</v>
      </c>
      <c r="P180" s="37" t="s">
        <v>760</v>
      </c>
      <c r="Q180" s="97">
        <v>0.37</v>
      </c>
      <c r="R180" s="87" t="s">
        <v>742</v>
      </c>
      <c r="S180" s="87" t="s">
        <v>310</v>
      </c>
      <c r="T180" s="98">
        <v>0.2</v>
      </c>
      <c r="U180" s="279" t="s">
        <v>190</v>
      </c>
      <c r="V180" s="279">
        <v>1.1550000000000002</v>
      </c>
      <c r="W180" s="97">
        <v>5</v>
      </c>
      <c r="X180" s="282">
        <v>33</v>
      </c>
      <c r="Y180" s="97">
        <v>24</v>
      </c>
      <c r="Z180" s="278">
        <v>50</v>
      </c>
      <c r="AA180" s="278">
        <v>34</v>
      </c>
      <c r="AD180" s="97" t="s">
        <v>191</v>
      </c>
      <c r="AG180" s="99" t="s">
        <v>324</v>
      </c>
      <c r="AJ180" s="97">
        <v>4</v>
      </c>
      <c r="AK180" s="97" t="s">
        <v>750</v>
      </c>
      <c r="AM180" s="68" t="s">
        <v>192</v>
      </c>
      <c r="AN180" s="100">
        <v>-40</v>
      </c>
      <c r="AO180" s="100">
        <v>130</v>
      </c>
      <c r="AV180" s="97">
        <v>0.36</v>
      </c>
      <c r="AW180" s="97">
        <v>0.36</v>
      </c>
      <c r="AX180" s="97"/>
      <c r="AY180" s="97"/>
      <c r="AZ180" s="283" t="s">
        <v>200</v>
      </c>
    </row>
    <row r="181" spans="4:52">
      <c r="D181" s="95" t="s">
        <v>754</v>
      </c>
      <c r="E181" s="110"/>
      <c r="F181" s="68" t="s">
        <v>23</v>
      </c>
      <c r="G181" s="96" t="s">
        <v>586</v>
      </c>
      <c r="H181" s="96" t="s">
        <v>587</v>
      </c>
      <c r="I181" s="154" t="s">
        <v>588</v>
      </c>
      <c r="J181" s="96" t="s">
        <v>589</v>
      </c>
      <c r="K181" s="96" t="s">
        <v>740</v>
      </c>
      <c r="L181" s="96"/>
      <c r="M181" s="96"/>
      <c r="N181" s="96" t="s">
        <v>157</v>
      </c>
      <c r="O181" s="34" t="s">
        <v>187</v>
      </c>
      <c r="P181" s="37" t="s">
        <v>763</v>
      </c>
      <c r="Q181" s="97">
        <v>0.42</v>
      </c>
      <c r="R181" s="87" t="s">
        <v>742</v>
      </c>
      <c r="S181" s="87" t="s">
        <v>342</v>
      </c>
      <c r="T181" s="98">
        <v>0.2</v>
      </c>
      <c r="U181" s="279" t="s">
        <v>764</v>
      </c>
      <c r="V181" s="279">
        <v>1.605</v>
      </c>
      <c r="W181" s="97">
        <v>7</v>
      </c>
      <c r="X181" s="282">
        <v>28.5</v>
      </c>
      <c r="Y181" s="97">
        <v>17</v>
      </c>
      <c r="Z181" s="278">
        <v>26</v>
      </c>
      <c r="AA181" s="278">
        <v>20</v>
      </c>
      <c r="AD181" s="97" t="s">
        <v>744</v>
      </c>
      <c r="AG181" s="89" t="s">
        <v>745</v>
      </c>
      <c r="AJ181" s="97">
        <v>4</v>
      </c>
      <c r="AK181" s="97" t="s">
        <v>750</v>
      </c>
      <c r="AM181" s="68" t="s">
        <v>192</v>
      </c>
      <c r="AN181" s="100">
        <v>-40</v>
      </c>
      <c r="AO181" s="100">
        <v>130</v>
      </c>
      <c r="AV181" s="97">
        <v>0.35</v>
      </c>
      <c r="AW181" s="97">
        <v>0.35</v>
      </c>
      <c r="AX181" s="98">
        <v>0.2</v>
      </c>
      <c r="AY181" s="97">
        <v>15</v>
      </c>
      <c r="AZ181" s="283" t="s">
        <v>203</v>
      </c>
    </row>
    <row r="182" spans="4:52">
      <c r="D182" s="95" t="s">
        <v>754</v>
      </c>
      <c r="E182" s="110"/>
      <c r="F182" s="68" t="s">
        <v>23</v>
      </c>
      <c r="G182" s="96" t="s">
        <v>586</v>
      </c>
      <c r="H182" s="96" t="s">
        <v>587</v>
      </c>
      <c r="I182" s="154" t="s">
        <v>588</v>
      </c>
      <c r="J182" s="96" t="s">
        <v>589</v>
      </c>
      <c r="K182" s="96" t="s">
        <v>740</v>
      </c>
      <c r="L182" s="96"/>
      <c r="M182" s="96"/>
      <c r="N182" s="96" t="s">
        <v>157</v>
      </c>
      <c r="O182" s="34" t="s">
        <v>193</v>
      </c>
      <c r="P182" s="37" t="s">
        <v>765</v>
      </c>
      <c r="Q182" s="97">
        <v>0.45</v>
      </c>
      <c r="R182" s="87" t="s">
        <v>742</v>
      </c>
      <c r="S182" s="87" t="s">
        <v>317</v>
      </c>
      <c r="T182" s="106" t="s">
        <v>189</v>
      </c>
      <c r="U182" s="279" t="s">
        <v>190</v>
      </c>
      <c r="V182" s="279">
        <v>1.1550000000000002</v>
      </c>
      <c r="W182" s="97">
        <v>5</v>
      </c>
      <c r="X182" s="282">
        <v>33</v>
      </c>
      <c r="Y182" s="97">
        <v>25</v>
      </c>
      <c r="Z182" s="278">
        <v>40</v>
      </c>
      <c r="AA182" s="278">
        <v>28</v>
      </c>
      <c r="AD182" s="97" t="s">
        <v>191</v>
      </c>
      <c r="AG182" s="99" t="s">
        <v>324</v>
      </c>
      <c r="AJ182" s="97">
        <v>4</v>
      </c>
      <c r="AK182" s="97" t="s">
        <v>750</v>
      </c>
      <c r="AM182" s="68" t="s">
        <v>192</v>
      </c>
      <c r="AN182" s="100">
        <v>-40</v>
      </c>
      <c r="AO182" s="100">
        <v>130</v>
      </c>
      <c r="AV182" s="97">
        <v>0.34</v>
      </c>
      <c r="AW182" s="97">
        <v>0.34</v>
      </c>
      <c r="AX182" s="98"/>
      <c r="AY182" s="97"/>
      <c r="AZ182" s="283" t="s">
        <v>207</v>
      </c>
    </row>
    <row r="183" spans="4:52">
      <c r="D183" s="95"/>
      <c r="E183" s="110"/>
      <c r="F183" s="68" t="s">
        <v>195</v>
      </c>
      <c r="G183" s="96" t="s">
        <v>586</v>
      </c>
      <c r="H183" s="96" t="s">
        <v>587</v>
      </c>
      <c r="I183" s="154" t="s">
        <v>588</v>
      </c>
      <c r="J183" s="96" t="s">
        <v>589</v>
      </c>
      <c r="K183" s="96" t="s">
        <v>740</v>
      </c>
      <c r="L183" s="96"/>
      <c r="M183" s="96"/>
      <c r="N183" s="96" t="s">
        <v>157</v>
      </c>
      <c r="O183" s="34" t="s">
        <v>766</v>
      </c>
      <c r="P183" s="37"/>
      <c r="Q183" s="97">
        <v>0.5</v>
      </c>
      <c r="R183" s="87"/>
      <c r="S183" s="87"/>
      <c r="T183" s="98">
        <v>0.2</v>
      </c>
      <c r="U183" s="279" t="s">
        <v>767</v>
      </c>
      <c r="V183" s="279">
        <v>0.86</v>
      </c>
      <c r="W183" s="97">
        <v>7</v>
      </c>
      <c r="X183" s="282" t="s">
        <v>138</v>
      </c>
      <c r="Y183" s="97">
        <v>30</v>
      </c>
      <c r="Z183" s="278" t="s">
        <v>138</v>
      </c>
      <c r="AA183" s="278" t="s">
        <v>768</v>
      </c>
      <c r="AD183" s="97" t="s">
        <v>769</v>
      </c>
      <c r="AG183" s="99"/>
      <c r="AJ183" s="97">
        <v>4</v>
      </c>
      <c r="AK183" s="97" t="s">
        <v>750</v>
      </c>
      <c r="AM183" s="68" t="s">
        <v>192</v>
      </c>
      <c r="AN183" s="100"/>
      <c r="AO183" s="100"/>
      <c r="AV183" s="97"/>
      <c r="AW183" s="97"/>
      <c r="AX183" s="97" t="s">
        <v>124</v>
      </c>
      <c r="AY183" s="97">
        <v>21</v>
      </c>
      <c r="AZ183" s="283" t="s">
        <v>210</v>
      </c>
    </row>
    <row r="184" spans="4:52">
      <c r="D184" s="95" t="s">
        <v>754</v>
      </c>
      <c r="E184" s="110"/>
      <c r="F184" s="68" t="s">
        <v>23</v>
      </c>
      <c r="G184" s="96" t="s">
        <v>586</v>
      </c>
      <c r="H184" s="96" t="s">
        <v>587</v>
      </c>
      <c r="I184" s="154" t="s">
        <v>588</v>
      </c>
      <c r="J184" s="96" t="s">
        <v>589</v>
      </c>
      <c r="K184" s="96" t="s">
        <v>740</v>
      </c>
      <c r="L184" s="96"/>
      <c r="M184" s="96"/>
      <c r="N184" s="96" t="s">
        <v>157</v>
      </c>
      <c r="O184" s="34" t="s">
        <v>202</v>
      </c>
      <c r="P184" s="37" t="s">
        <v>770</v>
      </c>
      <c r="Q184" s="97">
        <v>0.6</v>
      </c>
      <c r="R184" s="87" t="s">
        <v>742</v>
      </c>
      <c r="S184" s="87" t="s">
        <v>317</v>
      </c>
      <c r="T184" s="98">
        <v>0.2</v>
      </c>
      <c r="U184" s="279" t="s">
        <v>771</v>
      </c>
      <c r="V184" s="279">
        <v>1.6380000000000001</v>
      </c>
      <c r="W184" s="97">
        <v>5</v>
      </c>
      <c r="X184" s="282">
        <v>28</v>
      </c>
      <c r="Y184" s="97">
        <v>21</v>
      </c>
      <c r="Z184" s="278">
        <v>42</v>
      </c>
      <c r="AA184" s="278">
        <v>28</v>
      </c>
      <c r="AD184" s="97" t="s">
        <v>191</v>
      </c>
      <c r="AG184" s="99" t="s">
        <v>324</v>
      </c>
      <c r="AJ184" s="97">
        <v>4</v>
      </c>
      <c r="AK184" s="97" t="s">
        <v>750</v>
      </c>
      <c r="AM184" s="68" t="s">
        <v>192</v>
      </c>
      <c r="AN184" s="100">
        <v>-40</v>
      </c>
      <c r="AO184" s="100">
        <v>130</v>
      </c>
      <c r="AV184" s="97">
        <v>0.56000000000000005</v>
      </c>
      <c r="AW184" s="97">
        <v>0.56000000000000005</v>
      </c>
    </row>
    <row r="185" spans="4:52">
      <c r="D185" s="95"/>
      <c r="E185" s="110"/>
      <c r="F185" s="68" t="s">
        <v>195</v>
      </c>
      <c r="G185" s="96" t="s">
        <v>586</v>
      </c>
      <c r="H185" s="96" t="s">
        <v>587</v>
      </c>
      <c r="I185" s="154" t="s">
        <v>588</v>
      </c>
      <c r="J185" s="96" t="s">
        <v>589</v>
      </c>
      <c r="K185" s="96" t="s">
        <v>740</v>
      </c>
      <c r="L185" s="96"/>
      <c r="M185" s="96"/>
      <c r="N185" s="96" t="s">
        <v>157</v>
      </c>
      <c r="O185" s="34" t="s">
        <v>772</v>
      </c>
      <c r="P185" s="37"/>
      <c r="Q185" s="97">
        <v>0.6</v>
      </c>
      <c r="R185" s="87"/>
      <c r="S185" s="87"/>
      <c r="T185" s="98">
        <v>0.2</v>
      </c>
      <c r="U185" s="279" t="s">
        <v>773</v>
      </c>
      <c r="V185" s="279">
        <v>1.1599999999999999</v>
      </c>
      <c r="W185" s="97">
        <v>5</v>
      </c>
      <c r="X185" s="282" t="s">
        <v>138</v>
      </c>
      <c r="Y185" s="97">
        <v>30</v>
      </c>
      <c r="Z185" s="278" t="s">
        <v>138</v>
      </c>
      <c r="AA185" s="278" t="s">
        <v>774</v>
      </c>
      <c r="AD185" s="97" t="s">
        <v>769</v>
      </c>
      <c r="AG185" s="99"/>
      <c r="AJ185" s="97">
        <v>4</v>
      </c>
      <c r="AK185" s="97" t="s">
        <v>750</v>
      </c>
      <c r="AM185" s="68" t="s">
        <v>192</v>
      </c>
      <c r="AN185" s="100"/>
      <c r="AO185" s="100"/>
      <c r="AV185" s="97"/>
      <c r="AW185" s="97"/>
    </row>
    <row r="186" spans="4:52" ht="15">
      <c r="D186" s="95" t="s">
        <v>754</v>
      </c>
      <c r="E186" s="110"/>
      <c r="F186" s="68" t="s">
        <v>23</v>
      </c>
      <c r="G186" s="96" t="s">
        <v>586</v>
      </c>
      <c r="H186" s="96" t="s">
        <v>587</v>
      </c>
      <c r="I186" s="154" t="s">
        <v>588</v>
      </c>
      <c r="J186" s="96" t="s">
        <v>589</v>
      </c>
      <c r="K186" s="96" t="s">
        <v>740</v>
      </c>
      <c r="L186" s="96"/>
      <c r="M186" s="96"/>
      <c r="N186" s="96" t="s">
        <v>157</v>
      </c>
      <c r="O186" s="34" t="s">
        <v>209</v>
      </c>
      <c r="P186" s="37" t="s">
        <v>775</v>
      </c>
      <c r="Q186" s="97">
        <v>0.68</v>
      </c>
      <c r="R186" s="87" t="s">
        <v>742</v>
      </c>
      <c r="S186" s="87" t="s">
        <v>310</v>
      </c>
      <c r="T186" s="98">
        <v>0.2</v>
      </c>
      <c r="U186" s="279" t="s">
        <v>776</v>
      </c>
      <c r="V186" s="279">
        <v>1.6590000000000003</v>
      </c>
      <c r="W186" s="97">
        <v>5</v>
      </c>
      <c r="X186" s="282">
        <v>28</v>
      </c>
      <c r="Y186" s="97">
        <v>21</v>
      </c>
      <c r="Z186" s="285">
        <v>35</v>
      </c>
      <c r="AA186" s="285">
        <v>26</v>
      </c>
      <c r="AD186" s="97" t="s">
        <v>753</v>
      </c>
      <c r="AG186" s="99" t="s">
        <v>324</v>
      </c>
      <c r="AJ186" s="97">
        <v>4</v>
      </c>
      <c r="AK186" s="97" t="s">
        <v>750</v>
      </c>
      <c r="AM186" s="68" t="s">
        <v>192</v>
      </c>
      <c r="AN186" s="100">
        <v>-40</v>
      </c>
      <c r="AO186" s="100">
        <v>130</v>
      </c>
      <c r="AV186" s="97">
        <v>0.59</v>
      </c>
      <c r="AW186" s="97">
        <v>0.59</v>
      </c>
    </row>
    <row r="187" spans="4:52">
      <c r="I187" s="68"/>
      <c r="J187" s="69"/>
      <c r="K187" s="68"/>
      <c r="M187"/>
      <c r="P187" s="68"/>
      <c r="R187" s="69"/>
      <c r="Y187" s="68"/>
    </row>
  </sheetData>
  <phoneticPr fontId="13"/>
  <conditionalFormatting sqref="BZ1 CC1:CC8">
    <cfRule type="containsText" dxfId="109" priority="4" operator="containsText" text="NRND">
      <formula>NOT(ISERROR(SEARCH("NRND",BZ1)))</formula>
    </cfRule>
    <cfRule type="containsText" dxfId="108" priority="5" operator="containsText" text="EOL">
      <formula>NOT(ISERROR(SEARCH("EOL",BZ1)))</formula>
    </cfRule>
  </conditionalFormatting>
  <conditionalFormatting sqref="O1:O1048576">
    <cfRule type="duplicateValues" dxfId="107" priority="2"/>
  </conditionalFormatting>
  <conditionalFormatting sqref="BP10">
    <cfRule type="colorScale" priority="1">
      <colorScale>
        <cfvo type="min"/>
        <cfvo type="max"/>
        <color rgb="FFFCFCFF"/>
        <color rgb="FFF8696B"/>
      </colorScale>
    </cfRule>
  </conditionalFormatting>
  <dataValidations disablePrompts="1" count="1">
    <dataValidation type="list" allowBlank="1" showInputMessage="1" sqref="CA8" xr:uid="{A8B8F380-0793-4CAE-B40E-0FCCB6811D63}">
      <formula1>"5,12,24,48,60"</formula1>
    </dataValidation>
  </dataValidations>
  <hyperlinks>
    <hyperlink ref="AT11" r:id="rId1" xr:uid="{54B65D9D-DBE5-4EBB-96CC-46191CFFE451}"/>
    <hyperlink ref="AZ171" r:id="rId2" xr:uid="{E1579932-E324-4C40-917A-E6DB314E1F8A}"/>
    <hyperlink ref="AZ170" r:id="rId3" xr:uid="{E6F23AA0-B9AD-4B48-9AED-AD3099ED340B}"/>
    <hyperlink ref="AZ169" r:id="rId4" xr:uid="{BC32DDA1-6E25-4B2B-8F36-3A812D100692}"/>
    <hyperlink ref="AZ183" r:id="rId5" xr:uid="{23A0D40C-2441-407B-B449-B8FA58347C20}"/>
    <hyperlink ref="AZ181" r:id="rId6" xr:uid="{0B917948-4DA1-49CA-AAA5-44FB3B7BCAD3}"/>
    <hyperlink ref="AZ179" r:id="rId7" xr:uid="{934F7BA4-C2A6-4596-8079-75C993D53279}"/>
    <hyperlink ref="AZ178" r:id="rId8" xr:uid="{72362BD0-53FE-49AA-ADDB-D4D2C6E5E409}"/>
    <hyperlink ref="AZ177" r:id="rId9" xr:uid="{D56A5018-1D0D-4525-A330-F4D1D7B8955B}"/>
    <hyperlink ref="AZ176" r:id="rId10" xr:uid="{6E3A0DF1-42A2-46FF-B179-E0454E7010A9}"/>
    <hyperlink ref="AZ175" r:id="rId11" xr:uid="{135E0588-1FE4-42C2-AB11-4FF4190FA73C}"/>
    <hyperlink ref="AZ174" r:id="rId12" xr:uid="{407D1C16-9E38-4F09-A245-645D77904CEF}"/>
    <hyperlink ref="AZ173" r:id="rId13" xr:uid="{83A4EB06-B32B-41E8-BA66-44578AB739E0}"/>
    <hyperlink ref="AZ172" r:id="rId14" xr:uid="{410BFD9E-0748-4657-B081-35FC455A3FD9}"/>
  </hyperlinks>
  <pageMargins left="0.7" right="0.7" top="0.75" bottom="0.75" header="0.3" footer="0.3"/>
  <pageSetup paperSize="9" orientation="portrait" r:id="rId15"/>
  <drawing r:id="rId16"/>
  <legacyDrawing r:id="rId17"/>
  <tableParts count="1">
    <tablePart r:id="rId1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AP51"/>
  <sheetViews>
    <sheetView zoomScale="86" zoomScaleNormal="86" workbookViewId="0"/>
  </sheetViews>
  <sheetFormatPr defaultColWidth="9" defaultRowHeight="12"/>
  <cols>
    <col min="1" max="14" width="9" style="487"/>
    <col min="15" max="15" width="18.140625" style="487" customWidth="1"/>
    <col min="16" max="16" width="44.7109375" style="487" customWidth="1"/>
    <col min="17" max="17" width="9.140625" style="487"/>
    <col min="18" max="18" width="9" style="487"/>
    <col min="19" max="19" width="9.140625" style="487"/>
    <col min="20" max="22" width="9" style="487"/>
    <col min="23" max="23" width="9.140625" style="487"/>
    <col min="24" max="25" width="44.7109375" style="487" customWidth="1"/>
    <col min="26" max="27" width="9.140625" style="487"/>
    <col min="28" max="40" width="9" style="487"/>
    <col min="41" max="41" width="11.5703125" style="487" bestFit="1" customWidth="1"/>
    <col min="42" max="42" width="20.140625" style="487" bestFit="1" customWidth="1"/>
    <col min="43" max="16384" width="9" style="487"/>
  </cols>
  <sheetData>
    <row r="2" spans="2:42" ht="120" customHeight="1">
      <c r="M2" s="487">
        <f>INDEX(Utility!$P:$P,MATCH('DCDC Ref'!$W$21,Utility!$O:$O,0))</f>
        <v>0</v>
      </c>
    </row>
    <row r="3" spans="2:42" s="489" customFormat="1">
      <c r="B3" s="488" t="s">
        <v>277</v>
      </c>
      <c r="K3" s="488" t="s">
        <v>278</v>
      </c>
      <c r="M3" s="488"/>
    </row>
    <row r="4" spans="2:42" ht="35.25" customHeight="1">
      <c r="D4" s="487" t="s">
        <v>279</v>
      </c>
      <c r="E4" s="487" t="s">
        <v>280</v>
      </c>
      <c r="K4" s="490" t="s">
        <v>281</v>
      </c>
      <c r="L4" s="490" t="s">
        <v>282</v>
      </c>
      <c r="M4" s="490" t="s">
        <v>283</v>
      </c>
      <c r="N4" s="490"/>
      <c r="O4" s="487" t="s">
        <v>284</v>
      </c>
      <c r="P4" s="487" t="s">
        <v>285</v>
      </c>
      <c r="Q4" s="487" t="s">
        <v>286</v>
      </c>
      <c r="R4" s="490" t="s">
        <v>287</v>
      </c>
      <c r="S4" s="487" t="s">
        <v>288</v>
      </c>
      <c r="T4" s="487" t="s">
        <v>289</v>
      </c>
      <c r="U4" s="490" t="s">
        <v>814</v>
      </c>
      <c r="V4" s="490" t="s">
        <v>290</v>
      </c>
      <c r="W4" s="490" t="s">
        <v>291</v>
      </c>
      <c r="X4" s="487" t="s">
        <v>817</v>
      </c>
      <c r="Z4" s="487" t="s">
        <v>292</v>
      </c>
      <c r="AA4" s="487" t="s">
        <v>293</v>
      </c>
      <c r="AB4" s="487" t="s">
        <v>294</v>
      </c>
      <c r="AC4" s="487" t="s">
        <v>295</v>
      </c>
      <c r="AD4" s="487" t="s">
        <v>296</v>
      </c>
      <c r="AE4" s="487" t="s">
        <v>297</v>
      </c>
      <c r="AF4" s="487" t="s">
        <v>298</v>
      </c>
      <c r="AG4" s="487" t="s">
        <v>299</v>
      </c>
      <c r="AH4" s="487" t="s">
        <v>300</v>
      </c>
    </row>
    <row r="5" spans="2:42" ht="120" customHeight="1">
      <c r="D5" s="487">
        <v>0.01</v>
      </c>
      <c r="E5" s="487" t="s">
        <v>301</v>
      </c>
      <c r="K5" s="487" t="str">
        <f>INDEX(R:R,MATCH('DCDC Ref'!W21,O:O,0))</f>
        <v>https://industrial.panasonic.com/content/data/CP/pictures/custom_made_xev_01.jpg</v>
      </c>
      <c r="L5" s="487">
        <f>INDEX(V:V,MATCH('DCDC Ref'!W21,O:O,0))</f>
        <v>0</v>
      </c>
      <c r="M5" s="487">
        <f>INDEX(W:W,MATCH('DCDC Ref'!W21,O:O,0))</f>
        <v>0</v>
      </c>
      <c r="N5" s="487">
        <v>1</v>
      </c>
      <c r="O5" s="487" t="s">
        <v>302</v>
      </c>
      <c r="P5" s="491"/>
      <c r="Q5" s="492"/>
      <c r="R5" s="568" t="s">
        <v>303</v>
      </c>
      <c r="S5" s="568"/>
      <c r="T5" s="568" t="s">
        <v>304</v>
      </c>
      <c r="U5" s="493" t="s">
        <v>138</v>
      </c>
      <c r="V5" s="568"/>
      <c r="W5" s="568"/>
      <c r="X5" s="494"/>
      <c r="Y5" s="570"/>
      <c r="Z5" s="492"/>
      <c r="AA5" s="492"/>
      <c r="AB5" s="492" t="s">
        <v>305</v>
      </c>
      <c r="AC5" s="487" t="s">
        <v>138</v>
      </c>
      <c r="AD5" s="487">
        <v>12</v>
      </c>
      <c r="AE5" s="487">
        <v>5</v>
      </c>
      <c r="AF5" s="487">
        <v>5</v>
      </c>
      <c r="AG5" s="487">
        <v>400</v>
      </c>
      <c r="AH5" s="487">
        <v>1</v>
      </c>
    </row>
    <row r="6" spans="2:42" ht="120" customHeight="1">
      <c r="D6" s="487">
        <v>0.11</v>
      </c>
      <c r="E6" s="487" t="s">
        <v>306</v>
      </c>
      <c r="N6" s="487">
        <v>2</v>
      </c>
      <c r="O6" s="487" t="s">
        <v>235</v>
      </c>
      <c r="P6" s="491"/>
      <c r="Q6" s="492"/>
      <c r="R6" s="568" t="s">
        <v>307</v>
      </c>
      <c r="S6" s="568"/>
      <c r="T6" s="568" t="s">
        <v>308</v>
      </c>
      <c r="U6" s="493" t="s">
        <v>779</v>
      </c>
      <c r="V6" s="568" t="s">
        <v>810</v>
      </c>
      <c r="W6" s="568" t="s">
        <v>811</v>
      </c>
      <c r="X6" s="494"/>
      <c r="Y6" s="570"/>
      <c r="Z6" s="492"/>
      <c r="AA6" s="492"/>
      <c r="AB6" s="492" t="s">
        <v>309</v>
      </c>
      <c r="AC6" s="487" t="s">
        <v>778</v>
      </c>
      <c r="AD6" s="487">
        <v>5</v>
      </c>
      <c r="AE6" s="487">
        <v>0.8</v>
      </c>
      <c r="AF6" s="487">
        <v>60</v>
      </c>
      <c r="AG6" s="487">
        <v>400</v>
      </c>
      <c r="AH6" s="487">
        <v>3</v>
      </c>
    </row>
    <row r="7" spans="2:42" ht="84">
      <c r="D7" s="487">
        <v>0.21</v>
      </c>
      <c r="E7" s="487" t="s">
        <v>310</v>
      </c>
      <c r="N7" s="487">
        <v>3</v>
      </c>
      <c r="O7" s="487" t="s">
        <v>311</v>
      </c>
      <c r="P7" s="491"/>
      <c r="Q7" s="492"/>
      <c r="R7" s="568" t="s">
        <v>312</v>
      </c>
      <c r="S7" s="568"/>
      <c r="T7" s="568"/>
      <c r="U7" s="493" t="s">
        <v>815</v>
      </c>
      <c r="V7" s="568" t="s">
        <v>777</v>
      </c>
      <c r="W7" s="568" t="s">
        <v>813</v>
      </c>
      <c r="X7" s="494"/>
      <c r="Y7" s="570"/>
      <c r="Z7" s="492"/>
      <c r="AA7" s="492"/>
      <c r="AB7" s="492"/>
      <c r="AC7" s="487" t="s">
        <v>812</v>
      </c>
      <c r="AD7" s="487">
        <v>5</v>
      </c>
      <c r="AE7" s="487">
        <v>0.85</v>
      </c>
      <c r="AF7" s="487">
        <v>20</v>
      </c>
      <c r="AG7" s="487">
        <v>3000</v>
      </c>
      <c r="AH7" s="487">
        <v>4</v>
      </c>
      <c r="AJ7" s="495" t="s">
        <v>313</v>
      </c>
      <c r="AK7" s="492" t="s">
        <v>314</v>
      </c>
      <c r="AL7" s="496" t="s">
        <v>809</v>
      </c>
      <c r="AM7" s="496"/>
      <c r="AN7" s="593" t="s">
        <v>315</v>
      </c>
      <c r="AO7" s="593" t="s">
        <v>218</v>
      </c>
      <c r="AP7" s="594" t="s">
        <v>316</v>
      </c>
    </row>
    <row r="8" spans="2:42" ht="31.5">
      <c r="D8" s="487">
        <v>0.31</v>
      </c>
      <c r="E8" s="487" t="s">
        <v>317</v>
      </c>
      <c r="N8" s="487">
        <v>4</v>
      </c>
      <c r="O8" s="487" t="s">
        <v>318</v>
      </c>
      <c r="P8" s="491"/>
      <c r="Q8" s="497"/>
      <c r="R8" s="568" t="s">
        <v>319</v>
      </c>
      <c r="S8" s="568"/>
      <c r="T8" s="568" t="s">
        <v>320</v>
      </c>
      <c r="U8" s="493" t="s">
        <v>779</v>
      </c>
      <c r="V8" s="568" t="s">
        <v>321</v>
      </c>
      <c r="W8" s="568" t="s">
        <v>322</v>
      </c>
      <c r="X8" s="498"/>
      <c r="Y8" s="571"/>
      <c r="Z8" s="492"/>
      <c r="AA8" s="492"/>
      <c r="AB8" s="492"/>
      <c r="AC8" s="487" t="s">
        <v>323</v>
      </c>
      <c r="AD8" s="487">
        <v>12</v>
      </c>
      <c r="AE8" s="487">
        <v>3.3</v>
      </c>
      <c r="AF8" s="487">
        <v>16</v>
      </c>
      <c r="AG8" s="487">
        <v>440</v>
      </c>
      <c r="AH8" s="487">
        <v>2</v>
      </c>
      <c r="AN8" s="595" t="s">
        <v>324</v>
      </c>
      <c r="AO8" s="595" t="s">
        <v>43</v>
      </c>
      <c r="AP8" s="594">
        <v>26</v>
      </c>
    </row>
    <row r="9" spans="2:42" ht="84">
      <c r="D9" s="487">
        <v>0.41</v>
      </c>
      <c r="E9" s="487" t="s">
        <v>325</v>
      </c>
      <c r="N9" s="487">
        <v>5</v>
      </c>
      <c r="O9" s="487" t="s">
        <v>326</v>
      </c>
      <c r="P9" s="491"/>
      <c r="Q9" s="492"/>
      <c r="R9" s="568" t="s">
        <v>327</v>
      </c>
      <c r="S9" s="568"/>
      <c r="T9" s="568"/>
      <c r="U9" s="493" t="s">
        <v>815</v>
      </c>
      <c r="V9" s="568" t="s">
        <v>328</v>
      </c>
      <c r="W9" s="568" t="s">
        <v>329</v>
      </c>
      <c r="X9" s="498"/>
      <c r="Y9" s="571"/>
      <c r="Z9" s="492" t="s">
        <v>330</v>
      </c>
      <c r="AA9" s="492"/>
      <c r="AB9" s="492" t="s">
        <v>331</v>
      </c>
      <c r="AC9" s="487" t="s">
        <v>332</v>
      </c>
      <c r="AD9" s="487">
        <v>12</v>
      </c>
      <c r="AE9" s="487">
        <v>5</v>
      </c>
      <c r="AF9" s="487">
        <v>10</v>
      </c>
      <c r="AG9" s="487">
        <v>2200</v>
      </c>
      <c r="AH9" s="487">
        <v>1</v>
      </c>
      <c r="AN9" s="596"/>
      <c r="AO9" s="597" t="s">
        <v>21</v>
      </c>
      <c r="AP9" s="607">
        <v>19</v>
      </c>
    </row>
    <row r="10" spans="2:42" ht="60">
      <c r="D10" s="487">
        <v>0.51</v>
      </c>
      <c r="E10" s="487" t="s">
        <v>333</v>
      </c>
      <c r="N10" s="487">
        <v>6</v>
      </c>
      <c r="O10" s="487" t="s">
        <v>334</v>
      </c>
      <c r="P10" s="491"/>
      <c r="Q10" s="492"/>
      <c r="R10" s="568" t="s">
        <v>335</v>
      </c>
      <c r="S10" s="568"/>
      <c r="T10" s="568" t="s">
        <v>336</v>
      </c>
      <c r="U10" s="493" t="s">
        <v>816</v>
      </c>
      <c r="V10" s="568" t="s">
        <v>337</v>
      </c>
      <c r="W10" s="568" t="s">
        <v>338</v>
      </c>
      <c r="X10" s="498"/>
      <c r="Y10" s="571"/>
      <c r="Z10" s="492"/>
      <c r="AA10" s="492"/>
      <c r="AB10" s="492" t="s">
        <v>339</v>
      </c>
      <c r="AC10" s="487" t="s">
        <v>340</v>
      </c>
      <c r="AD10" s="487">
        <v>12</v>
      </c>
      <c r="AE10" s="487">
        <v>20</v>
      </c>
      <c r="AF10" s="487">
        <v>5</v>
      </c>
      <c r="AG10" s="487">
        <v>800</v>
      </c>
      <c r="AH10" s="487">
        <v>1</v>
      </c>
      <c r="AN10" s="595" t="s">
        <v>341</v>
      </c>
      <c r="AO10" s="595" t="s">
        <v>25</v>
      </c>
      <c r="AP10" s="594">
        <v>5</v>
      </c>
    </row>
    <row r="11" spans="2:42" ht="31.5">
      <c r="D11" s="487">
        <v>0.61</v>
      </c>
      <c r="E11" s="487" t="s">
        <v>342</v>
      </c>
      <c r="N11" s="487">
        <v>7</v>
      </c>
      <c r="O11" s="487" t="s">
        <v>343</v>
      </c>
      <c r="P11" s="491"/>
      <c r="Q11" s="492"/>
      <c r="R11" s="568" t="s">
        <v>344</v>
      </c>
      <c r="S11" s="568"/>
      <c r="T11" s="568" t="s">
        <v>345</v>
      </c>
      <c r="U11" s="493" t="s">
        <v>779</v>
      </c>
      <c r="V11" s="568" t="s">
        <v>346</v>
      </c>
      <c r="W11" s="568" t="s">
        <v>347</v>
      </c>
      <c r="X11" s="494"/>
      <c r="Y11" s="570"/>
      <c r="Z11" s="492"/>
      <c r="AA11" s="492"/>
      <c r="AB11" s="492"/>
      <c r="AC11" s="487" t="s">
        <v>348</v>
      </c>
      <c r="AD11" s="487">
        <v>24</v>
      </c>
      <c r="AE11" s="487">
        <v>18</v>
      </c>
      <c r="AF11" s="487">
        <v>0.7</v>
      </c>
      <c r="AG11" s="487">
        <v>500</v>
      </c>
      <c r="AH11" s="487">
        <v>1</v>
      </c>
      <c r="AN11" s="596"/>
      <c r="AO11" s="597" t="s">
        <v>65</v>
      </c>
      <c r="AP11" s="607">
        <v>2</v>
      </c>
    </row>
    <row r="12" spans="2:42" ht="14.25">
      <c r="D12" s="487">
        <v>0.71</v>
      </c>
      <c r="E12" s="487" t="s">
        <v>349</v>
      </c>
      <c r="L12" s="499"/>
      <c r="P12" s="491"/>
      <c r="Q12" s="493"/>
      <c r="R12" s="493"/>
      <c r="S12" s="493"/>
      <c r="T12" s="493"/>
      <c r="U12" s="493"/>
      <c r="V12" s="493"/>
      <c r="W12" s="493"/>
      <c r="X12" s="493"/>
      <c r="Y12" s="493"/>
      <c r="Z12" s="493"/>
      <c r="AA12" s="493"/>
      <c r="AB12" s="493"/>
      <c r="AN12" s="595" t="s">
        <v>350</v>
      </c>
      <c r="AO12" s="595" t="s">
        <v>125</v>
      </c>
      <c r="AP12" s="594">
        <v>1</v>
      </c>
    </row>
    <row r="13" spans="2:42">
      <c r="D13" s="487">
        <v>0.81</v>
      </c>
      <c r="E13" s="487" t="s">
        <v>351</v>
      </c>
      <c r="P13" s="491"/>
      <c r="Q13" s="493"/>
      <c r="R13" s="493"/>
      <c r="S13" s="493"/>
      <c r="T13" s="493"/>
      <c r="U13" s="493"/>
      <c r="V13" s="493"/>
      <c r="W13" s="493"/>
      <c r="X13" s="493"/>
      <c r="Y13" s="493"/>
      <c r="Z13" s="493"/>
      <c r="AA13" s="493"/>
      <c r="AB13" s="493"/>
      <c r="AN13" s="595" t="s">
        <v>352</v>
      </c>
      <c r="AO13" s="595" t="s">
        <v>26</v>
      </c>
      <c r="AP13" s="594">
        <v>18</v>
      </c>
    </row>
    <row r="14" spans="2:42" ht="14.25">
      <c r="D14" s="487">
        <v>0.91</v>
      </c>
      <c r="E14" s="487" t="s">
        <v>353</v>
      </c>
      <c r="L14" s="499"/>
      <c r="P14" s="491"/>
      <c r="Q14" s="493"/>
      <c r="R14" s="493"/>
      <c r="S14" s="493"/>
      <c r="T14" s="493"/>
      <c r="U14" s="493"/>
      <c r="V14" s="493"/>
      <c r="W14" s="493"/>
      <c r="X14" s="493"/>
      <c r="Y14" s="493"/>
      <c r="Z14" s="493"/>
      <c r="AA14" s="493"/>
      <c r="AB14" s="493"/>
      <c r="AN14" s="595" t="s">
        <v>354</v>
      </c>
      <c r="AO14" s="595" t="s">
        <v>32</v>
      </c>
      <c r="AP14" s="594">
        <v>17</v>
      </c>
    </row>
    <row r="15" spans="2:42" ht="48">
      <c r="D15" s="487">
        <v>1.0900000000000001</v>
      </c>
      <c r="E15" s="487" t="s">
        <v>355</v>
      </c>
      <c r="F15" s="487" t="s">
        <v>356</v>
      </c>
      <c r="L15" s="499"/>
      <c r="P15" s="491"/>
      <c r="Q15" s="493"/>
      <c r="R15" s="493"/>
      <c r="S15" s="493"/>
      <c r="T15" s="493"/>
      <c r="U15" s="493"/>
      <c r="V15" s="493"/>
      <c r="W15" s="493"/>
      <c r="X15" s="493"/>
      <c r="Y15" s="493"/>
      <c r="Z15" s="493"/>
      <c r="AA15" s="493"/>
      <c r="AB15" s="493"/>
      <c r="AN15" s="596"/>
      <c r="AO15" s="597" t="s">
        <v>28</v>
      </c>
      <c r="AP15" s="607">
        <v>11</v>
      </c>
    </row>
    <row r="16" spans="2:42" ht="14.25">
      <c r="D16" s="487">
        <v>2.09</v>
      </c>
      <c r="E16" s="487" t="s">
        <v>357</v>
      </c>
      <c r="L16" s="499"/>
      <c r="Q16" s="493"/>
      <c r="R16" s="493"/>
      <c r="S16" s="493"/>
      <c r="T16" s="493"/>
      <c r="U16" s="493"/>
      <c r="V16" s="493"/>
      <c r="W16" s="493"/>
      <c r="X16" s="493"/>
      <c r="Y16" s="493"/>
      <c r="Z16" s="493"/>
      <c r="AA16" s="493"/>
      <c r="AB16" s="493"/>
      <c r="AN16" s="596"/>
      <c r="AO16" s="597" t="s">
        <v>875</v>
      </c>
      <c r="AP16" s="607">
        <v>1</v>
      </c>
    </row>
    <row r="17" spans="4:42" ht="14.25">
      <c r="D17" s="487">
        <v>3.09</v>
      </c>
      <c r="E17" s="487" t="s">
        <v>359</v>
      </c>
      <c r="L17" s="499"/>
      <c r="AN17" s="595" t="s">
        <v>358</v>
      </c>
      <c r="AO17" s="595" t="s">
        <v>34</v>
      </c>
      <c r="AP17" s="594">
        <v>10</v>
      </c>
    </row>
    <row r="18" spans="4:42" ht="14.25">
      <c r="D18" s="487">
        <v>4.09</v>
      </c>
      <c r="E18" s="487" t="s">
        <v>361</v>
      </c>
      <c r="L18" s="499"/>
      <c r="AN18" s="596"/>
      <c r="AO18" s="597" t="s">
        <v>1027</v>
      </c>
      <c r="AP18" s="607">
        <v>11</v>
      </c>
    </row>
    <row r="19" spans="4:42" ht="14.25">
      <c r="D19" s="487">
        <v>5.09</v>
      </c>
      <c r="E19" s="487" t="s">
        <v>362</v>
      </c>
      <c r="L19" s="499"/>
      <c r="AN19" s="595" t="s">
        <v>360</v>
      </c>
      <c r="AO19" s="595" t="s">
        <v>32</v>
      </c>
      <c r="AP19" s="594">
        <v>1</v>
      </c>
    </row>
    <row r="20" spans="4:42" ht="14.25">
      <c r="D20" s="487">
        <v>6.09</v>
      </c>
      <c r="E20" s="487" t="s">
        <v>364</v>
      </c>
      <c r="L20" s="499"/>
      <c r="AN20" s="596"/>
      <c r="AO20" s="597" t="s">
        <v>83</v>
      </c>
      <c r="AP20" s="607">
        <v>10</v>
      </c>
    </row>
    <row r="21" spans="4:42" ht="14.25">
      <c r="D21" s="487">
        <v>7.09</v>
      </c>
      <c r="E21" s="487" t="s">
        <v>366</v>
      </c>
      <c r="L21" s="499"/>
      <c r="AN21" s="596"/>
      <c r="AO21" s="597" t="s">
        <v>72</v>
      </c>
      <c r="AP21" s="607">
        <v>9</v>
      </c>
    </row>
    <row r="22" spans="4:42" ht="14.25">
      <c r="D22" s="487">
        <v>8.09</v>
      </c>
      <c r="E22" s="487" t="s">
        <v>367</v>
      </c>
      <c r="L22" s="499"/>
      <c r="AN22" s="596"/>
      <c r="AO22" s="597" t="s">
        <v>849</v>
      </c>
      <c r="AP22" s="607">
        <v>1</v>
      </c>
    </row>
    <row r="23" spans="4:42" ht="14.25">
      <c r="D23" s="487">
        <v>9.09</v>
      </c>
      <c r="E23" s="487" t="s">
        <v>368</v>
      </c>
      <c r="L23" s="499"/>
      <c r="AN23" s="596"/>
      <c r="AO23" s="597" t="s">
        <v>1027</v>
      </c>
      <c r="AP23" s="607">
        <v>1</v>
      </c>
    </row>
    <row r="24" spans="4:42" ht="14.25">
      <c r="D24" s="487">
        <v>10.9</v>
      </c>
      <c r="E24" s="487" t="s">
        <v>369</v>
      </c>
      <c r="L24" s="499"/>
      <c r="AN24" s="595" t="s">
        <v>363</v>
      </c>
      <c r="AO24" s="595" t="s">
        <v>27</v>
      </c>
      <c r="AP24" s="594">
        <v>7</v>
      </c>
    </row>
    <row r="25" spans="4:42" ht="14.25">
      <c r="D25" s="487">
        <v>20.9</v>
      </c>
      <c r="E25" s="487" t="s">
        <v>370</v>
      </c>
      <c r="L25" s="499"/>
      <c r="AN25" s="598" t="s">
        <v>365</v>
      </c>
      <c r="AO25" s="599"/>
      <c r="AP25" s="608">
        <v>150</v>
      </c>
    </row>
    <row r="26" spans="4:42" ht="14.25">
      <c r="D26" s="487">
        <v>30.9</v>
      </c>
      <c r="E26" s="487" t="s">
        <v>371</v>
      </c>
      <c r="L26" s="499"/>
    </row>
    <row r="27" spans="4:42" ht="14.25">
      <c r="D27" s="487">
        <v>40.9</v>
      </c>
      <c r="E27" s="487" t="s">
        <v>372</v>
      </c>
      <c r="L27" s="500"/>
    </row>
    <row r="28" spans="4:42" ht="14.25">
      <c r="D28" s="487">
        <v>50.9</v>
      </c>
      <c r="E28" s="487" t="s">
        <v>373</v>
      </c>
      <c r="L28" s="499"/>
    </row>
    <row r="29" spans="4:42" ht="14.25">
      <c r="D29" s="487">
        <v>60.9</v>
      </c>
      <c r="E29" s="487" t="s">
        <v>374</v>
      </c>
      <c r="L29" s="499"/>
    </row>
    <row r="30" spans="4:42" ht="14.25">
      <c r="D30" s="487">
        <v>70.900000000000006</v>
      </c>
      <c r="E30" s="487" t="s">
        <v>375</v>
      </c>
      <c r="L30" s="499"/>
    </row>
    <row r="31" spans="4:42" ht="14.25">
      <c r="D31" s="487">
        <v>80.900000000000006</v>
      </c>
      <c r="E31" s="487" t="s">
        <v>376</v>
      </c>
      <c r="L31" s="499"/>
    </row>
    <row r="32" spans="4:42" ht="14.25">
      <c r="D32" s="487">
        <v>90.9</v>
      </c>
      <c r="E32" s="487" t="s">
        <v>377</v>
      </c>
      <c r="L32" s="499"/>
    </row>
    <row r="33" spans="4:12" ht="14.25">
      <c r="D33" s="487">
        <v>109</v>
      </c>
      <c r="E33" s="487" t="s">
        <v>378</v>
      </c>
      <c r="L33" s="499"/>
    </row>
    <row r="34" spans="4:12" ht="14.25">
      <c r="D34" s="487">
        <v>209</v>
      </c>
      <c r="E34" s="487" t="s">
        <v>379</v>
      </c>
      <c r="L34" s="499"/>
    </row>
    <row r="35" spans="4:12" ht="14.25">
      <c r="D35" s="487">
        <v>309</v>
      </c>
      <c r="E35" s="487" t="s">
        <v>380</v>
      </c>
      <c r="L35" s="499"/>
    </row>
    <row r="36" spans="4:12" ht="14.25">
      <c r="D36" s="487">
        <v>409</v>
      </c>
      <c r="E36" s="487" t="s">
        <v>381</v>
      </c>
      <c r="L36" s="499"/>
    </row>
    <row r="37" spans="4:12" ht="14.25">
      <c r="D37" s="487">
        <v>509</v>
      </c>
      <c r="E37" s="487" t="s">
        <v>382</v>
      </c>
      <c r="L37" s="499"/>
    </row>
    <row r="38" spans="4:12" ht="14.25">
      <c r="D38" s="487">
        <v>609</v>
      </c>
      <c r="E38" s="487" t="s">
        <v>383</v>
      </c>
      <c r="L38" s="499"/>
    </row>
    <row r="39" spans="4:12" ht="14.25">
      <c r="D39" s="487">
        <v>709</v>
      </c>
      <c r="E39" s="487" t="s">
        <v>384</v>
      </c>
      <c r="L39" s="499"/>
    </row>
    <row r="40" spans="4:12" ht="14.25">
      <c r="D40" s="487">
        <v>809</v>
      </c>
      <c r="E40" s="487" t="s">
        <v>385</v>
      </c>
      <c r="L40" s="499"/>
    </row>
    <row r="41" spans="4:12" ht="14.25">
      <c r="D41" s="487">
        <v>909</v>
      </c>
      <c r="E41" s="487" t="s">
        <v>386</v>
      </c>
      <c r="L41" s="499"/>
    </row>
    <row r="42" spans="4:12" ht="14.25">
      <c r="D42" s="487">
        <v>1090</v>
      </c>
      <c r="E42" s="487" t="s">
        <v>387</v>
      </c>
      <c r="L42" s="499"/>
    </row>
    <row r="43" spans="4:12" ht="14.25">
      <c r="D43" s="487">
        <v>2090</v>
      </c>
      <c r="E43" s="487" t="s">
        <v>388</v>
      </c>
      <c r="L43" s="499"/>
    </row>
    <row r="44" spans="4:12" ht="14.25">
      <c r="L44" s="499"/>
    </row>
    <row r="45" spans="4:12" ht="14.25">
      <c r="L45" s="499"/>
    </row>
    <row r="46" spans="4:12" ht="14.25">
      <c r="L46" s="499"/>
    </row>
    <row r="47" spans="4:12" ht="14.25">
      <c r="L47" s="499"/>
    </row>
    <row r="48" spans="4:12" ht="14.25">
      <c r="L48" s="499"/>
    </row>
    <row r="49" spans="12:12" ht="14.25">
      <c r="L49" s="499"/>
    </row>
    <row r="50" spans="12:12" ht="14.25">
      <c r="L50" s="499"/>
    </row>
    <row r="51" spans="12:12" ht="14.25">
      <c r="L51" s="499"/>
    </row>
  </sheetData>
  <phoneticPr fontId="13"/>
  <conditionalFormatting sqref="P6">
    <cfRule type="duplicateValues" dxfId="55" priority="7"/>
  </conditionalFormatting>
  <conditionalFormatting sqref="P7:P11 P13:P51">
    <cfRule type="duplicateValues" dxfId="54" priority="126"/>
  </conditionalFormatting>
  <conditionalFormatting sqref="AJ5:AJ51">
    <cfRule type="containsText" dxfId="53" priority="2" operator="containsText" text="Hybrid">
      <formula>NOT(ISERROR(SEARCH("Hybrid",AJ5)))</formula>
    </cfRule>
    <cfRule type="cellIs" dxfId="52" priority="3" operator="equal">
      <formula>"OS-CON"</formula>
    </cfRule>
    <cfRule type="cellIs" dxfId="51" priority="4" operator="equal">
      <formula>"POSCAP"</formula>
    </cfRule>
    <cfRule type="cellIs" dxfId="50" priority="5" operator="equal">
      <formula>"SP-Cap"</formula>
    </cfRule>
  </conditionalFormatting>
  <hyperlinks>
    <hyperlink ref="T6" r:id="rId2" xr:uid="{AEC6CB38-53BF-4855-87BC-9B3BEA68519B}"/>
    <hyperlink ref="T5" r:id="rId3" xr:uid="{7C58A1F5-165E-4A86-81F6-C16EFE534CA7}"/>
    <hyperlink ref="T11" r:id="rId4" xr:uid="{8616D3B6-378D-439E-9885-B0E1FE560102}"/>
    <hyperlink ref="T10" r:id="rId5" xr:uid="{839E706B-CB2B-4D0F-9E36-A600B433F29F}"/>
    <hyperlink ref="R10" r:id="rId6" xr:uid="{500C4585-B059-4067-8F7A-4E72D9D5B5F4}"/>
    <hyperlink ref="R6" r:id="rId7" xr:uid="{05483E4C-3AD4-43D5-BF3F-1E48E87205F9}"/>
    <hyperlink ref="R7" r:id="rId8" xr:uid="{01C0F0C8-DA26-40B5-98CC-1EC5BEDC0735}"/>
    <hyperlink ref="R8" r:id="rId9" xr:uid="{83FDCC66-F2A9-4333-8674-FA3C5DFDFE00}"/>
    <hyperlink ref="R9" r:id="rId10" xr:uid="{DDD17AFE-1B82-4B03-941F-7B0CDD0AA79B}"/>
    <hyperlink ref="R5" r:id="rId11" xr:uid="{94C3139E-723E-4405-9C0E-AF57B4A283D6}"/>
    <hyperlink ref="R11" r:id="rId12" xr:uid="{E49B06A7-19CC-47C1-8E0B-42844FC067E4}"/>
    <hyperlink ref="AB9" r:id="rId13" xr:uid="{04B2030C-4B49-4B34-91CA-3FA975F13F82}"/>
    <hyperlink ref="AB5" r:id="rId14" xr:uid="{73231258-26F7-4B41-8A36-4A0F5EFB2530}"/>
    <hyperlink ref="AB6" r:id="rId15" xr:uid="{42814455-1692-4141-BDBB-5732D81AEFAE}"/>
    <hyperlink ref="AB10" r:id="rId16" xr:uid="{6C2744BC-8726-4F49-BAAF-EA64DB756720}"/>
    <hyperlink ref="V11" r:id="rId17" xr:uid="{E84C2465-4910-47D8-A614-CA0DDA88E265}"/>
    <hyperlink ref="T8" r:id="rId18" xr:uid="{F8C83CE7-17B0-47E9-A54C-4AFF081AFCAC}"/>
    <hyperlink ref="V10" r:id="rId19" xr:uid="{4AB03214-A421-4548-8EEE-EC0E6A3AF4BB}"/>
    <hyperlink ref="Z9" r:id="rId20" xr:uid="{5EBE1D58-9F0C-4CFA-A124-9ABF2447FA65}"/>
    <hyperlink ref="V9" r:id="rId21" xr:uid="{42472C75-903E-4F9F-A8EA-7C1A764B479F}"/>
    <hyperlink ref="W11" r:id="rId22" xr:uid="{54D463CE-E204-4081-82CF-4ADA64BF1ED5}"/>
    <hyperlink ref="W9" r:id="rId23" xr:uid="{51BBB9B4-EE2F-47F1-9017-B04AFE24CFDD}"/>
    <hyperlink ref="AJ7" r:id="rId24" xr:uid="{73AA7717-CD42-4080-B373-DABEBB9AB0A7}"/>
    <hyperlink ref="W8" r:id="rId25" xr:uid="{9D6621E3-25BC-4209-9CD1-6C3750518760}"/>
    <hyperlink ref="V8" r:id="rId26" xr:uid="{68885FB3-9259-43AD-8CAF-DE962EE65BC4}"/>
    <hyperlink ref="W10" r:id="rId27" xr:uid="{B9539ABF-372B-401B-AD5E-68989AC75C37}"/>
    <hyperlink ref="AL7" r:id="rId28" xr:uid="{E8E3519D-BF61-408E-A129-82714FB3B932}"/>
    <hyperlink ref="V7" r:id="rId29" xr:uid="{1FE7589C-B1EA-4D8C-8640-D80BCC3B4990}"/>
    <hyperlink ref="W7" r:id="rId30" xr:uid="{7A6A29B5-E2F6-4D72-9B87-E91F7C4E5206}"/>
  </hyperlinks>
  <pageMargins left="0.7" right="0.7" top="0.75" bottom="0.75" header="0.3" footer="0.3"/>
  <pageSetup paperSize="9" orientation="portrait" r:id="rId31"/>
  <drawing r:id="rId32"/>
  <legacyDrawing r:id="rId3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8CA9C-02BA-49F0-A938-761BBAEAB7E8}">
  <sheetPr codeName="Sheet4"/>
  <dimension ref="A1:DT135"/>
  <sheetViews>
    <sheetView showGridLines="0" topLeftCell="D16" zoomScale="59" zoomScaleNormal="59" workbookViewId="0">
      <selection activeCell="P38" sqref="P38"/>
    </sheetView>
  </sheetViews>
  <sheetFormatPr defaultRowHeight="12"/>
  <cols>
    <col min="1" max="1" width="15.85546875" customWidth="1"/>
    <col min="2" max="4" width="6.7109375" customWidth="1"/>
    <col min="5" max="7" width="0.85546875" customWidth="1"/>
    <col min="8" max="16" width="6.7109375" customWidth="1"/>
    <col min="17" max="17" width="4.7109375" customWidth="1"/>
    <col min="18" max="18" width="4.7109375" style="434" customWidth="1"/>
    <col min="19" max="19" width="6.7109375" customWidth="1"/>
    <col min="20" max="20" width="12.140625" customWidth="1"/>
    <col min="21" max="45" width="6.7109375" customWidth="1"/>
    <col min="46" max="46" width="4.7109375" customWidth="1"/>
    <col min="47" max="47" width="4.7109375" style="434" customWidth="1"/>
    <col min="49" max="49" width="1.7109375" customWidth="1"/>
    <col min="50" max="60" width="4.7109375" customWidth="1"/>
    <col min="61" max="61" width="9.85546875" bestFit="1" customWidth="1"/>
    <col min="62" max="62" width="4.7109375" customWidth="1"/>
    <col min="63" max="63" width="4.7109375" style="434" customWidth="1"/>
    <col min="65" max="65" width="1.7109375" customWidth="1"/>
    <col min="66" max="72" width="4.7109375" customWidth="1"/>
    <col min="73" max="73" width="9.85546875" bestFit="1" customWidth="1"/>
    <col min="74" max="74" width="1.7109375" customWidth="1"/>
    <col min="75" max="81" width="4.7109375" customWidth="1"/>
    <col min="82" max="82" width="9.85546875" bestFit="1" customWidth="1"/>
    <col min="83" max="83" width="4.7109375" customWidth="1"/>
    <col min="85" max="85" width="1.7109375" customWidth="1"/>
    <col min="87" max="87" width="1.7109375" customWidth="1"/>
    <col min="88" max="88" width="9.85546875" bestFit="1" customWidth="1"/>
    <col min="89" max="89" width="1.7109375" customWidth="1"/>
    <col min="90" max="90" width="9.85546875" bestFit="1" customWidth="1"/>
    <col min="91" max="91" width="1.7109375" customWidth="1"/>
    <col min="93" max="93" width="1.7109375" customWidth="1"/>
    <col min="95" max="95" width="4.7109375" customWidth="1"/>
    <col min="96" max="96" width="4.7109375" style="434" customWidth="1"/>
    <col min="99" max="99" width="4.7109375" customWidth="1"/>
    <col min="100" max="100" width="4.7109375" style="434" customWidth="1"/>
    <col min="102" max="102" width="1.7109375" customWidth="1"/>
    <col min="103" max="104" width="4.7109375" customWidth="1"/>
    <col min="105" max="120" width="10.140625" customWidth="1"/>
  </cols>
  <sheetData>
    <row r="1" spans="4:100">
      <c r="R1"/>
      <c r="AU1"/>
      <c r="BK1"/>
      <c r="CR1"/>
      <c r="CV1"/>
    </row>
    <row r="2" spans="4:100">
      <c r="R2"/>
      <c r="AU2"/>
      <c r="BK2"/>
      <c r="CR2"/>
      <c r="CV2"/>
    </row>
    <row r="3" spans="4:100">
      <c r="R3"/>
      <c r="AU3"/>
      <c r="BK3"/>
      <c r="CR3"/>
      <c r="CV3"/>
    </row>
    <row r="4" spans="4:100">
      <c r="R4"/>
      <c r="AU4"/>
      <c r="BK4"/>
      <c r="CR4"/>
      <c r="CV4"/>
    </row>
    <row r="5" spans="4:100">
      <c r="R5"/>
      <c r="AU5"/>
      <c r="BK5"/>
      <c r="CR5"/>
      <c r="CV5"/>
    </row>
    <row r="6" spans="4:100">
      <c r="R6"/>
      <c r="AU6"/>
      <c r="BK6"/>
      <c r="CR6"/>
      <c r="CV6"/>
    </row>
    <row r="7" spans="4:100">
      <c r="R7"/>
      <c r="AU7"/>
      <c r="BK7"/>
      <c r="CR7"/>
      <c r="CV7"/>
    </row>
    <row r="8" spans="4:100">
      <c r="R8"/>
      <c r="AU8"/>
      <c r="BK8"/>
      <c r="CR8"/>
      <c r="CV8"/>
    </row>
    <row r="9" spans="4:100">
      <c r="R9"/>
      <c r="AU9"/>
      <c r="BK9"/>
      <c r="CR9"/>
      <c r="CV9"/>
    </row>
    <row r="10" spans="4:100">
      <c r="R10"/>
      <c r="AU10"/>
      <c r="BK10"/>
      <c r="CR10"/>
      <c r="CV10"/>
    </row>
    <row r="11" spans="4:100">
      <c r="R11"/>
      <c r="AU11"/>
      <c r="BK11"/>
      <c r="CR11"/>
      <c r="CV11"/>
    </row>
    <row r="12" spans="4:100">
      <c r="R12"/>
      <c r="AU12"/>
      <c r="BK12"/>
      <c r="CR12"/>
      <c r="CV12"/>
    </row>
    <row r="13" spans="4:100">
      <c r="R13"/>
      <c r="AU13"/>
      <c r="BK13"/>
      <c r="CR13"/>
      <c r="CV13"/>
    </row>
    <row r="14" spans="4:100">
      <c r="R14"/>
      <c r="AU14"/>
      <c r="BK14"/>
      <c r="CR14"/>
      <c r="CV14"/>
    </row>
    <row r="15" spans="4:100">
      <c r="R15"/>
      <c r="AU15"/>
      <c r="BK15"/>
      <c r="CR15"/>
      <c r="CV15"/>
    </row>
    <row r="16" spans="4:100" ht="15" customHeight="1">
      <c r="D16" s="331" t="s">
        <v>389</v>
      </c>
      <c r="S16" s="446" t="s">
        <v>390</v>
      </c>
      <c r="AU16"/>
      <c r="BK16"/>
      <c r="CR16"/>
      <c r="CV16"/>
    </row>
    <row r="17" spans="8:100" ht="15" customHeight="1">
      <c r="AL17" t="s">
        <v>391</v>
      </c>
      <c r="AU17"/>
      <c r="BK17"/>
      <c r="CR17"/>
      <c r="CV17"/>
    </row>
    <row r="18" spans="8:100" ht="15" customHeight="1">
      <c r="H18" s="530" t="s">
        <v>822</v>
      </c>
      <c r="U18" s="399"/>
      <c r="W18" s="449"/>
      <c r="X18" s="450"/>
      <c r="Y18" s="450"/>
      <c r="Z18" s="448"/>
      <c r="AA18" s="448"/>
      <c r="AF18" s="544" t="s">
        <v>827</v>
      </c>
      <c r="AG18" s="545" t="s">
        <v>831</v>
      </c>
      <c r="AH18" s="545" t="s">
        <v>831</v>
      </c>
      <c r="AL18" t="s">
        <v>392</v>
      </c>
      <c r="AM18" s="399"/>
      <c r="BK18"/>
      <c r="CR18"/>
      <c r="CV18"/>
    </row>
    <row r="19" spans="8:100" ht="15" customHeight="1">
      <c r="T19" s="412" t="s">
        <v>393</v>
      </c>
      <c r="U19" s="331" t="s">
        <v>394</v>
      </c>
      <c r="V19" s="451" t="s">
        <v>395</v>
      </c>
      <c r="W19" s="451" t="s">
        <v>396</v>
      </c>
      <c r="X19" s="451" t="s">
        <v>397</v>
      </c>
      <c r="Y19" s="451" t="s">
        <v>398</v>
      </c>
      <c r="Z19" s="451" t="s">
        <v>399</v>
      </c>
      <c r="AA19" s="451" t="s">
        <v>400</v>
      </c>
      <c r="AC19" s="460" t="s">
        <v>401</v>
      </c>
      <c r="AE19" s="457" t="s">
        <v>402</v>
      </c>
      <c r="AF19" s="458" t="s">
        <v>828</v>
      </c>
      <c r="AG19" s="546" t="s">
        <v>829</v>
      </c>
      <c r="AH19" s="546" t="s">
        <v>830</v>
      </c>
      <c r="BK19"/>
      <c r="CR19"/>
      <c r="CV19"/>
    </row>
    <row r="20" spans="8:100" ht="15" customHeight="1">
      <c r="H20" s="302"/>
      <c r="I20" s="323"/>
      <c r="J20" s="375" t="s">
        <v>232</v>
      </c>
      <c r="K20" s="302"/>
      <c r="L20" s="302"/>
      <c r="M20" s="302"/>
      <c r="N20" s="303"/>
      <c r="T20" s="532">
        <f>J29</f>
        <v>0.63194444444444442</v>
      </c>
      <c r="U20" s="449" t="s">
        <v>403</v>
      </c>
      <c r="V20" s="452">
        <f>$J$22/$J$21</f>
        <v>0.41666666666666669</v>
      </c>
      <c r="W20" s="479">
        <f>(1/$M$26)*($J$22/$J$21)*10^6</f>
        <v>0.20833333333333334</v>
      </c>
      <c r="X20" s="453">
        <f>$J$24/$J$27-(Y20/2)</f>
        <v>8.8461538461538467</v>
      </c>
      <c r="Y20" s="453">
        <f>($J$22/$J$21)*(($J$21-$J$22)/($M$26*T20*10^-6))</f>
        <v>2.3076923076923079</v>
      </c>
      <c r="Z20" s="454">
        <f>Y20*1/SQRT(3)</f>
        <v>1.3323467750529827</v>
      </c>
      <c r="AA20" s="454">
        <f>X20+Y20</f>
        <v>11.153846153846155</v>
      </c>
      <c r="AC20" s="461">
        <f>1/M26*1000000</f>
        <v>0.5</v>
      </c>
      <c r="AE20" s="447">
        <v>0</v>
      </c>
      <c r="AF20" s="447">
        <f>IF(X26&lt;=0,0,X26)</f>
        <v>8.8461538461538467</v>
      </c>
      <c r="AG20" s="378">
        <f>$J$24/$J$27</f>
        <v>10</v>
      </c>
      <c r="AH20" s="378">
        <f>ROUND(($J$22*$J$24/$J$27)/$J$21,2)</f>
        <v>4.17</v>
      </c>
      <c r="AL20" s="533" t="s">
        <v>395</v>
      </c>
      <c r="AM20" s="534" t="str">
        <f>IFERROR(ROUND(V26*100,2)&amp;"%","")</f>
        <v>41.67%</v>
      </c>
      <c r="AO20" s="331"/>
      <c r="AP20" s="447"/>
      <c r="AS20" s="447"/>
      <c r="BK20"/>
      <c r="CR20"/>
      <c r="CV20"/>
    </row>
    <row r="21" spans="8:100" ht="15" customHeight="1">
      <c r="H21" s="312" t="s">
        <v>233</v>
      </c>
      <c r="I21" s="312"/>
      <c r="J21" s="382">
        <f>'DCDC Ref'!J21</f>
        <v>12</v>
      </c>
      <c r="K21" s="305"/>
      <c r="L21" s="363" t="s">
        <v>234</v>
      </c>
      <c r="M21" s="58"/>
      <c r="N21" s="303"/>
      <c r="T21" s="39"/>
      <c r="U21" s="449" t="s">
        <v>404</v>
      </c>
      <c r="V21" s="471">
        <f>($J$22-$J$21)/$J$22</f>
        <v>-1.4</v>
      </c>
      <c r="W21" s="455">
        <f>(1/$M$26)*(($J$22-$J$21)/$J$22)*10^6</f>
        <v>-0.7</v>
      </c>
      <c r="X21" s="453">
        <f>($J$24/$J$27)*($J$22/$J$21)-(Y21/2)</f>
        <v>10.812820512820513</v>
      </c>
      <c r="Y21" s="453">
        <f>($J$21*(($J$22-$J$21)/$J$22))/($M$26*T20*10^-6)</f>
        <v>-13.292307692307693</v>
      </c>
      <c r="Z21" s="454">
        <f t="shared" ref="Z21:Z22" si="0">Y21*1/SQRT(3)</f>
        <v>-7.6743174243051806</v>
      </c>
      <c r="AA21" s="454">
        <f t="shared" ref="AA21:AA22" si="1">X21+Y21</f>
        <v>-2.4794871794871796</v>
      </c>
      <c r="AE21" s="447">
        <f>W26</f>
        <v>0.20833333333333334</v>
      </c>
      <c r="AF21" s="447">
        <f>AA26</f>
        <v>11.153846153846155</v>
      </c>
      <c r="AG21" s="378">
        <f t="shared" ref="AG21:AG30" si="2">$J$24/$J$27</f>
        <v>10</v>
      </c>
      <c r="AH21" s="378">
        <f t="shared" ref="AH21:AH30" si="3">ROUND(($J$22*$J$24/$J$27)/$J$21,2)</f>
        <v>4.17</v>
      </c>
      <c r="AL21" s="535" t="s">
        <v>400</v>
      </c>
      <c r="AM21" s="536" t="str">
        <f>IFERROR(ROUND(AA26,2)&amp;"A","")</f>
        <v>11.15A</v>
      </c>
      <c r="AP21" s="541"/>
      <c r="BK21"/>
      <c r="CR21"/>
      <c r="CV21"/>
    </row>
    <row r="22" spans="8:100" ht="15" customHeight="1">
      <c r="H22" s="302" t="s">
        <v>240</v>
      </c>
      <c r="I22" s="302"/>
      <c r="J22" s="382">
        <f>'DCDC Ref'!J22</f>
        <v>5</v>
      </c>
      <c r="K22" s="305"/>
      <c r="L22" s="363" t="s">
        <v>234</v>
      </c>
      <c r="M22" s="58"/>
      <c r="N22" s="364"/>
      <c r="T22" s="39"/>
      <c r="U22" s="448" t="s">
        <v>405</v>
      </c>
      <c r="V22" s="471">
        <f>$J$22/($J$21+$J$22)</f>
        <v>0.29411764705882354</v>
      </c>
      <c r="W22" s="455">
        <f>(1/$M$26)*$J$22/($J$21+$J$22)*10^6</f>
        <v>0.14705882352941174</v>
      </c>
      <c r="X22" s="453">
        <f>($J$24/$J$27)+($J$24*($J$22/$J$21)-(Y22/2))</f>
        <v>13.012820512820513</v>
      </c>
      <c r="Y22" s="453">
        <f>(MAX($J$21:$J$22)-MIN($J$21:$J$22))*(MIN($J$21:$J$22)/MAX($J$21:$J$22))/($M$26*(T20/10^6))</f>
        <v>2.3076923076923079</v>
      </c>
      <c r="Z22" s="454">
        <f t="shared" si="0"/>
        <v>1.3323467750529827</v>
      </c>
      <c r="AA22" s="454">
        <f t="shared" si="1"/>
        <v>15.320512820512821</v>
      </c>
      <c r="AE22" s="447">
        <f>AC20</f>
        <v>0.5</v>
      </c>
      <c r="AF22" s="447">
        <f>$AF$20</f>
        <v>8.8461538461538467</v>
      </c>
      <c r="AG22" s="378">
        <f t="shared" si="2"/>
        <v>10</v>
      </c>
      <c r="AH22" s="378">
        <f t="shared" si="3"/>
        <v>4.17</v>
      </c>
      <c r="AL22" s="535" t="s">
        <v>398</v>
      </c>
      <c r="AM22" s="536" t="str">
        <f>IFERROR(ROUND(Y26,2)&amp;"A","")</f>
        <v>2.31A</v>
      </c>
      <c r="AN22" s="426" t="s">
        <v>825</v>
      </c>
      <c r="AO22" s="331" t="s">
        <v>236</v>
      </c>
      <c r="AP22" t="str">
        <f>J24/J27&amp;"A"</f>
        <v>10A</v>
      </c>
      <c r="AQ22" s="539" t="s">
        <v>824</v>
      </c>
      <c r="AR22" s="540">
        <f>Y20/J27/J24</f>
        <v>0.23076923076923078</v>
      </c>
      <c r="AS22" s="331" t="s">
        <v>823</v>
      </c>
      <c r="BK22"/>
      <c r="CR22"/>
      <c r="CV22"/>
    </row>
    <row r="23" spans="8:100" ht="15" customHeight="1">
      <c r="H23" s="302" t="s">
        <v>241</v>
      </c>
      <c r="I23" s="302"/>
      <c r="J23" s="368" t="str">
        <f>'DCDC Ref'!J23</f>
        <v>Buck</v>
      </c>
      <c r="K23" s="3" t="str">
        <f>'DCDC Ref'!K23</f>
        <v>-</v>
      </c>
      <c r="L23" s="3"/>
      <c r="M23" s="390">
        <f>(J22*(J21-J22))/(M26*M28*(J24/J27)*J21)*M29</f>
        <v>6.3194444444444444E-7</v>
      </c>
      <c r="N23" s="364"/>
      <c r="T23" s="39"/>
      <c r="U23" s="456"/>
      <c r="V23" s="450"/>
      <c r="W23" s="450"/>
      <c r="X23" s="450"/>
      <c r="Y23" s="450"/>
      <c r="Z23" s="450"/>
      <c r="AA23" s="399"/>
      <c r="AE23" s="447">
        <f>AE21+AE22</f>
        <v>0.70833333333333337</v>
      </c>
      <c r="AF23" s="447">
        <f>$AF$21</f>
        <v>11.153846153846155</v>
      </c>
      <c r="AG23" s="378">
        <f t="shared" si="2"/>
        <v>10</v>
      </c>
      <c r="AH23" s="378">
        <f t="shared" si="3"/>
        <v>4.17</v>
      </c>
      <c r="AL23" s="537" t="s">
        <v>397</v>
      </c>
      <c r="AM23" s="538" t="str">
        <f>IFERROR(ROUND(X26,2)&amp;"A","")</f>
        <v>8.85A</v>
      </c>
      <c r="AO23" s="331" t="s">
        <v>826</v>
      </c>
      <c r="AP23" t="str">
        <f>ROUND((J22*J24/J27)/J21,2)&amp;"A"</f>
        <v>4.17A</v>
      </c>
      <c r="AR23" s="447"/>
      <c r="BK23"/>
      <c r="CR23"/>
      <c r="CV23"/>
    </row>
    <row r="24" spans="8:100" ht="15" customHeight="1">
      <c r="H24" s="302" t="s">
        <v>242</v>
      </c>
      <c r="I24" s="302"/>
      <c r="J24" s="383">
        <f>'DCDC Ref'!J24</f>
        <v>10</v>
      </c>
      <c r="K24" s="300"/>
      <c r="L24" s="363" t="s">
        <v>243</v>
      </c>
      <c r="M24" s="391">
        <f>(J21^2*(J22-J21))/(M26*M28*(J24/J27)*J22^2)*M29</f>
        <v>-8.7360000000000007E-6</v>
      </c>
      <c r="N24" s="365"/>
      <c r="R24" s="459"/>
      <c r="T24" s="39"/>
      <c r="U24" s="331" t="s">
        <v>406</v>
      </c>
      <c r="AE24" s="447">
        <f>AE22*2</f>
        <v>1</v>
      </c>
      <c r="AF24" s="447">
        <f>$AF$20</f>
        <v>8.8461538461538467</v>
      </c>
      <c r="AG24" s="378">
        <f t="shared" si="2"/>
        <v>10</v>
      </c>
      <c r="AH24" s="378">
        <f t="shared" si="3"/>
        <v>4.17</v>
      </c>
      <c r="AO24" t="s">
        <v>832</v>
      </c>
      <c r="BK24"/>
      <c r="CR24"/>
      <c r="CV24"/>
    </row>
    <row r="25" spans="8:100" ht="15" customHeight="1">
      <c r="H25" s="302"/>
      <c r="I25" s="381" t="s">
        <v>244</v>
      </c>
      <c r="J25" s="388">
        <f>'DCDC Ref'!J28</f>
        <v>11.153846153846155</v>
      </c>
      <c r="K25" s="362"/>
      <c r="L25" s="362" t="s">
        <v>245</v>
      </c>
      <c r="M25" s="39"/>
      <c r="N25" s="377"/>
      <c r="R25" s="459"/>
      <c r="T25" s="456"/>
      <c r="U25" t="s">
        <v>407</v>
      </c>
      <c r="V25" s="443" t="s">
        <v>395</v>
      </c>
      <c r="W25" s="443" t="s">
        <v>396</v>
      </c>
      <c r="X25" s="443" t="s">
        <v>397</v>
      </c>
      <c r="Y25" s="443" t="s">
        <v>398</v>
      </c>
      <c r="Z25" s="443" t="s">
        <v>399</v>
      </c>
      <c r="AA25" s="443" t="s">
        <v>400</v>
      </c>
      <c r="AE25" s="447">
        <f>AE24+AE21</f>
        <v>1.2083333333333333</v>
      </c>
      <c r="AF25" s="447">
        <f>$AF$21</f>
        <v>11.153846153846155</v>
      </c>
      <c r="AG25" s="378">
        <f t="shared" si="2"/>
        <v>10</v>
      </c>
      <c r="AH25" s="378">
        <f t="shared" si="3"/>
        <v>4.17</v>
      </c>
      <c r="AL25" s="542"/>
      <c r="AM25" s="543"/>
      <c r="AO25" t="s">
        <v>833</v>
      </c>
      <c r="BK25"/>
      <c r="CR25"/>
      <c r="CV25"/>
    </row>
    <row r="26" spans="8:100" ht="15" customHeight="1">
      <c r="H26" s="302" t="s">
        <v>246</v>
      </c>
      <c r="I26" s="302"/>
      <c r="J26" s="382">
        <f>'DCDC Ref'!J25</f>
        <v>2000</v>
      </c>
      <c r="K26" s="305"/>
      <c r="L26" s="363" t="s">
        <v>247</v>
      </c>
      <c r="M26" s="392">
        <f>J26*1000</f>
        <v>2000000</v>
      </c>
      <c r="N26" s="365"/>
      <c r="R26" s="459"/>
      <c r="S26" s="39"/>
      <c r="T26" s="456"/>
      <c r="U26" s="399"/>
      <c r="V26" s="472">
        <f>IF(K23="(Buck-boost)",V22,IF($J$23="Buck",V20,IF($J$23="Boost",V21,"")))</f>
        <v>0.41666666666666669</v>
      </c>
      <c r="W26" s="447">
        <f>IF(K23="(Buck-boost)",W22,IF($J$23="Buck",W20,IF($J$23="Boost",W21,"")))</f>
        <v>0.20833333333333334</v>
      </c>
      <c r="X26" s="447">
        <f>IF(K23="(Buck-boost)",X22,IF($J$23="Buck",X20,IF($J$23="Boost",X21,"")))</f>
        <v>8.8461538461538467</v>
      </c>
      <c r="Y26" s="447">
        <f>IF(K23="(Buck-boost)",Y22,IF($J$23="Buck",Y20,IF($J$23="Boost",Y21,"")))</f>
        <v>2.3076923076923079</v>
      </c>
      <c r="Z26" s="447">
        <f>IF(K23="(Buck-boost)",Z22,IF($J$23="Buck",Z20,IF($J$23="Boost",Z21,"")))</f>
        <v>1.3323467750529827</v>
      </c>
      <c r="AA26" s="447">
        <f>IF(K23="(Buck-boost)",AA22,IF($J$23="Buck",AA20,IF($J$23="Boost",AA21,"")))</f>
        <v>11.153846153846155</v>
      </c>
      <c r="AE26" s="447">
        <f>AE22*3</f>
        <v>1.5</v>
      </c>
      <c r="AF26" s="447">
        <f>$AF$20</f>
        <v>8.8461538461538467</v>
      </c>
      <c r="AG26" s="378">
        <f t="shared" si="2"/>
        <v>10</v>
      </c>
      <c r="AH26" s="378">
        <f t="shared" si="3"/>
        <v>4.17</v>
      </c>
      <c r="BK26"/>
      <c r="CR26"/>
      <c r="CV26"/>
    </row>
    <row r="27" spans="8:100" ht="15" customHeight="1">
      <c r="H27" s="302" t="s">
        <v>248</v>
      </c>
      <c r="I27" s="302"/>
      <c r="J27" s="382">
        <f>'DCDC Ref'!J26</f>
        <v>1</v>
      </c>
      <c r="K27" s="305"/>
      <c r="L27" s="363" t="s">
        <v>249</v>
      </c>
      <c r="M27" s="390"/>
      <c r="N27" s="365"/>
      <c r="R27" s="459"/>
      <c r="S27" s="39"/>
      <c r="T27" s="456"/>
      <c r="AB27" s="447"/>
      <c r="AC27" s="447"/>
      <c r="AD27" s="447"/>
      <c r="AE27" s="462">
        <f>AE26+AE21</f>
        <v>1.7083333333333333</v>
      </c>
      <c r="AF27" s="447">
        <f>$AF$21</f>
        <v>11.153846153846155</v>
      </c>
      <c r="AG27" s="378">
        <f t="shared" si="2"/>
        <v>10</v>
      </c>
      <c r="AH27" s="378">
        <f t="shared" si="3"/>
        <v>4.17</v>
      </c>
      <c r="BK27"/>
      <c r="CR27"/>
      <c r="CV27"/>
    </row>
    <row r="28" spans="8:100" ht="15" customHeight="1">
      <c r="H28" s="302" t="s">
        <v>250</v>
      </c>
      <c r="I28" s="302"/>
      <c r="J28" s="382">
        <f>'DCDC Ref'!J27</f>
        <v>30</v>
      </c>
      <c r="K28" s="305"/>
      <c r="L28" s="363" t="s">
        <v>245</v>
      </c>
      <c r="M28" s="442">
        <f>'DCDC Ref'!M28</f>
        <v>0.3</v>
      </c>
      <c r="N28" s="365"/>
      <c r="R28" s="459"/>
      <c r="S28" s="39"/>
      <c r="T28" s="456"/>
      <c r="AE28" s="447">
        <f>AE22*4</f>
        <v>2</v>
      </c>
      <c r="AF28" s="447">
        <f>$AF$20</f>
        <v>8.8461538461538467</v>
      </c>
      <c r="AG28" s="378">
        <f t="shared" si="2"/>
        <v>10</v>
      </c>
      <c r="AH28" s="378">
        <f t="shared" si="3"/>
        <v>4.17</v>
      </c>
      <c r="BK28"/>
      <c r="CR28"/>
      <c r="CV28"/>
    </row>
    <row r="29" spans="8:100" ht="15" customHeight="1">
      <c r="H29" s="302" t="s">
        <v>251</v>
      </c>
      <c r="I29" s="302"/>
      <c r="J29" s="531">
        <f>'DCDC Ref'!J30</f>
        <v>0.63194444444444442</v>
      </c>
      <c r="K29" s="305"/>
      <c r="L29" s="363" t="s">
        <v>252</v>
      </c>
      <c r="M29" s="393">
        <f>IF(COUNTIF(N29,"*sat*"),1.3,1)</f>
        <v>1.3</v>
      </c>
      <c r="N29" s="389" t="str">
        <f>'DCDC Ref'!N30</f>
        <v>Consider sat.(x1.3)</v>
      </c>
      <c r="R29" s="459"/>
      <c r="S29" s="39"/>
      <c r="T29" s="456"/>
      <c r="AE29" s="462">
        <f>AE28+AE21</f>
        <v>2.2083333333333335</v>
      </c>
      <c r="AF29" s="447">
        <f>$AF$21</f>
        <v>11.153846153846155</v>
      </c>
      <c r="AG29" s="378">
        <f t="shared" si="2"/>
        <v>10</v>
      </c>
      <c r="AH29" s="378">
        <f t="shared" si="3"/>
        <v>4.17</v>
      </c>
      <c r="BK29"/>
      <c r="CR29"/>
      <c r="CV29"/>
    </row>
    <row r="30" spans="8:100" ht="15" customHeight="1">
      <c r="H30" s="302"/>
      <c r="I30" s="381" t="s">
        <v>244</v>
      </c>
      <c r="J30" s="387">
        <f>'DCDC Ref'!J31</f>
        <v>130</v>
      </c>
      <c r="K30" s="362"/>
      <c r="L30" s="376" t="s">
        <v>245</v>
      </c>
      <c r="M30" s="392"/>
      <c r="N30" s="377"/>
      <c r="R30" s="459"/>
      <c r="S30" s="39"/>
      <c r="T30" s="399"/>
      <c r="AE30" s="447">
        <f>AE22*5</f>
        <v>2.5</v>
      </c>
      <c r="AF30" s="447">
        <f>$AF$20</f>
        <v>8.8461538461538467</v>
      </c>
      <c r="AG30" s="378">
        <f t="shared" si="2"/>
        <v>10</v>
      </c>
      <c r="AH30" s="378">
        <f t="shared" si="3"/>
        <v>4.17</v>
      </c>
      <c r="BK30"/>
      <c r="CR30"/>
      <c r="CV30"/>
    </row>
    <row r="31" spans="8:100" ht="15" customHeight="1">
      <c r="H31" s="302"/>
      <c r="I31" s="381" t="s">
        <v>244</v>
      </c>
      <c r="J31" s="387">
        <f>'DCDC Ref'!J32</f>
        <v>70</v>
      </c>
      <c r="K31" s="362"/>
      <c r="L31" s="376" t="s">
        <v>245</v>
      </c>
      <c r="M31" s="390"/>
      <c r="N31" s="377"/>
      <c r="R31" s="435"/>
      <c r="S31" s="399"/>
      <c r="BK31"/>
      <c r="CR31"/>
      <c r="CV31"/>
    </row>
    <row r="32" spans="8:100" ht="15" customHeight="1">
      <c r="H32" s="302"/>
      <c r="I32" s="302"/>
      <c r="J32" s="302"/>
      <c r="K32" s="302"/>
      <c r="L32" s="317"/>
      <c r="M32" s="317"/>
      <c r="N32" s="304"/>
      <c r="X32" s="447"/>
      <c r="Y32" s="447"/>
      <c r="Z32" s="447"/>
      <c r="AU32"/>
      <c r="BK32"/>
      <c r="CR32"/>
      <c r="CV32"/>
    </row>
    <row r="33" spans="1:122" ht="15" customHeight="1">
      <c r="H33" s="302"/>
      <c r="I33" s="302"/>
      <c r="J33" s="302"/>
      <c r="K33" s="302"/>
      <c r="L33" s="317"/>
      <c r="M33" s="317"/>
      <c r="N33" s="304"/>
      <c r="AU33"/>
      <c r="BK33"/>
      <c r="CR33"/>
      <c r="CV33"/>
    </row>
    <row r="34" spans="1:122" ht="15" customHeight="1">
      <c r="H34" s="302"/>
      <c r="I34" s="302"/>
      <c r="J34" s="302"/>
      <c r="K34" s="302"/>
      <c r="L34" s="317"/>
      <c r="M34" s="317"/>
      <c r="N34" s="304"/>
      <c r="AU34"/>
      <c r="BK34"/>
      <c r="CR34"/>
      <c r="CV34"/>
    </row>
    <row r="35" spans="1:122" ht="15" customHeight="1">
      <c r="H35" s="302"/>
      <c r="I35" s="302"/>
      <c r="J35" s="302"/>
      <c r="K35" s="302"/>
      <c r="L35" s="317"/>
      <c r="M35" s="317"/>
      <c r="N35" s="304"/>
      <c r="AU35"/>
      <c r="BK35"/>
      <c r="CR35"/>
      <c r="CV35"/>
    </row>
    <row r="36" spans="1:122" ht="15" customHeight="1">
      <c r="H36" s="302" t="s">
        <v>256</v>
      </c>
      <c r="I36" s="302"/>
      <c r="J36" s="50">
        <f>'DCDC Ref'!J33</f>
        <v>20</v>
      </c>
      <c r="K36" s="302"/>
      <c r="L36" s="317" t="s">
        <v>257</v>
      </c>
      <c r="M36" s="317"/>
      <c r="N36" s="304"/>
      <c r="AU36"/>
      <c r="BK36"/>
      <c r="CR36"/>
      <c r="CV36"/>
    </row>
    <row r="37" spans="1:122" ht="15" customHeight="1">
      <c r="R37"/>
      <c r="AU37"/>
      <c r="BK37"/>
      <c r="CR37"/>
      <c r="CV37"/>
    </row>
    <row r="38" spans="1:122">
      <c r="R38"/>
      <c r="AU38"/>
      <c r="BK38"/>
      <c r="CR38"/>
      <c r="CV38"/>
    </row>
    <row r="39" spans="1:122">
      <c r="R39"/>
      <c r="AU39"/>
      <c r="BK39"/>
      <c r="CR39"/>
      <c r="CV39"/>
    </row>
    <row r="40" spans="1:122">
      <c r="R40"/>
      <c r="AU40"/>
      <c r="BK40"/>
      <c r="CR40"/>
      <c r="CV40"/>
    </row>
    <row r="41" spans="1:122">
      <c r="R41"/>
      <c r="AU41"/>
      <c r="BK41"/>
      <c r="CR41"/>
      <c r="CV41"/>
    </row>
    <row r="42" spans="1:122" ht="12.75">
      <c r="B42" s="331"/>
      <c r="C42" s="331"/>
      <c r="E42" s="331"/>
      <c r="F42" s="331"/>
      <c r="G42" s="331"/>
      <c r="H42" s="331"/>
      <c r="I42" s="331"/>
      <c r="J42" s="331"/>
      <c r="K42" s="331"/>
      <c r="L42" s="331" t="s">
        <v>408</v>
      </c>
      <c r="M42" s="331"/>
      <c r="N42" s="331"/>
      <c r="O42" s="331"/>
      <c r="P42" s="331"/>
      <c r="Q42" s="331"/>
      <c r="R42" s="445"/>
      <c r="S42" s="331" t="s">
        <v>409</v>
      </c>
      <c r="T42" s="331"/>
      <c r="U42" s="331"/>
      <c r="V42" s="331"/>
      <c r="W42" s="331"/>
      <c r="X42" s="331"/>
      <c r="Y42" s="331"/>
      <c r="Z42" s="331"/>
      <c r="AA42" s="331"/>
      <c r="AB42" s="331"/>
      <c r="AC42" s="331"/>
      <c r="AD42" s="331"/>
      <c r="AE42" s="331"/>
      <c r="AF42" s="331"/>
      <c r="AG42" s="331"/>
      <c r="AH42" s="331"/>
      <c r="AI42" s="331"/>
      <c r="AJ42" s="331"/>
      <c r="AK42" s="331"/>
      <c r="AL42" s="331"/>
      <c r="AM42" s="331"/>
      <c r="AN42" s="331"/>
      <c r="AO42" s="331"/>
      <c r="AP42" s="331"/>
      <c r="AQ42" s="331"/>
      <c r="AR42" s="331"/>
      <c r="AS42" s="331"/>
      <c r="AV42" s="412" t="s">
        <v>410</v>
      </c>
      <c r="BJ42" s="399"/>
      <c r="BK42" s="435"/>
      <c r="BL42" s="412" t="s">
        <v>411</v>
      </c>
      <c r="BM42" s="399"/>
      <c r="BN42" s="400"/>
      <c r="BO42" s="401"/>
      <c r="CS42" s="412" t="s">
        <v>412</v>
      </c>
      <c r="CW42" s="412" t="s">
        <v>413</v>
      </c>
      <c r="CX42" s="399"/>
    </row>
    <row r="43" spans="1:122" ht="12.75">
      <c r="A43" s="399"/>
      <c r="B43" s="399"/>
      <c r="C43" s="399"/>
      <c r="D43" s="399"/>
      <c r="E43" s="399"/>
      <c r="F43" s="399"/>
      <c r="G43" s="399"/>
      <c r="H43" s="399"/>
      <c r="I43" s="399"/>
      <c r="J43" s="399"/>
      <c r="K43" s="399"/>
      <c r="L43" s="399"/>
      <c r="M43" s="399"/>
      <c r="N43" s="399"/>
      <c r="O43" s="399"/>
      <c r="P43" s="399"/>
      <c r="Q43" s="399"/>
      <c r="R43" s="435"/>
      <c r="S43" s="399"/>
      <c r="T43" s="399"/>
      <c r="U43" s="399"/>
      <c r="V43" s="399"/>
      <c r="W43" s="399"/>
      <c r="X43" s="399"/>
      <c r="Y43" s="399"/>
      <c r="Z43" s="399"/>
      <c r="AA43" s="399"/>
      <c r="AB43" s="399"/>
      <c r="AC43" s="399"/>
      <c r="AD43" s="399"/>
      <c r="AE43" s="399"/>
      <c r="AF43" s="399"/>
      <c r="AG43" s="399"/>
      <c r="AH43" s="399"/>
      <c r="AI43" s="399"/>
      <c r="AJ43" s="399"/>
      <c r="AK43" s="399"/>
      <c r="AL43" s="399"/>
      <c r="AM43" s="399"/>
      <c r="AN43" s="399"/>
      <c r="AO43" s="399"/>
      <c r="AP43" s="399"/>
      <c r="AQ43" s="399"/>
      <c r="AR43" s="399"/>
      <c r="AS43" s="399"/>
      <c r="AT43" s="399"/>
      <c r="AU43" s="435"/>
      <c r="AV43" s="419" t="s">
        <v>414</v>
      </c>
      <c r="BL43" s="419" t="s">
        <v>415</v>
      </c>
      <c r="BM43" s="399"/>
      <c r="BN43" s="399"/>
      <c r="BO43" s="401"/>
      <c r="CL43" s="419" t="s">
        <v>416</v>
      </c>
      <c r="CN43" s="419" t="s">
        <v>417</v>
      </c>
      <c r="CW43" s="399"/>
      <c r="CX43" s="428" t="s">
        <v>418</v>
      </c>
    </row>
    <row r="44" spans="1:122" ht="12.75">
      <c r="BJ44" s="399"/>
      <c r="BK44" s="435"/>
      <c r="BL44" s="419" t="s">
        <v>419</v>
      </c>
      <c r="BM44" s="399"/>
      <c r="BO44" s="403"/>
      <c r="CW44" s="399"/>
      <c r="CX44" s="428" t="s">
        <v>420</v>
      </c>
    </row>
    <row r="45" spans="1:122" ht="12.75">
      <c r="BJ45" s="399"/>
      <c r="BK45" s="435"/>
      <c r="BM45" s="399"/>
      <c r="BO45" s="403"/>
      <c r="DR45" s="402" t="s">
        <v>421</v>
      </c>
    </row>
    <row r="46" spans="1:122" ht="12.75">
      <c r="AV46" s="418" t="s">
        <v>422</v>
      </c>
      <c r="AW46" s="399"/>
      <c r="AX46" s="399"/>
      <c r="AY46" s="399"/>
      <c r="AZ46" s="399"/>
      <c r="BA46" s="399"/>
      <c r="BB46" s="399"/>
      <c r="BC46" s="399"/>
      <c r="BD46" s="399"/>
      <c r="BE46" s="399"/>
      <c r="BF46" s="399"/>
      <c r="BG46" s="399"/>
      <c r="BJ46" s="399"/>
      <c r="BK46" s="435"/>
      <c r="BL46" s="418" t="s">
        <v>423</v>
      </c>
      <c r="BM46" s="399"/>
      <c r="BO46" s="401"/>
      <c r="CJ46" s="421" t="s">
        <v>424</v>
      </c>
      <c r="CL46" s="421" t="s">
        <v>425</v>
      </c>
      <c r="CN46" s="421" t="s">
        <v>426</v>
      </c>
      <c r="CP46" s="421" t="s">
        <v>427</v>
      </c>
      <c r="CS46" s="421" t="s">
        <v>428</v>
      </c>
      <c r="DR46" s="407" t="s">
        <v>429</v>
      </c>
    </row>
    <row r="47" spans="1:122" ht="12.75">
      <c r="AW47" s="401"/>
      <c r="AX47" s="399"/>
      <c r="AY47" s="399"/>
      <c r="AZ47" s="399"/>
      <c r="BA47" s="399"/>
      <c r="BB47" s="399"/>
      <c r="BC47" s="399"/>
      <c r="BD47" s="399"/>
      <c r="BE47" s="399"/>
      <c r="BF47" s="399"/>
      <c r="BG47" s="399"/>
      <c r="BJ47" s="399"/>
      <c r="BK47" s="435"/>
      <c r="BM47" s="399"/>
      <c r="BO47" s="401"/>
      <c r="CQ47" s="401"/>
      <c r="CR47" s="435"/>
      <c r="DR47" s="407" t="s">
        <v>430</v>
      </c>
    </row>
    <row r="48" spans="1:122" ht="12.75">
      <c r="A48" s="399"/>
      <c r="B48" s="399"/>
      <c r="C48" s="399"/>
      <c r="D48" s="399"/>
      <c r="E48" s="399"/>
      <c r="F48" s="399"/>
      <c r="G48" s="399"/>
      <c r="H48" s="399"/>
      <c r="I48" s="399"/>
      <c r="J48" s="399"/>
      <c r="K48" s="399"/>
      <c r="L48" s="399"/>
      <c r="M48" s="399"/>
      <c r="N48" s="399"/>
      <c r="O48" s="399"/>
      <c r="P48" s="399"/>
      <c r="Q48" s="399"/>
      <c r="R48" s="435"/>
      <c r="S48" s="399"/>
      <c r="T48" s="399"/>
      <c r="U48" s="399"/>
      <c r="V48" s="473" t="s">
        <v>431</v>
      </c>
      <c r="W48" s="474"/>
      <c r="X48" s="474"/>
      <c r="Y48" s="474"/>
      <c r="Z48" s="474"/>
      <c r="AA48" s="474"/>
      <c r="AB48" s="473" t="s">
        <v>432</v>
      </c>
      <c r="AC48" s="474"/>
      <c r="AD48" s="474"/>
      <c r="AE48" s="474"/>
      <c r="AF48" s="474"/>
      <c r="AG48" s="474"/>
      <c r="AH48" s="473" t="s">
        <v>433</v>
      </c>
      <c r="AI48" s="474"/>
      <c r="AJ48" s="474"/>
      <c r="AK48" s="474"/>
      <c r="AL48" s="474"/>
      <c r="AM48" s="399"/>
      <c r="AN48" s="399" t="s">
        <v>407</v>
      </c>
      <c r="AO48" s="399"/>
      <c r="AP48" s="399"/>
      <c r="AQ48" s="399"/>
      <c r="AR48" s="399"/>
      <c r="AS48" s="399"/>
      <c r="AT48" s="399"/>
      <c r="AU48" s="435"/>
      <c r="AV48" t="s">
        <v>434</v>
      </c>
      <c r="AW48" s="401"/>
      <c r="AX48" s="399"/>
      <c r="AY48" s="399"/>
      <c r="AZ48" s="399"/>
      <c r="BA48" s="399"/>
      <c r="BB48" s="399"/>
      <c r="BC48" s="399"/>
      <c r="BD48" s="399"/>
      <c r="BE48" s="399"/>
      <c r="BF48" s="399"/>
      <c r="BG48" t="s">
        <v>434</v>
      </c>
      <c r="CN48" t="s">
        <v>434</v>
      </c>
      <c r="CP48" t="s">
        <v>434</v>
      </c>
      <c r="DM48" t="s">
        <v>434</v>
      </c>
    </row>
    <row r="49" spans="1:124" ht="12.75">
      <c r="A49" s="399"/>
      <c r="B49" s="399"/>
      <c r="C49" s="399"/>
      <c r="D49" s="399"/>
      <c r="E49" s="399"/>
      <c r="F49" s="399"/>
      <c r="G49" s="399"/>
      <c r="H49" s="399"/>
      <c r="I49" s="399"/>
      <c r="J49" s="399"/>
      <c r="K49" s="399"/>
      <c r="L49" s="399"/>
      <c r="M49" s="399"/>
      <c r="N49" s="399"/>
      <c r="O49" s="399"/>
      <c r="P49" s="399"/>
      <c r="Q49" s="399"/>
      <c r="R49" s="435"/>
      <c r="S49" s="399"/>
      <c r="T49" s="412" t="s">
        <v>435</v>
      </c>
      <c r="U49" s="399"/>
      <c r="V49" s="475" t="s">
        <v>436</v>
      </c>
      <c r="W49" s="475"/>
      <c r="X49" s="378"/>
      <c r="Y49" s="474"/>
      <c r="Z49" s="474"/>
      <c r="AA49" s="474"/>
      <c r="AB49" s="475" t="s">
        <v>437</v>
      </c>
      <c r="AC49" s="475"/>
      <c r="AD49" s="378"/>
      <c r="AE49" s="474"/>
      <c r="AF49" s="474"/>
      <c r="AG49" s="474"/>
      <c r="AH49" s="474" t="s">
        <v>438</v>
      </c>
      <c r="AI49" s="378"/>
      <c r="AJ49" s="378"/>
      <c r="AK49" s="378"/>
      <c r="AL49" s="378"/>
      <c r="AN49" s="331" t="s">
        <v>406</v>
      </c>
      <c r="AT49" s="399"/>
      <c r="AU49" s="435"/>
      <c r="AW49" s="399"/>
      <c r="AX49" s="399"/>
      <c r="AY49" s="399"/>
      <c r="AZ49" s="399"/>
      <c r="BA49" s="399"/>
      <c r="BB49" s="399"/>
      <c r="BC49" s="399"/>
      <c r="BD49" s="399"/>
      <c r="BE49" s="399"/>
      <c r="BF49" s="399"/>
      <c r="BG49" s="399"/>
      <c r="BN49" s="410" t="s">
        <v>439</v>
      </c>
      <c r="BW49" s="410" t="s">
        <v>440</v>
      </c>
      <c r="CT49" s="401"/>
      <c r="CU49" s="399"/>
      <c r="CV49" s="435"/>
      <c r="CY49" s="399"/>
      <c r="CZ49" s="399"/>
      <c r="DA49" s="399" t="s">
        <v>441</v>
      </c>
      <c r="DB49" s="399"/>
      <c r="DC49" s="399"/>
      <c r="DE49" t="s">
        <v>442</v>
      </c>
      <c r="DI49" t="s">
        <v>443</v>
      </c>
      <c r="DM49" t="s">
        <v>444</v>
      </c>
    </row>
    <row r="50" spans="1:124" s="424" customFormat="1" ht="36" customHeight="1">
      <c r="A50" s="416"/>
      <c r="B50" s="416"/>
      <c r="C50" s="416"/>
      <c r="D50" s="416"/>
      <c r="E50" s="416"/>
      <c r="F50" s="416"/>
      <c r="G50" s="416"/>
      <c r="H50" s="416"/>
      <c r="I50" s="416"/>
      <c r="J50" s="416"/>
      <c r="K50" s="416"/>
      <c r="L50" s="416"/>
      <c r="M50" s="416"/>
      <c r="N50" s="444" t="s">
        <v>216</v>
      </c>
      <c r="O50" s="416"/>
      <c r="P50" s="416"/>
      <c r="Q50" s="416"/>
      <c r="R50" s="438"/>
      <c r="S50" s="416"/>
      <c r="T50" s="45"/>
      <c r="U50" s="45"/>
      <c r="V50" s="476" t="s">
        <v>445</v>
      </c>
      <c r="W50" s="476" t="s">
        <v>446</v>
      </c>
      <c r="X50" s="476" t="s">
        <v>447</v>
      </c>
      <c r="Y50" s="476" t="s">
        <v>448</v>
      </c>
      <c r="Z50" s="476" t="s">
        <v>449</v>
      </c>
      <c r="AA50" s="477"/>
      <c r="AB50" s="476" t="s">
        <v>450</v>
      </c>
      <c r="AC50" s="476" t="s">
        <v>451</v>
      </c>
      <c r="AD50" s="476" t="s">
        <v>452</v>
      </c>
      <c r="AE50" s="476" t="s">
        <v>453</v>
      </c>
      <c r="AF50" s="476" t="s">
        <v>454</v>
      </c>
      <c r="AG50" s="477"/>
      <c r="AH50" s="476" t="s">
        <v>455</v>
      </c>
      <c r="AI50" s="476" t="s">
        <v>456</v>
      </c>
      <c r="AJ50" s="476" t="s">
        <v>457</v>
      </c>
      <c r="AK50" s="476" t="s">
        <v>458</v>
      </c>
      <c r="AL50" s="476" t="s">
        <v>459</v>
      </c>
      <c r="AM50" s="443"/>
      <c r="AN50" s="443" t="s">
        <v>395</v>
      </c>
      <c r="AO50" s="443" t="s">
        <v>396</v>
      </c>
      <c r="AP50" s="443" t="s">
        <v>397</v>
      </c>
      <c r="AQ50" s="443" t="s">
        <v>398</v>
      </c>
      <c r="AR50" s="443" t="s">
        <v>399</v>
      </c>
      <c r="AS50" s="443"/>
      <c r="AT50" s="416"/>
      <c r="AU50" s="438"/>
      <c r="AV50" s="413" t="s">
        <v>460</v>
      </c>
      <c r="AX50" s="414" t="s">
        <v>461</v>
      </c>
      <c r="AY50" s="415" t="s">
        <v>462</v>
      </c>
      <c r="AZ50" s="415" t="s">
        <v>463</v>
      </c>
      <c r="BA50" s="415" t="s">
        <v>464</v>
      </c>
      <c r="BB50" s="415" t="s">
        <v>465</v>
      </c>
      <c r="BC50" s="415" t="s">
        <v>466</v>
      </c>
      <c r="BD50" s="415" t="s">
        <v>467</v>
      </c>
      <c r="BE50" s="416" t="s">
        <v>468</v>
      </c>
      <c r="BF50" s="416" t="s">
        <v>469</v>
      </c>
      <c r="BG50" s="416" t="s">
        <v>470</v>
      </c>
      <c r="BH50" s="416" t="s">
        <v>471</v>
      </c>
      <c r="BI50" s="423" t="s">
        <v>472</v>
      </c>
      <c r="BK50" s="436"/>
      <c r="BL50" s="425" t="s">
        <v>473</v>
      </c>
      <c r="BN50" s="414" t="s">
        <v>474</v>
      </c>
      <c r="BO50" s="414" t="s">
        <v>475</v>
      </c>
      <c r="BP50" s="415" t="s">
        <v>476</v>
      </c>
      <c r="BQ50" s="415" t="s">
        <v>477</v>
      </c>
      <c r="BR50" s="415" t="s">
        <v>478</v>
      </c>
      <c r="BS50" s="415" t="s">
        <v>479</v>
      </c>
      <c r="BT50" s="415" t="s">
        <v>480</v>
      </c>
      <c r="BU50" s="417" t="s">
        <v>481</v>
      </c>
      <c r="BW50" s="414" t="s">
        <v>474</v>
      </c>
      <c r="BX50" s="414" t="s">
        <v>475</v>
      </c>
      <c r="BY50" s="415" t="s">
        <v>476</v>
      </c>
      <c r="BZ50" s="415" t="s">
        <v>477</v>
      </c>
      <c r="CA50" s="415" t="s">
        <v>478</v>
      </c>
      <c r="CB50" s="415" t="s">
        <v>479</v>
      </c>
      <c r="CC50" s="415" t="s">
        <v>480</v>
      </c>
      <c r="CD50" s="417" t="s">
        <v>482</v>
      </c>
      <c r="CF50" s="420" t="s">
        <v>483</v>
      </c>
      <c r="CH50" s="425" t="s">
        <v>484</v>
      </c>
      <c r="CJ50" s="420" t="s">
        <v>485</v>
      </c>
      <c r="CK50" s="426"/>
      <c r="CL50" s="427" t="s">
        <v>486</v>
      </c>
      <c r="CN50" s="431" t="s">
        <v>487</v>
      </c>
      <c r="CO50" s="411"/>
      <c r="CP50" s="422" t="s">
        <v>488</v>
      </c>
      <c r="CR50" s="437"/>
      <c r="CS50" s="422" t="s">
        <v>489</v>
      </c>
      <c r="CV50" s="436"/>
      <c r="CW50" s="425" t="s">
        <v>484</v>
      </c>
      <c r="CX50" s="399"/>
      <c r="CY50" s="433" t="s">
        <v>490</v>
      </c>
      <c r="CZ50" s="399"/>
      <c r="DA50" s="430" t="s">
        <v>491</v>
      </c>
      <c r="DB50" s="429" t="s">
        <v>492</v>
      </c>
      <c r="DC50" s="430" t="s">
        <v>493</v>
      </c>
      <c r="DD50" s="430" t="s">
        <v>494</v>
      </c>
      <c r="DE50" s="430" t="s">
        <v>491</v>
      </c>
      <c r="DF50" s="429" t="s">
        <v>492</v>
      </c>
      <c r="DG50" s="430" t="s">
        <v>493</v>
      </c>
      <c r="DH50" s="430" t="s">
        <v>494</v>
      </c>
      <c r="DI50" s="430" t="s">
        <v>491</v>
      </c>
      <c r="DJ50" s="429" t="s">
        <v>492</v>
      </c>
      <c r="DK50" s="430" t="s">
        <v>493</v>
      </c>
      <c r="DL50" s="430" t="s">
        <v>494</v>
      </c>
      <c r="DM50" s="430" t="s">
        <v>491</v>
      </c>
      <c r="DN50" s="429" t="s">
        <v>492</v>
      </c>
      <c r="DO50" s="430" t="s">
        <v>493</v>
      </c>
      <c r="DP50" s="430" t="s">
        <v>494</v>
      </c>
      <c r="DR50" s="432" t="s">
        <v>495</v>
      </c>
      <c r="DS50" s="440" t="s">
        <v>496</v>
      </c>
      <c r="DT50" s="440" t="s">
        <v>497</v>
      </c>
    </row>
    <row r="51" spans="1:124" s="6" customFormat="1" ht="14.25">
      <c r="A51"/>
      <c r="B51" s="399"/>
      <c r="C51" s="399"/>
      <c r="D51" s="399"/>
      <c r="E51" s="399"/>
      <c r="F51" s="399"/>
      <c r="G51" s="399"/>
      <c r="H51" s="399"/>
      <c r="I51" s="399"/>
      <c r="J51" s="399"/>
      <c r="K51" s="399"/>
      <c r="L51" s="399"/>
      <c r="M51" s="399"/>
      <c r="N51" s="412" t="str">
        <f>'DCDC Ref'!N51</f>
        <v>ETQP3MR68KVP</v>
      </c>
      <c r="O51" s="399"/>
      <c r="P51" s="399"/>
      <c r="Q51" s="399"/>
      <c r="R51" s="435"/>
      <c r="S51" s="399"/>
      <c r="T51" s="58" t="e">
        <f>INDEX(#REF!,MATCH(N51,#REF!,0))</f>
        <v>#REF!</v>
      </c>
      <c r="U51" s="58"/>
      <c r="V51" s="503">
        <f>$J$22/$J$21</f>
        <v>0.41666666666666669</v>
      </c>
      <c r="W51" s="504">
        <f>(1/$M$26)*($J$22/$J$21)*10^6</f>
        <v>0.20833333333333334</v>
      </c>
      <c r="X51" s="505" t="e">
        <f t="shared" ref="X51:X60" si="4">$J$24-(Y51/2)</f>
        <v>#REF!</v>
      </c>
      <c r="Y51" s="505" t="e">
        <f t="shared" ref="Y51:Y60" si="5">($J$22/$J$21)*(($J$21-$J$22)/($M$26*T51*10^-6))</f>
        <v>#REF!</v>
      </c>
      <c r="Z51" s="505" t="e">
        <f t="shared" ref="Z51:Z60" si="6">Y51*1/SQRT(3)</f>
        <v>#REF!</v>
      </c>
      <c r="AA51" s="506"/>
      <c r="AB51" s="507">
        <f>($J$22-$J$21)/$J$22</f>
        <v>-1.4</v>
      </c>
      <c r="AC51" s="504">
        <f>(1/$M$26)*(($J$22-$J$21)/$J$22)*10^6</f>
        <v>-0.7</v>
      </c>
      <c r="AD51" s="505" t="e">
        <f t="shared" ref="AD51:AD60" si="7">$J$24*($J$22/$J$21)-(AE51/2)</f>
        <v>#REF!</v>
      </c>
      <c r="AE51" s="505" t="e">
        <f t="shared" ref="AE51:AE60" si="8">($J$21*(($J$22-$J$21)/$J$22))/($M$26*T51*10^-6)</f>
        <v>#REF!</v>
      </c>
      <c r="AF51" s="505" t="e">
        <f t="shared" ref="AF51:AF60" si="9">AE51*1/SQRT(3)</f>
        <v>#REF!</v>
      </c>
      <c r="AG51" s="505"/>
      <c r="AH51" s="507">
        <f>$J$22/($J$21+$J$22)</f>
        <v>0.29411764705882354</v>
      </c>
      <c r="AI51" s="504">
        <f>(1/$M$26)*$J$22/($J$21+$J$22)*10^6</f>
        <v>0.14705882352941174</v>
      </c>
      <c r="AJ51" s="505" t="e">
        <f>$J$24+($J$24*($J$22/$J$21)-(AK51/2))</f>
        <v>#REF!</v>
      </c>
      <c r="AK51" s="505" t="e">
        <f>(MAX($J$21:$J$22)-MIN($J$21:$J$22))*(MIN($J$21:$J$22)/MAX($J$21:$J$22))/($M$26*(T51/10^6))</f>
        <v>#REF!</v>
      </c>
      <c r="AL51" s="505" t="e">
        <f>AK51*1/SQRT(3)</f>
        <v>#REF!</v>
      </c>
      <c r="AN51" s="508">
        <f>IF($K$23="(Buck-boost)",AH51,IF($J$23="Buck",V51,IF($J$23="Boost",AB51,"")))</f>
        <v>0.41666666666666669</v>
      </c>
      <c r="AO51" s="509">
        <f>IF($K$23="(Buck-boost)",AI51,IF($J$23="Buck",W51,IF($J$23="Boost",AC51,"")))</f>
        <v>0.20833333333333334</v>
      </c>
      <c r="AP51" s="509" t="e">
        <f>IF($K$23="(Buck-boost)",AJ51,IF($J$23="Buck",X51,IF($J$23="Boost",AD51,"")))</f>
        <v>#REF!</v>
      </c>
      <c r="AQ51" s="509" t="e">
        <f>IF($K$23="(Buck-boost)",AK51,IF($J$23="Buck",Y51,IF($J$23="Boost",AE51,"")))</f>
        <v>#REF!</v>
      </c>
      <c r="AR51" s="509" t="e">
        <f>IF($K$23="(Buck-boost)",AL51,IF($J$23="Buck",Z51,IF($J$23="Boost",AF51,"")))</f>
        <v>#REF!</v>
      </c>
      <c r="AT51" s="501"/>
      <c r="AU51" s="502"/>
      <c r="AV51" s="510">
        <f>AN51</f>
        <v>0.41666666666666669</v>
      </c>
      <c r="AX51" s="565" t="e">
        <f>INDEX(#REF!,MATCH(計算sheet!AX$50,#REF!,0),MATCH(N51,#REF!,0))</f>
        <v>#REF!</v>
      </c>
      <c r="AY51" s="565" t="e">
        <f>INDEX(#REF!,MATCH(計算sheet!AY$50,#REF!,0),MATCH(N51,#REF!,0))</f>
        <v>#REF!</v>
      </c>
      <c r="AZ51" s="565" t="e">
        <f>INDEX(#REF!,MATCH(計算sheet!AZ$50,#REF!,0),MATCH(N51,#REF!,0))</f>
        <v>#REF!</v>
      </c>
      <c r="BA51" s="565" t="e">
        <f>INDEX(#REF!,MATCH(計算sheet!BA$50,#REF!,0),MATCH(N51,#REF!,0))</f>
        <v>#REF!</v>
      </c>
      <c r="BB51" s="565" t="e">
        <f>INDEX(#REF!,MATCH(計算sheet!BB$50,#REF!,0),MATCH(N51,#REF!,0))</f>
        <v>#REF!</v>
      </c>
      <c r="BC51" s="565" t="e">
        <f>INDEX(#REF!,MATCH(計算sheet!BC$50,#REF!,0),MATCH(N51,#REF!,0))</f>
        <v>#REF!</v>
      </c>
      <c r="BD51" s="565" t="e">
        <f>INDEX(#REF!,MATCH(計算sheet!BD$50,#REF!,0),MATCH(N51,#REF!,0))</f>
        <v>#REF!</v>
      </c>
      <c r="BE51" s="511">
        <f>$M$26</f>
        <v>2000000</v>
      </c>
      <c r="BF51" s="565" t="e">
        <f>INDEX(#REF!,MATCH(計算sheet!BF$50,#REF!,0),MATCH(N51,#REF!,0))</f>
        <v>#REF!</v>
      </c>
      <c r="BG51" s="512" t="e">
        <f>AQ51</f>
        <v>#REF!</v>
      </c>
      <c r="BH51" s="565" t="e">
        <f>INDEX(#REF!,MATCH(計算sheet!BH$50,#REF!,0),MATCH(N51,#REF!,0))</f>
        <v>#REF!</v>
      </c>
      <c r="BI51" s="513" t="e">
        <f>(AX51*$AV$51^6+AY51*$AV$51^5+AZ51*$AV$51^4+BA51*$AV$51^3+BB51*$AV$51^2+BC51*$AV$51+BD51)*BE51^BF51*BG51^BH51</f>
        <v>#REF!</v>
      </c>
      <c r="BK51" s="514"/>
      <c r="BL51" s="515">
        <f>$M$26</f>
        <v>2000000</v>
      </c>
      <c r="BN51" s="565" t="e">
        <f>INDEX(#REF!,MATCH(計算sheet!BN$50,#REF!,0),MATCH(N51,#REF!,0))</f>
        <v>#REF!</v>
      </c>
      <c r="BO51" s="565" t="e">
        <f>INDEX(#REF!,MATCH(計算sheet!BO$50,#REF!,0),MATCH(N51,#REF!,0))</f>
        <v>#REF!</v>
      </c>
      <c r="BP51" s="565" t="e">
        <f>INDEX(#REF!,MATCH(計算sheet!BP$50,#REF!,0),MATCH(N51,#REF!,0))</f>
        <v>#REF!</v>
      </c>
      <c r="BQ51" s="565" t="e">
        <f>INDEX(#REF!,MATCH(計算sheet!BQ$50,#REF!,0),MATCH(N51,#REF!,0))</f>
        <v>#REF!</v>
      </c>
      <c r="BR51" s="565" t="e">
        <f>INDEX(#REF!,MATCH(計算sheet!BR$50,#REF!,0),MATCH(N51,#REF!,0))</f>
        <v>#REF!</v>
      </c>
      <c r="BS51" s="565" t="e">
        <f>INDEX(#REF!,MATCH(計算sheet!BS$50,#REF!,0),MATCH(N51,#REF!,0))</f>
        <v>#REF!</v>
      </c>
      <c r="BT51" s="565" t="e">
        <f>INDEX(#REF!,MATCH(計算sheet!BT$50,#REF!,0),MATCH(N51,#REF!,0))</f>
        <v>#REF!</v>
      </c>
      <c r="BU51" s="513" t="e">
        <f>BN51*$BL$51^6+BO51*$BL$51^5+BP51*$BL$51^4+BQ51*$BL$51^3+BR51*$BL$51^2+BS51*$BL$51+BT51</f>
        <v>#REF!</v>
      </c>
      <c r="BW51" s="565" t="e">
        <f>INDEX(#REF!,MATCH(計算sheet!BW$50,#REF!,0),MATCH(N51,#REF!,0))</f>
        <v>#REF!</v>
      </c>
      <c r="BX51" s="565" t="e">
        <f>INDEX(#REF!,MATCH(計算sheet!BX$50,#REF!,0),MATCH(N51,#REF!,0))</f>
        <v>#REF!</v>
      </c>
      <c r="BY51" s="565" t="e">
        <f>INDEX(#REF!,MATCH(計算sheet!BY$50,#REF!,0),MATCH(N51,#REF!,0))</f>
        <v>#REF!</v>
      </c>
      <c r="BZ51" s="565" t="e">
        <f>INDEX(#REF!,MATCH(計算sheet!BZ$50,#REF!,0),MATCH(N51,#REF!,0))</f>
        <v>#REF!</v>
      </c>
      <c r="CA51" s="565" t="e">
        <f>INDEX(#REF!,MATCH(計算sheet!CA$50,#REF!,0),MATCH(N51,#REF!,0))</f>
        <v>#REF!</v>
      </c>
      <c r="CB51" s="565" t="e">
        <f>INDEX(#REF!,MATCH(計算sheet!CB$50,#REF!,0),MATCH(N51,#REF!,0))</f>
        <v>#REF!</v>
      </c>
      <c r="CC51" s="565" t="e">
        <f>INDEX(#REF!,MATCH(計算sheet!CC$50,#REF!,0),MATCH(N51,#REF!,0))</f>
        <v>#REF!</v>
      </c>
      <c r="CD51" s="513" t="e">
        <f>BW51*$BL$51^6+BX51*$BL$51^5+BY51*$BL$51^4+BZ51*$BL$51^3+CA51*$BL$51^2+CB51*$BL$51+CC51</f>
        <v>#REF!</v>
      </c>
      <c r="CF51" s="566" t="e">
        <f>(INDEX(#REF!,MATCH(計算sheet!$CF$50,#REF!,0),MATCH(N51,#REF!,0)))/1000</f>
        <v>#REF!</v>
      </c>
      <c r="CG51" s="516"/>
      <c r="CH51" s="515">
        <f>$J$36</f>
        <v>20</v>
      </c>
      <c r="CJ51" s="513" t="e">
        <f>CF51*(1+0.00393*($CH$51-20))</f>
        <v>#REF!</v>
      </c>
      <c r="CL51" s="517" t="e">
        <f>IF($BL$51&gt;=600000,BU51,CD51)-CF51</f>
        <v>#REF!</v>
      </c>
      <c r="CN51" s="518" t="e">
        <f>CJ51*(AP51+AR51)^2</f>
        <v>#REF!</v>
      </c>
      <c r="CO51" s="519"/>
      <c r="CP51" s="518" t="e">
        <f>CL51*AR51^2</f>
        <v>#REF!</v>
      </c>
      <c r="CQ51" s="519"/>
      <c r="CR51" s="502"/>
      <c r="CS51" s="518" t="e">
        <f>BI51+CN51+CP51</f>
        <v>#REF!</v>
      </c>
      <c r="CV51" s="514"/>
      <c r="CW51" s="515">
        <f>$J$36</f>
        <v>20</v>
      </c>
      <c r="CY51" s="567" t="e">
        <f>INDEX(#REF!,MATCH(計算sheet!$CY$50,#REF!,0),MATCH(N51,#REF!,0))</f>
        <v>#REF!</v>
      </c>
      <c r="CZ51" s="501"/>
      <c r="DA51" s="519" t="e">
        <f>(BI51+CN51+CP51)*CY51</f>
        <v>#REF!</v>
      </c>
      <c r="DB51" s="519" t="e">
        <f t="shared" ref="DB51:DB60" si="10">(BI51+DM51+CP51)*CY51</f>
        <v>#REF!</v>
      </c>
      <c r="DC51" s="519" t="e">
        <f>(BI51+DN51+CP51)*CY51</f>
        <v>#REF!</v>
      </c>
      <c r="DD51" s="519" t="e">
        <f>(BI51+DO51+CP51)*CY51</f>
        <v>#REF!</v>
      </c>
      <c r="DE51" s="520" t="e">
        <f t="shared" ref="DE51:DH52" si="11">DA51+$CW$51</f>
        <v>#REF!</v>
      </c>
      <c r="DF51" s="520" t="e">
        <f t="shared" si="11"/>
        <v>#REF!</v>
      </c>
      <c r="DG51" s="520" t="e">
        <f t="shared" si="11"/>
        <v>#REF!</v>
      </c>
      <c r="DH51" s="520" t="e">
        <f t="shared" si="11"/>
        <v>#REF!</v>
      </c>
      <c r="DI51" s="521" t="e">
        <f>CF51*(1+0.00393*(DE51-20))</f>
        <v>#REF!</v>
      </c>
      <c r="DJ51" s="521" t="e">
        <f>CF51*(1+0.00393*(DF51-20))</f>
        <v>#REF!</v>
      </c>
      <c r="DK51" s="521" t="e">
        <f>CF51*(1+0.00393*(DG51-20))</f>
        <v>#REF!</v>
      </c>
      <c r="DL51" s="521" t="e">
        <f>CF51*(1+0.00393*(DH51-20))</f>
        <v>#REF!</v>
      </c>
      <c r="DM51" s="522" t="e">
        <f>DI51*(AP51+AR51)^2</f>
        <v>#REF!</v>
      </c>
      <c r="DN51" s="522" t="e">
        <f>DJ51*(AP51+AR51)^2</f>
        <v>#REF!</v>
      </c>
      <c r="DO51" s="522" t="e">
        <f>DK51*(AP51+AR51)^2</f>
        <v>#REF!</v>
      </c>
      <c r="DP51" s="522" t="e">
        <f>DL51*(AP51+AR51)^2</f>
        <v>#REF!</v>
      </c>
      <c r="DR51" s="523" t="e">
        <f>DP51+BI51+CP51</f>
        <v>#REF!</v>
      </c>
      <c r="DS51" s="524" t="e">
        <f>DR51*CY51</f>
        <v>#REF!</v>
      </c>
      <c r="DT51" s="524" t="e">
        <f>DH51</f>
        <v>#REF!</v>
      </c>
    </row>
    <row r="52" spans="1:124" s="6" customFormat="1" ht="14.25">
      <c r="A52"/>
      <c r="B52" s="399"/>
      <c r="C52" s="399"/>
      <c r="D52" s="399"/>
      <c r="E52" s="399"/>
      <c r="F52" s="399"/>
      <c r="G52" s="399"/>
      <c r="H52" s="399"/>
      <c r="I52" s="399"/>
      <c r="J52" s="399"/>
      <c r="K52" s="399"/>
      <c r="L52" s="399"/>
      <c r="M52" s="399"/>
      <c r="N52" s="412" t="str">
        <f>'DCDC Ref'!N52</f>
        <v>ETQP3MR68KVN</v>
      </c>
      <c r="O52" s="399"/>
      <c r="P52" s="399"/>
      <c r="Q52" s="399"/>
      <c r="R52" s="435"/>
      <c r="S52" s="399"/>
      <c r="T52" s="58" t="e">
        <f>INDEX(#REF!,MATCH(N52,#REF!,0))</f>
        <v>#REF!</v>
      </c>
      <c r="U52" s="58"/>
      <c r="V52" s="525"/>
      <c r="W52" s="525"/>
      <c r="X52" s="505" t="e">
        <f t="shared" si="4"/>
        <v>#REF!</v>
      </c>
      <c r="Y52" s="505" t="e">
        <f t="shared" si="5"/>
        <v>#REF!</v>
      </c>
      <c r="Z52" s="505" t="e">
        <f t="shared" si="6"/>
        <v>#REF!</v>
      </c>
      <c r="AA52" s="505"/>
      <c r="AB52" s="505"/>
      <c r="AC52" s="505"/>
      <c r="AD52" s="505" t="e">
        <f t="shared" si="7"/>
        <v>#REF!</v>
      </c>
      <c r="AE52" s="505" t="e">
        <f t="shared" si="8"/>
        <v>#REF!</v>
      </c>
      <c r="AF52" s="505" t="e">
        <f t="shared" si="9"/>
        <v>#REF!</v>
      </c>
      <c r="AG52" s="505"/>
      <c r="AH52" s="506"/>
      <c r="AI52" s="506"/>
      <c r="AJ52" s="505" t="e">
        <f>$J$24+($J$24*($J$22/$J$21)-(AK52/2))</f>
        <v>#REF!</v>
      </c>
      <c r="AK52" s="505" t="e">
        <f>(MAX($J$21:$J$22)-MIN($J$21:$J$22))*(MIN($J$21:$J$22)/MAX($J$21:$J$22))/($M$26*(T52/10^6))</f>
        <v>#REF!</v>
      </c>
      <c r="AL52" s="505" t="e">
        <f t="shared" ref="AL52:AL60" si="12">AK52*1/SQRT(3)</f>
        <v>#REF!</v>
      </c>
      <c r="AP52" s="509" t="e">
        <f t="shared" ref="AP52:AP60" si="13">IF($K$23="(Buck-boost)",AJ52,IF($J$23="Buck",X52,IF($J$23="Boost",AD52,"")))</f>
        <v>#REF!</v>
      </c>
      <c r="AQ52" s="509" t="e">
        <f t="shared" ref="AQ52:AQ60" si="14">IF($K$23="(Buck-boost)",AK52,IF($J$23="Buck",Y52,IF($J$23="Boost",AE52,"")))</f>
        <v>#REF!</v>
      </c>
      <c r="AR52" s="509" t="e">
        <f t="shared" ref="AR52:AR60" si="15">IF($K$23="(Buck-boost)",AL52,IF($J$23="Buck",Z52,IF($J$23="Boost",AF52,"")))</f>
        <v>#REF!</v>
      </c>
      <c r="AT52" s="501"/>
      <c r="AU52" s="502"/>
      <c r="AX52" s="565" t="e">
        <f>INDEX(#REF!,MATCH(計算sheet!AX$50,#REF!,0),MATCH(N52,#REF!,0))</f>
        <v>#REF!</v>
      </c>
      <c r="AY52" s="565" t="e">
        <f>INDEX(#REF!,MATCH(計算sheet!AY$50,#REF!,0),MATCH(N52,#REF!,0))</f>
        <v>#REF!</v>
      </c>
      <c r="AZ52" s="565" t="e">
        <f>INDEX(#REF!,MATCH(計算sheet!AZ$50,#REF!,0),MATCH(N52,#REF!,0))</f>
        <v>#REF!</v>
      </c>
      <c r="BA52" s="565" t="e">
        <f>INDEX(#REF!,MATCH(計算sheet!BA$50,#REF!,0),MATCH(N52,#REF!,0))</f>
        <v>#REF!</v>
      </c>
      <c r="BB52" s="565" t="e">
        <f>INDEX(#REF!,MATCH(計算sheet!BB$50,#REF!,0),MATCH(N52,#REF!,0))</f>
        <v>#REF!</v>
      </c>
      <c r="BC52" s="565" t="e">
        <f>INDEX(#REF!,MATCH(計算sheet!BC$50,#REF!,0),MATCH(N52,#REF!,0))</f>
        <v>#REF!</v>
      </c>
      <c r="BD52" s="565" t="e">
        <f>INDEX(#REF!,MATCH(計算sheet!BD$50,#REF!,0),MATCH(N52,#REF!,0))</f>
        <v>#REF!</v>
      </c>
      <c r="BE52" s="511">
        <f t="shared" ref="BE52:BE60" si="16">$M$26</f>
        <v>2000000</v>
      </c>
      <c r="BF52" s="565" t="e">
        <f>INDEX(#REF!,MATCH(計算sheet!BF$50,#REF!,0),MATCH(N52,#REF!,0))</f>
        <v>#REF!</v>
      </c>
      <c r="BG52" s="512" t="e">
        <f t="shared" ref="BG52:BG60" si="17">AQ52</f>
        <v>#REF!</v>
      </c>
      <c r="BH52" s="565" t="e">
        <f>INDEX(#REF!,MATCH(計算sheet!BH$50,#REF!,0),MATCH(N52,#REF!,0))</f>
        <v>#REF!</v>
      </c>
      <c r="BI52" s="513" t="e">
        <f t="shared" ref="BI52:BI60" si="18">(AX52*$AV$51^6+AY52*$AV$51^5+AZ52*$AV$51^4+BA52*$AV$51^3+BB52*$AV$51^2+BC52*$AV$51+BD52)*BE52^BF52*BG52^BH52</f>
        <v>#REF!</v>
      </c>
      <c r="BK52" s="514"/>
      <c r="BN52" s="565" t="e">
        <f>INDEX(#REF!,MATCH(計算sheet!BN$50,#REF!,0),MATCH(N52,#REF!,0))</f>
        <v>#REF!</v>
      </c>
      <c r="BO52" s="565" t="e">
        <f>INDEX(#REF!,MATCH(計算sheet!BO$50,#REF!,0),MATCH(N52,#REF!,0))</f>
        <v>#REF!</v>
      </c>
      <c r="BP52" s="565" t="e">
        <f>INDEX(#REF!,MATCH(計算sheet!BP$50,#REF!,0),MATCH(N52,#REF!,0))</f>
        <v>#REF!</v>
      </c>
      <c r="BQ52" s="565" t="e">
        <f>INDEX(#REF!,MATCH(計算sheet!BQ$50,#REF!,0),MATCH(N52,#REF!,0))</f>
        <v>#REF!</v>
      </c>
      <c r="BR52" s="565" t="e">
        <f>INDEX(#REF!,MATCH(計算sheet!BR$50,#REF!,0),MATCH(N52,#REF!,0))</f>
        <v>#REF!</v>
      </c>
      <c r="BS52" s="565" t="e">
        <f>INDEX(#REF!,MATCH(計算sheet!BS$50,#REF!,0),MATCH(N52,#REF!,0))</f>
        <v>#REF!</v>
      </c>
      <c r="BT52" s="565" t="e">
        <f>INDEX(#REF!,MATCH(計算sheet!BT$50,#REF!,0),MATCH(N52,#REF!,0))</f>
        <v>#REF!</v>
      </c>
      <c r="BU52" s="513" t="e">
        <f t="shared" ref="BU52:BU60" si="19">BN52*$BL$51^6+BO52*$BL$51^5+BP52*$BL$51^4+BQ52*$BL$51^3+BR52*$BL$51^2+BS52*$BL$51+BT52</f>
        <v>#REF!</v>
      </c>
      <c r="BV52" s="501" t="s">
        <v>498</v>
      </c>
      <c r="BW52" s="565" t="e">
        <f>INDEX(#REF!,MATCH(計算sheet!BW$50,#REF!,0),MATCH(N52,#REF!,0))</f>
        <v>#REF!</v>
      </c>
      <c r="BX52" s="565" t="e">
        <f>INDEX(#REF!,MATCH(計算sheet!BX$50,#REF!,0),MATCH(N52,#REF!,0))</f>
        <v>#REF!</v>
      </c>
      <c r="BY52" s="565" t="e">
        <f>INDEX(#REF!,MATCH(計算sheet!BY$50,#REF!,0),MATCH(N52,#REF!,0))</f>
        <v>#REF!</v>
      </c>
      <c r="BZ52" s="565" t="e">
        <f>INDEX(#REF!,MATCH(計算sheet!BZ$50,#REF!,0),MATCH(N52,#REF!,0))</f>
        <v>#REF!</v>
      </c>
      <c r="CA52" s="565" t="e">
        <f>INDEX(#REF!,MATCH(計算sheet!CA$50,#REF!,0),MATCH(N52,#REF!,0))</f>
        <v>#REF!</v>
      </c>
      <c r="CB52" s="565" t="e">
        <f>INDEX(#REF!,MATCH(計算sheet!CB$50,#REF!,0),MATCH(N52,#REF!,0))</f>
        <v>#REF!</v>
      </c>
      <c r="CC52" s="565" t="e">
        <f>INDEX(#REF!,MATCH(計算sheet!CC$50,#REF!,0),MATCH(N52,#REF!,0))</f>
        <v>#REF!</v>
      </c>
      <c r="CD52" s="513" t="e">
        <f t="shared" ref="CD52:CD59" si="20">BW52*$BL$51^6+BX52*$BL$51^5+BY52*$BL$51^4+BZ52*$BL$51^3+CA52*$BL$51^2+CB52*$BL$51+CC52</f>
        <v>#REF!</v>
      </c>
      <c r="CE52" s="501"/>
      <c r="CF52" s="566" t="e">
        <f>(INDEX(#REF!,MATCH(計算sheet!$CF$50,#REF!,0),MATCH(N52,#REF!,0)))/1000</f>
        <v>#REF!</v>
      </c>
      <c r="CG52" s="516"/>
      <c r="CJ52" s="513" t="e">
        <f>CF52*(1+0.00393*($CH$51-20))</f>
        <v>#REF!</v>
      </c>
      <c r="CL52" s="517" t="e">
        <f>IF($BL$51&gt;=600000,BU52,CD52)-CF52</f>
        <v>#REF!</v>
      </c>
      <c r="CN52" s="518" t="e">
        <f t="shared" ref="CN52:CN60" si="21">CJ52*(AP52+AR52)^2</f>
        <v>#REF!</v>
      </c>
      <c r="CO52" s="501"/>
      <c r="CP52" s="518" t="e">
        <f t="shared" ref="CP52:CP60" si="22">CL52*AR52^2</f>
        <v>#REF!</v>
      </c>
      <c r="CQ52" s="526"/>
      <c r="CR52" s="514"/>
      <c r="CS52" s="518" t="e">
        <f>BI52+CN52+CP52</f>
        <v>#REF!</v>
      </c>
      <c r="CT52" s="501"/>
      <c r="CV52" s="514"/>
      <c r="CW52" s="527"/>
      <c r="CX52" s="501"/>
      <c r="CY52" s="567" t="e">
        <f>INDEX(#REF!,MATCH(計算sheet!$CY$50,#REF!,0),MATCH(N52,#REF!,0))</f>
        <v>#REF!</v>
      </c>
      <c r="CZ52" s="501"/>
      <c r="DA52" s="519" t="e">
        <f>(BI52+CN52+CP52)*CY52</f>
        <v>#REF!</v>
      </c>
      <c r="DB52" s="519" t="e">
        <f t="shared" si="10"/>
        <v>#REF!</v>
      </c>
      <c r="DC52" s="519" t="e">
        <f>(BI52+DN52+CP52)*CY52</f>
        <v>#REF!</v>
      </c>
      <c r="DD52" s="519" t="e">
        <f>(BI52+DO52+CP52)*CY52</f>
        <v>#REF!</v>
      </c>
      <c r="DE52" s="520" t="e">
        <f t="shared" si="11"/>
        <v>#REF!</v>
      </c>
      <c r="DF52" s="520" t="e">
        <f t="shared" si="11"/>
        <v>#REF!</v>
      </c>
      <c r="DG52" s="520" t="e">
        <f t="shared" si="11"/>
        <v>#REF!</v>
      </c>
      <c r="DH52" s="520" t="e">
        <f t="shared" si="11"/>
        <v>#REF!</v>
      </c>
      <c r="DI52" s="521" t="e">
        <f>CF52*(1+0.00393*(DE52-20))</f>
        <v>#REF!</v>
      </c>
      <c r="DJ52" s="521" t="e">
        <f>CF52*(1+0.00393*(DF52-20))</f>
        <v>#REF!</v>
      </c>
      <c r="DK52" s="521" t="e">
        <f>CF52*(1+0.00393*(DG52-20))</f>
        <v>#REF!</v>
      </c>
      <c r="DL52" s="521" t="e">
        <f>CF52*(1+0.00393*(DH52-20))</f>
        <v>#REF!</v>
      </c>
      <c r="DM52" s="522" t="e">
        <f t="shared" ref="DM52:DM60" si="23">DI52*(AP52+AR52)^2</f>
        <v>#REF!</v>
      </c>
      <c r="DN52" s="522" t="e">
        <f t="shared" ref="DN52:DN60" si="24">DJ52*(AP52+AR52)^2</f>
        <v>#REF!</v>
      </c>
      <c r="DO52" s="522" t="e">
        <f t="shared" ref="DO52:DO60" si="25">DK52*(AP52+AR52)^2</f>
        <v>#REF!</v>
      </c>
      <c r="DP52" s="522" t="e">
        <f t="shared" ref="DP52:DP60" si="26">DL52*(AP52+AR52)^2</f>
        <v>#REF!</v>
      </c>
      <c r="DR52" s="523" t="e">
        <f>DP52+BI52+CP52</f>
        <v>#REF!</v>
      </c>
      <c r="DS52" s="524" t="e">
        <f>DR52*CY52</f>
        <v>#REF!</v>
      </c>
      <c r="DT52" s="524" t="e">
        <f>DH52</f>
        <v>#REF!</v>
      </c>
    </row>
    <row r="53" spans="1:124" s="6" customFormat="1" ht="14.25">
      <c r="A53"/>
      <c r="B53" s="399"/>
      <c r="C53" s="399"/>
      <c r="D53" s="399"/>
      <c r="E53" s="399"/>
      <c r="F53" s="399"/>
      <c r="G53" s="399"/>
      <c r="H53" s="399"/>
      <c r="I53" s="399"/>
      <c r="J53" s="399"/>
      <c r="K53" s="399"/>
      <c r="L53" s="399"/>
      <c r="M53" s="399"/>
      <c r="N53" s="412" t="str">
        <f>'DCDC Ref'!N53</f>
        <v>ETQP3MR68YFN</v>
      </c>
      <c r="O53" s="399"/>
      <c r="P53" s="399"/>
      <c r="Q53" s="399"/>
      <c r="R53" s="435"/>
      <c r="S53" s="399"/>
      <c r="T53" s="58" t="e">
        <f>INDEX(#REF!,MATCH(N53,#REF!,0))</f>
        <v>#REF!</v>
      </c>
      <c r="U53" s="58"/>
      <c r="V53" s="525"/>
      <c r="W53" s="525"/>
      <c r="X53" s="505" t="e">
        <f t="shared" si="4"/>
        <v>#REF!</v>
      </c>
      <c r="Y53" s="505" t="e">
        <f t="shared" si="5"/>
        <v>#REF!</v>
      </c>
      <c r="Z53" s="505" t="e">
        <f t="shared" si="6"/>
        <v>#REF!</v>
      </c>
      <c r="AA53" s="505"/>
      <c r="AB53" s="505"/>
      <c r="AC53" s="505"/>
      <c r="AD53" s="505" t="e">
        <f t="shared" si="7"/>
        <v>#REF!</v>
      </c>
      <c r="AE53" s="505" t="e">
        <f t="shared" si="8"/>
        <v>#REF!</v>
      </c>
      <c r="AF53" s="505" t="e">
        <f t="shared" si="9"/>
        <v>#REF!</v>
      </c>
      <c r="AG53" s="505"/>
      <c r="AH53" s="506"/>
      <c r="AI53" s="506"/>
      <c r="AJ53" s="505" t="e">
        <f t="shared" ref="AJ53:AJ60" si="27">$J$24+($J$24*($J$22/$J$21)-(AK53/2))</f>
        <v>#REF!</v>
      </c>
      <c r="AK53" s="505" t="e">
        <f t="shared" ref="AK53:AK60" si="28">(MAX($J$21:$J$22)-MIN($J$21:$J$22))*(MIN($J$21:$J$22)/MAX($J$21:$J$22))/($M$26*(T53/10^6))</f>
        <v>#REF!</v>
      </c>
      <c r="AL53" s="505" t="e">
        <f t="shared" si="12"/>
        <v>#REF!</v>
      </c>
      <c r="AP53" s="509" t="e">
        <f t="shared" si="13"/>
        <v>#REF!</v>
      </c>
      <c r="AQ53" s="509" t="e">
        <f t="shared" si="14"/>
        <v>#REF!</v>
      </c>
      <c r="AR53" s="509" t="e">
        <f t="shared" si="15"/>
        <v>#REF!</v>
      </c>
      <c r="AT53" s="501"/>
      <c r="AU53" s="502"/>
      <c r="AX53" s="565" t="e">
        <f>INDEX(#REF!,MATCH(計算sheet!AX$50,#REF!,0),MATCH(N53,#REF!,0))</f>
        <v>#REF!</v>
      </c>
      <c r="AY53" s="565" t="e">
        <f>INDEX(#REF!,MATCH(計算sheet!AY$50,#REF!,0),MATCH(N53,#REF!,0))</f>
        <v>#REF!</v>
      </c>
      <c r="AZ53" s="565" t="e">
        <f>INDEX(#REF!,MATCH(計算sheet!AZ$50,#REF!,0),MATCH(N53,#REF!,0))</f>
        <v>#REF!</v>
      </c>
      <c r="BA53" s="565" t="e">
        <f>INDEX(#REF!,MATCH(計算sheet!BA$50,#REF!,0),MATCH(N53,#REF!,0))</f>
        <v>#REF!</v>
      </c>
      <c r="BB53" s="565" t="e">
        <f>INDEX(#REF!,MATCH(計算sheet!BB$50,#REF!,0),MATCH(N53,#REF!,0))</f>
        <v>#REF!</v>
      </c>
      <c r="BC53" s="565" t="e">
        <f>INDEX(#REF!,MATCH(計算sheet!BC$50,#REF!,0),MATCH(N53,#REF!,0))</f>
        <v>#REF!</v>
      </c>
      <c r="BD53" s="565" t="e">
        <f>INDEX(#REF!,MATCH(計算sheet!BD$50,#REF!,0),MATCH(N53,#REF!,0))</f>
        <v>#REF!</v>
      </c>
      <c r="BE53" s="511">
        <f t="shared" si="16"/>
        <v>2000000</v>
      </c>
      <c r="BF53" s="565" t="e">
        <f>INDEX(#REF!,MATCH(計算sheet!BF$50,#REF!,0),MATCH(N53,#REF!,0))</f>
        <v>#REF!</v>
      </c>
      <c r="BG53" s="512" t="e">
        <f t="shared" si="17"/>
        <v>#REF!</v>
      </c>
      <c r="BH53" s="565" t="e">
        <f>INDEX(#REF!,MATCH(計算sheet!BH$50,#REF!,0),MATCH(N53,#REF!,0))</f>
        <v>#REF!</v>
      </c>
      <c r="BI53" s="513" t="e">
        <f t="shared" si="18"/>
        <v>#REF!</v>
      </c>
      <c r="BK53" s="514"/>
      <c r="BN53" s="565" t="e">
        <f>INDEX(#REF!,MATCH(計算sheet!BN$50,#REF!,0),MATCH(N53,#REF!,0))</f>
        <v>#REF!</v>
      </c>
      <c r="BO53" s="565" t="e">
        <f>INDEX(#REF!,MATCH(計算sheet!BO$50,#REF!,0),MATCH(N53,#REF!,0))</f>
        <v>#REF!</v>
      </c>
      <c r="BP53" s="565" t="e">
        <f>INDEX(#REF!,MATCH(計算sheet!BP$50,#REF!,0),MATCH(N53,#REF!,0))</f>
        <v>#REF!</v>
      </c>
      <c r="BQ53" s="565" t="e">
        <f>INDEX(#REF!,MATCH(計算sheet!BQ$50,#REF!,0),MATCH(N53,#REF!,0))</f>
        <v>#REF!</v>
      </c>
      <c r="BR53" s="565" t="e">
        <f>INDEX(#REF!,MATCH(計算sheet!BR$50,#REF!,0),MATCH(N53,#REF!,0))</f>
        <v>#REF!</v>
      </c>
      <c r="BS53" s="565" t="e">
        <f>INDEX(#REF!,MATCH(計算sheet!BS$50,#REF!,0),MATCH(N53,#REF!,0))</f>
        <v>#REF!</v>
      </c>
      <c r="BT53" s="565" t="e">
        <f>INDEX(#REF!,MATCH(計算sheet!BT$50,#REF!,0),MATCH(N53,#REF!,0))</f>
        <v>#REF!</v>
      </c>
      <c r="BU53" s="513" t="e">
        <f t="shared" si="19"/>
        <v>#REF!</v>
      </c>
      <c r="BW53" s="565" t="e">
        <f>INDEX(#REF!,MATCH(計算sheet!BW$50,#REF!,0),MATCH(N53,#REF!,0))</f>
        <v>#REF!</v>
      </c>
      <c r="BX53" s="565" t="e">
        <f>INDEX(#REF!,MATCH(計算sheet!BX$50,#REF!,0),MATCH(N53,#REF!,0))</f>
        <v>#REF!</v>
      </c>
      <c r="BY53" s="565" t="e">
        <f>INDEX(#REF!,MATCH(計算sheet!BY$50,#REF!,0),MATCH(N53,#REF!,0))</f>
        <v>#REF!</v>
      </c>
      <c r="BZ53" s="565" t="e">
        <f>INDEX(#REF!,MATCH(計算sheet!BZ$50,#REF!,0),MATCH(N53,#REF!,0))</f>
        <v>#REF!</v>
      </c>
      <c r="CA53" s="565" t="e">
        <f>INDEX(#REF!,MATCH(計算sheet!CA$50,#REF!,0),MATCH(N53,#REF!,0))</f>
        <v>#REF!</v>
      </c>
      <c r="CB53" s="565" t="e">
        <f>INDEX(#REF!,MATCH(計算sheet!CB$50,#REF!,0),MATCH(N53,#REF!,0))</f>
        <v>#REF!</v>
      </c>
      <c r="CC53" s="565" t="e">
        <f>INDEX(#REF!,MATCH(計算sheet!CC$50,#REF!,0),MATCH(N53,#REF!,0))</f>
        <v>#REF!</v>
      </c>
      <c r="CD53" s="513" t="e">
        <f t="shared" si="20"/>
        <v>#REF!</v>
      </c>
      <c r="CF53" s="566" t="e">
        <f>(INDEX(#REF!,MATCH(計算sheet!$CF$50,#REF!,0),MATCH(N53,#REF!,0)))/1000</f>
        <v>#REF!</v>
      </c>
      <c r="CJ53" s="513" t="e">
        <f t="shared" ref="CJ53:CJ60" si="29">CF53*(1+0.00393*($CH$51-20))</f>
        <v>#REF!</v>
      </c>
      <c r="CL53" s="517" t="e">
        <f t="shared" ref="CL53:CL60" si="30">IF($BL$51&gt;=600000,BU53,CD53)-CF53</f>
        <v>#REF!</v>
      </c>
      <c r="CN53" s="518" t="e">
        <f t="shared" si="21"/>
        <v>#REF!</v>
      </c>
      <c r="CP53" s="518" t="e">
        <f t="shared" si="22"/>
        <v>#REF!</v>
      </c>
      <c r="CR53" s="514"/>
      <c r="CS53" s="518" t="e">
        <f t="shared" ref="CS53:CS60" si="31">BI53+CN53+CP53</f>
        <v>#REF!</v>
      </c>
      <c r="CV53" s="514"/>
      <c r="CY53" s="567" t="e">
        <f>INDEX(#REF!,MATCH(計算sheet!$CY$50,#REF!,0),MATCH(N53,#REF!,0))</f>
        <v>#REF!</v>
      </c>
      <c r="DA53" s="519" t="e">
        <f t="shared" ref="DA53:DA60" si="32">(BI53+CN53+CP53)*CY53</f>
        <v>#REF!</v>
      </c>
      <c r="DB53" s="519" t="e">
        <f t="shared" si="10"/>
        <v>#REF!</v>
      </c>
      <c r="DC53" s="519" t="e">
        <f t="shared" ref="DC53:DC60" si="33">(BI53+DN53+CP53)*CY53</f>
        <v>#REF!</v>
      </c>
      <c r="DD53" s="519" t="e">
        <f t="shared" ref="DD53:DD60" si="34">(BI53+DO53+CP53)*CY53</f>
        <v>#REF!</v>
      </c>
      <c r="DE53" s="520" t="e">
        <f t="shared" ref="DE53:DE60" si="35">DA53+$CW$51</f>
        <v>#REF!</v>
      </c>
      <c r="DF53" s="520" t="e">
        <f t="shared" ref="DF53:DF60" si="36">DB53+$CW$51</f>
        <v>#REF!</v>
      </c>
      <c r="DG53" s="520" t="e">
        <f t="shared" ref="DG53:DG60" si="37">DC53+$CW$51</f>
        <v>#REF!</v>
      </c>
      <c r="DH53" s="520" t="e">
        <f t="shared" ref="DH53:DH60" si="38">DD53+$CW$51</f>
        <v>#REF!</v>
      </c>
      <c r="DI53" s="521" t="e">
        <f t="shared" ref="DI53:DI60" si="39">CF53*(1+0.00393*(DE53-20))</f>
        <v>#REF!</v>
      </c>
      <c r="DJ53" s="521" t="e">
        <f t="shared" ref="DJ53:DJ60" si="40">CF53*(1+0.00393*(DF53-20))</f>
        <v>#REF!</v>
      </c>
      <c r="DK53" s="521" t="e">
        <f t="shared" ref="DK53:DK60" si="41">CF53*(1+0.00393*(DG53-20))</f>
        <v>#REF!</v>
      </c>
      <c r="DL53" s="521" t="e">
        <f t="shared" ref="DL53:DL60" si="42">CF53*(1+0.00393*(DH53-20))</f>
        <v>#REF!</v>
      </c>
      <c r="DM53" s="522" t="e">
        <f t="shared" si="23"/>
        <v>#REF!</v>
      </c>
      <c r="DN53" s="522" t="e">
        <f t="shared" si="24"/>
        <v>#REF!</v>
      </c>
      <c r="DO53" s="522" t="e">
        <f t="shared" si="25"/>
        <v>#REF!</v>
      </c>
      <c r="DP53" s="522" t="e">
        <f t="shared" si="26"/>
        <v>#REF!</v>
      </c>
      <c r="DR53" s="523" t="e">
        <f t="shared" ref="DR53:DR60" si="43">DP53+BI53+CP53</f>
        <v>#REF!</v>
      </c>
      <c r="DS53" s="524" t="e">
        <f t="shared" ref="DS53:DS60" si="44">DR53*CY53</f>
        <v>#REF!</v>
      </c>
      <c r="DT53" s="524" t="e">
        <f t="shared" ref="DT53:DT60" si="45">DH53</f>
        <v>#REF!</v>
      </c>
    </row>
    <row r="54" spans="1:124" s="6" customFormat="1" ht="14.25">
      <c r="A54"/>
      <c r="B54" s="399"/>
      <c r="C54" s="399"/>
      <c r="D54" s="399"/>
      <c r="E54" s="399"/>
      <c r="F54" s="399"/>
      <c r="G54" s="399"/>
      <c r="H54" s="399"/>
      <c r="I54" s="399"/>
      <c r="J54" s="399"/>
      <c r="K54" s="399"/>
      <c r="L54" s="399"/>
      <c r="M54" s="399"/>
      <c r="N54" s="412" t="str">
        <f>'DCDC Ref'!N54</f>
        <v>ETQP4MR68KVK</v>
      </c>
      <c r="O54" s="399"/>
      <c r="P54" s="399"/>
      <c r="Q54" s="399"/>
      <c r="R54" s="435"/>
      <c r="S54" s="399"/>
      <c r="T54" s="58" t="e">
        <f>INDEX(#REF!,MATCH(N54,#REF!,0))</f>
        <v>#REF!</v>
      </c>
      <c r="U54" s="58"/>
      <c r="V54" s="525"/>
      <c r="W54" s="525"/>
      <c r="X54" s="505" t="e">
        <f t="shared" si="4"/>
        <v>#REF!</v>
      </c>
      <c r="Y54" s="505" t="e">
        <f t="shared" si="5"/>
        <v>#REF!</v>
      </c>
      <c r="Z54" s="505" t="e">
        <f t="shared" si="6"/>
        <v>#REF!</v>
      </c>
      <c r="AA54" s="505"/>
      <c r="AB54" s="505"/>
      <c r="AC54" s="505"/>
      <c r="AD54" s="505" t="e">
        <f t="shared" si="7"/>
        <v>#REF!</v>
      </c>
      <c r="AE54" s="505" t="e">
        <f t="shared" si="8"/>
        <v>#REF!</v>
      </c>
      <c r="AF54" s="505" t="e">
        <f t="shared" si="9"/>
        <v>#REF!</v>
      </c>
      <c r="AG54" s="505"/>
      <c r="AH54" s="506"/>
      <c r="AI54" s="506"/>
      <c r="AJ54" s="505" t="e">
        <f t="shared" si="27"/>
        <v>#REF!</v>
      </c>
      <c r="AK54" s="505" t="e">
        <f t="shared" si="28"/>
        <v>#REF!</v>
      </c>
      <c r="AL54" s="505" t="e">
        <f t="shared" si="12"/>
        <v>#REF!</v>
      </c>
      <c r="AP54" s="509" t="e">
        <f t="shared" si="13"/>
        <v>#REF!</v>
      </c>
      <c r="AQ54" s="509" t="e">
        <f t="shared" si="14"/>
        <v>#REF!</v>
      </c>
      <c r="AR54" s="509" t="e">
        <f t="shared" si="15"/>
        <v>#REF!</v>
      </c>
      <c r="AT54" s="501"/>
      <c r="AU54" s="502"/>
      <c r="AX54" s="565" t="e">
        <f>INDEX(#REF!,MATCH(計算sheet!AX$50,#REF!,0),MATCH(N54,#REF!,0))</f>
        <v>#REF!</v>
      </c>
      <c r="AY54" s="565" t="e">
        <f>INDEX(#REF!,MATCH(計算sheet!AY$50,#REF!,0),MATCH(N54,#REF!,0))</f>
        <v>#REF!</v>
      </c>
      <c r="AZ54" s="565" t="e">
        <f>INDEX(#REF!,MATCH(計算sheet!AZ$50,#REF!,0),MATCH(N54,#REF!,0))</f>
        <v>#REF!</v>
      </c>
      <c r="BA54" s="565" t="e">
        <f>INDEX(#REF!,MATCH(計算sheet!BA$50,#REF!,0),MATCH(N54,#REF!,0))</f>
        <v>#REF!</v>
      </c>
      <c r="BB54" s="565" t="e">
        <f>INDEX(#REF!,MATCH(計算sheet!BB$50,#REF!,0),MATCH(N54,#REF!,0))</f>
        <v>#REF!</v>
      </c>
      <c r="BC54" s="565" t="e">
        <f>INDEX(#REF!,MATCH(計算sheet!BC$50,#REF!,0),MATCH(N54,#REF!,0))</f>
        <v>#REF!</v>
      </c>
      <c r="BD54" s="565" t="e">
        <f>INDEX(#REF!,MATCH(計算sheet!BD$50,#REF!,0),MATCH(N54,#REF!,0))</f>
        <v>#REF!</v>
      </c>
      <c r="BE54" s="511">
        <f t="shared" si="16"/>
        <v>2000000</v>
      </c>
      <c r="BF54" s="565" t="e">
        <f>INDEX(#REF!,MATCH(計算sheet!BF$50,#REF!,0),MATCH(N54,#REF!,0))</f>
        <v>#REF!</v>
      </c>
      <c r="BG54" s="512" t="e">
        <f t="shared" si="17"/>
        <v>#REF!</v>
      </c>
      <c r="BH54" s="565" t="e">
        <f>INDEX(#REF!,MATCH(計算sheet!BH$50,#REF!,0),MATCH(N54,#REF!,0))</f>
        <v>#REF!</v>
      </c>
      <c r="BI54" s="513" t="e">
        <f t="shared" si="18"/>
        <v>#REF!</v>
      </c>
      <c r="BK54" s="514"/>
      <c r="BN54" s="565" t="e">
        <f>INDEX(#REF!,MATCH(計算sheet!BN$50,#REF!,0),MATCH(N54,#REF!,0))</f>
        <v>#REF!</v>
      </c>
      <c r="BO54" s="565" t="e">
        <f>INDEX(#REF!,MATCH(計算sheet!BO$50,#REF!,0),MATCH(N54,#REF!,0))</f>
        <v>#REF!</v>
      </c>
      <c r="BP54" s="565" t="e">
        <f>INDEX(#REF!,MATCH(計算sheet!BP$50,#REF!,0),MATCH(N54,#REF!,0))</f>
        <v>#REF!</v>
      </c>
      <c r="BQ54" s="565" t="e">
        <f>INDEX(#REF!,MATCH(計算sheet!BQ$50,#REF!,0),MATCH(N54,#REF!,0))</f>
        <v>#REF!</v>
      </c>
      <c r="BR54" s="565" t="e">
        <f>INDEX(#REF!,MATCH(計算sheet!BR$50,#REF!,0),MATCH(N54,#REF!,0))</f>
        <v>#REF!</v>
      </c>
      <c r="BS54" s="565" t="e">
        <f>INDEX(#REF!,MATCH(計算sheet!BS$50,#REF!,0),MATCH(N54,#REF!,0))</f>
        <v>#REF!</v>
      </c>
      <c r="BT54" s="565" t="e">
        <f>INDEX(#REF!,MATCH(計算sheet!BT$50,#REF!,0),MATCH(N54,#REF!,0))</f>
        <v>#REF!</v>
      </c>
      <c r="BU54" s="513" t="e">
        <f t="shared" si="19"/>
        <v>#REF!</v>
      </c>
      <c r="BW54" s="565" t="e">
        <f>INDEX(#REF!,MATCH(計算sheet!BW$50,#REF!,0),MATCH(N54,#REF!,0))</f>
        <v>#REF!</v>
      </c>
      <c r="BX54" s="565" t="e">
        <f>INDEX(#REF!,MATCH(計算sheet!BX$50,#REF!,0),MATCH(N54,#REF!,0))</f>
        <v>#REF!</v>
      </c>
      <c r="BY54" s="565" t="e">
        <f>INDEX(#REF!,MATCH(計算sheet!BY$50,#REF!,0),MATCH(N54,#REF!,0))</f>
        <v>#REF!</v>
      </c>
      <c r="BZ54" s="565" t="e">
        <f>INDEX(#REF!,MATCH(計算sheet!BZ$50,#REF!,0),MATCH(N54,#REF!,0))</f>
        <v>#REF!</v>
      </c>
      <c r="CA54" s="565" t="e">
        <f>INDEX(#REF!,MATCH(計算sheet!CA$50,#REF!,0),MATCH(N54,#REF!,0))</f>
        <v>#REF!</v>
      </c>
      <c r="CB54" s="565" t="e">
        <f>INDEX(#REF!,MATCH(計算sheet!CB$50,#REF!,0),MATCH(N54,#REF!,0))</f>
        <v>#REF!</v>
      </c>
      <c r="CC54" s="565" t="e">
        <f>INDEX(#REF!,MATCH(計算sheet!CC$50,#REF!,0),MATCH(N54,#REF!,0))</f>
        <v>#REF!</v>
      </c>
      <c r="CD54" s="513" t="e">
        <f t="shared" si="20"/>
        <v>#REF!</v>
      </c>
      <c r="CF54" s="566" t="e">
        <f>(INDEX(#REF!,MATCH(計算sheet!$CF$50,#REF!,0),MATCH(N54,#REF!,0)))/1000</f>
        <v>#REF!</v>
      </c>
      <c r="CJ54" s="513" t="e">
        <f t="shared" si="29"/>
        <v>#REF!</v>
      </c>
      <c r="CL54" s="517" t="e">
        <f t="shared" si="30"/>
        <v>#REF!</v>
      </c>
      <c r="CN54" s="518" t="e">
        <f t="shared" si="21"/>
        <v>#REF!</v>
      </c>
      <c r="CP54" s="518" t="e">
        <f t="shared" si="22"/>
        <v>#REF!</v>
      </c>
      <c r="CR54" s="514"/>
      <c r="CS54" s="518" t="e">
        <f t="shared" si="31"/>
        <v>#REF!</v>
      </c>
      <c r="CV54" s="514"/>
      <c r="CY54" s="567" t="e">
        <f>INDEX(#REF!,MATCH(計算sheet!$CY$50,#REF!,0),MATCH(N54,#REF!,0))</f>
        <v>#REF!</v>
      </c>
      <c r="DA54" s="519" t="e">
        <f t="shared" si="32"/>
        <v>#REF!</v>
      </c>
      <c r="DB54" s="519" t="e">
        <f t="shared" si="10"/>
        <v>#REF!</v>
      </c>
      <c r="DC54" s="519" t="e">
        <f t="shared" si="33"/>
        <v>#REF!</v>
      </c>
      <c r="DD54" s="519" t="e">
        <f t="shared" si="34"/>
        <v>#REF!</v>
      </c>
      <c r="DE54" s="520" t="e">
        <f t="shared" si="35"/>
        <v>#REF!</v>
      </c>
      <c r="DF54" s="520" t="e">
        <f t="shared" si="36"/>
        <v>#REF!</v>
      </c>
      <c r="DG54" s="520" t="e">
        <f t="shared" si="37"/>
        <v>#REF!</v>
      </c>
      <c r="DH54" s="520" t="e">
        <f t="shared" si="38"/>
        <v>#REF!</v>
      </c>
      <c r="DI54" s="521" t="e">
        <f t="shared" si="39"/>
        <v>#REF!</v>
      </c>
      <c r="DJ54" s="521" t="e">
        <f t="shared" si="40"/>
        <v>#REF!</v>
      </c>
      <c r="DK54" s="521" t="e">
        <f t="shared" si="41"/>
        <v>#REF!</v>
      </c>
      <c r="DL54" s="521" t="e">
        <f t="shared" si="42"/>
        <v>#REF!</v>
      </c>
      <c r="DM54" s="522" t="e">
        <f t="shared" si="23"/>
        <v>#REF!</v>
      </c>
      <c r="DN54" s="522" t="e">
        <f t="shared" si="24"/>
        <v>#REF!</v>
      </c>
      <c r="DO54" s="522" t="e">
        <f t="shared" si="25"/>
        <v>#REF!</v>
      </c>
      <c r="DP54" s="522" t="e">
        <f t="shared" si="26"/>
        <v>#REF!</v>
      </c>
      <c r="DR54" s="523" t="e">
        <f t="shared" si="43"/>
        <v>#REF!</v>
      </c>
      <c r="DS54" s="524" t="e">
        <f t="shared" si="44"/>
        <v>#REF!</v>
      </c>
      <c r="DT54" s="524" t="e">
        <f t="shared" si="45"/>
        <v>#REF!</v>
      </c>
    </row>
    <row r="55" spans="1:124" s="6" customFormat="1" ht="14.25">
      <c r="A55"/>
      <c r="B55" s="399"/>
      <c r="C55" s="399"/>
      <c r="D55" s="399"/>
      <c r="E55" s="399"/>
      <c r="F55" s="399"/>
      <c r="G55" s="399"/>
      <c r="H55" s="399"/>
      <c r="I55" s="399"/>
      <c r="J55" s="399"/>
      <c r="K55" s="399"/>
      <c r="L55" s="399"/>
      <c r="M55" s="399"/>
      <c r="N55" s="412" t="str">
        <f>'DCDC Ref'!N55</f>
        <v>ETQP5MR68YLC</v>
      </c>
      <c r="O55" s="399"/>
      <c r="P55" s="399"/>
      <c r="Q55" s="399"/>
      <c r="R55" s="435"/>
      <c r="S55" s="399"/>
      <c r="T55" s="58" t="e">
        <f>INDEX(#REF!,MATCH(N55,#REF!,0))</f>
        <v>#REF!</v>
      </c>
      <c r="U55" s="58"/>
      <c r="V55" s="525"/>
      <c r="W55" s="525"/>
      <c r="X55" s="505" t="e">
        <f t="shared" si="4"/>
        <v>#REF!</v>
      </c>
      <c r="Y55" s="505" t="e">
        <f t="shared" si="5"/>
        <v>#REF!</v>
      </c>
      <c r="Z55" s="505" t="e">
        <f t="shared" si="6"/>
        <v>#REF!</v>
      </c>
      <c r="AA55" s="505"/>
      <c r="AB55" s="505"/>
      <c r="AC55" s="505"/>
      <c r="AD55" s="505" t="e">
        <f t="shared" si="7"/>
        <v>#REF!</v>
      </c>
      <c r="AE55" s="505" t="e">
        <f t="shared" si="8"/>
        <v>#REF!</v>
      </c>
      <c r="AF55" s="505" t="e">
        <f t="shared" si="9"/>
        <v>#REF!</v>
      </c>
      <c r="AG55" s="505"/>
      <c r="AH55" s="506"/>
      <c r="AI55" s="506"/>
      <c r="AJ55" s="505" t="e">
        <f t="shared" si="27"/>
        <v>#REF!</v>
      </c>
      <c r="AK55" s="505" t="e">
        <f t="shared" si="28"/>
        <v>#REF!</v>
      </c>
      <c r="AL55" s="505" t="e">
        <f t="shared" si="12"/>
        <v>#REF!</v>
      </c>
      <c r="AP55" s="509" t="e">
        <f t="shared" si="13"/>
        <v>#REF!</v>
      </c>
      <c r="AQ55" s="509" t="e">
        <f t="shared" si="14"/>
        <v>#REF!</v>
      </c>
      <c r="AR55" s="509" t="e">
        <f t="shared" si="15"/>
        <v>#REF!</v>
      </c>
      <c r="AT55" s="501"/>
      <c r="AU55" s="502"/>
      <c r="AX55" s="565" t="e">
        <f>INDEX(#REF!,MATCH(計算sheet!AX$50,#REF!,0),MATCH(N55,#REF!,0))</f>
        <v>#REF!</v>
      </c>
      <c r="AY55" s="565" t="e">
        <f>INDEX(#REF!,MATCH(計算sheet!AY$50,#REF!,0),MATCH(N55,#REF!,0))</f>
        <v>#REF!</v>
      </c>
      <c r="AZ55" s="565" t="e">
        <f>INDEX(#REF!,MATCH(計算sheet!AZ$50,#REF!,0),MATCH(N55,#REF!,0))</f>
        <v>#REF!</v>
      </c>
      <c r="BA55" s="565" t="e">
        <f>INDEX(#REF!,MATCH(計算sheet!BA$50,#REF!,0),MATCH(N55,#REF!,0))</f>
        <v>#REF!</v>
      </c>
      <c r="BB55" s="565" t="e">
        <f>INDEX(#REF!,MATCH(計算sheet!BB$50,#REF!,0),MATCH(N55,#REF!,0))</f>
        <v>#REF!</v>
      </c>
      <c r="BC55" s="565" t="e">
        <f>INDEX(#REF!,MATCH(計算sheet!BC$50,#REF!,0),MATCH(N55,#REF!,0))</f>
        <v>#REF!</v>
      </c>
      <c r="BD55" s="565" t="e">
        <f>INDEX(#REF!,MATCH(計算sheet!BD$50,#REF!,0),MATCH(N55,#REF!,0))</f>
        <v>#REF!</v>
      </c>
      <c r="BE55" s="511">
        <f t="shared" si="16"/>
        <v>2000000</v>
      </c>
      <c r="BF55" s="565" t="e">
        <f>INDEX(#REF!,MATCH(計算sheet!BF$50,#REF!,0),MATCH(N55,#REF!,0))</f>
        <v>#REF!</v>
      </c>
      <c r="BG55" s="512" t="e">
        <f t="shared" si="17"/>
        <v>#REF!</v>
      </c>
      <c r="BH55" s="565" t="e">
        <f>INDEX(#REF!,MATCH(計算sheet!BH$50,#REF!,0),MATCH(N55,#REF!,0))</f>
        <v>#REF!</v>
      </c>
      <c r="BI55" s="513" t="e">
        <f t="shared" si="18"/>
        <v>#REF!</v>
      </c>
      <c r="BK55" s="514"/>
      <c r="BN55" s="565" t="e">
        <f>INDEX(#REF!,MATCH(計算sheet!BN$50,#REF!,0),MATCH(N55,#REF!,0))</f>
        <v>#REF!</v>
      </c>
      <c r="BO55" s="565" t="e">
        <f>INDEX(#REF!,MATCH(計算sheet!BO$50,#REF!,0),MATCH(N55,#REF!,0))</f>
        <v>#REF!</v>
      </c>
      <c r="BP55" s="565" t="e">
        <f>INDEX(#REF!,MATCH(計算sheet!BP$50,#REF!,0),MATCH(N55,#REF!,0))</f>
        <v>#REF!</v>
      </c>
      <c r="BQ55" s="565" t="e">
        <f>INDEX(#REF!,MATCH(計算sheet!BQ$50,#REF!,0),MATCH(N55,#REF!,0))</f>
        <v>#REF!</v>
      </c>
      <c r="BR55" s="565" t="e">
        <f>INDEX(#REF!,MATCH(計算sheet!BR$50,#REF!,0),MATCH(N55,#REF!,0))</f>
        <v>#REF!</v>
      </c>
      <c r="BS55" s="565" t="e">
        <f>INDEX(#REF!,MATCH(計算sheet!BS$50,#REF!,0),MATCH(N55,#REF!,0))</f>
        <v>#REF!</v>
      </c>
      <c r="BT55" s="565" t="e">
        <f>INDEX(#REF!,MATCH(計算sheet!BT$50,#REF!,0),MATCH(N55,#REF!,0))</f>
        <v>#REF!</v>
      </c>
      <c r="BU55" s="513" t="e">
        <f t="shared" si="19"/>
        <v>#REF!</v>
      </c>
      <c r="BW55" s="565" t="e">
        <f>INDEX(#REF!,MATCH(計算sheet!BW$50,#REF!,0),MATCH(N55,#REF!,0))</f>
        <v>#REF!</v>
      </c>
      <c r="BX55" s="565" t="e">
        <f>INDEX(#REF!,MATCH(計算sheet!BX$50,#REF!,0),MATCH(N55,#REF!,0))</f>
        <v>#REF!</v>
      </c>
      <c r="BY55" s="565" t="e">
        <f>INDEX(#REF!,MATCH(計算sheet!BY$50,#REF!,0),MATCH(N55,#REF!,0))</f>
        <v>#REF!</v>
      </c>
      <c r="BZ55" s="565" t="e">
        <f>INDEX(#REF!,MATCH(計算sheet!BZ$50,#REF!,0),MATCH(N55,#REF!,0))</f>
        <v>#REF!</v>
      </c>
      <c r="CA55" s="565" t="e">
        <f>INDEX(#REF!,MATCH(計算sheet!CA$50,#REF!,0),MATCH(N55,#REF!,0))</f>
        <v>#REF!</v>
      </c>
      <c r="CB55" s="565" t="e">
        <f>INDEX(#REF!,MATCH(計算sheet!CB$50,#REF!,0),MATCH(N55,#REF!,0))</f>
        <v>#REF!</v>
      </c>
      <c r="CC55" s="565" t="e">
        <f>INDEX(#REF!,MATCH(計算sheet!CC$50,#REF!,0),MATCH(N55,#REF!,0))</f>
        <v>#REF!</v>
      </c>
      <c r="CD55" s="513" t="e">
        <f t="shared" si="20"/>
        <v>#REF!</v>
      </c>
      <c r="CF55" s="566" t="e">
        <f>(INDEX(#REF!,MATCH(計算sheet!$CF$50,#REF!,0),MATCH(N55,#REF!,0)))/1000</f>
        <v>#REF!</v>
      </c>
      <c r="CJ55" s="513" t="e">
        <f t="shared" si="29"/>
        <v>#REF!</v>
      </c>
      <c r="CL55" s="517" t="e">
        <f t="shared" si="30"/>
        <v>#REF!</v>
      </c>
      <c r="CN55" s="518" t="e">
        <f t="shared" si="21"/>
        <v>#REF!</v>
      </c>
      <c r="CP55" s="518" t="e">
        <f t="shared" si="22"/>
        <v>#REF!</v>
      </c>
      <c r="CR55" s="514"/>
      <c r="CS55" s="518" t="e">
        <f t="shared" si="31"/>
        <v>#REF!</v>
      </c>
      <c r="CV55" s="514"/>
      <c r="CY55" s="567" t="e">
        <f>INDEX(#REF!,MATCH(計算sheet!$CY$50,#REF!,0),MATCH(N55,#REF!,0))</f>
        <v>#REF!</v>
      </c>
      <c r="DA55" s="519" t="e">
        <f t="shared" si="32"/>
        <v>#REF!</v>
      </c>
      <c r="DB55" s="519" t="e">
        <f t="shared" si="10"/>
        <v>#REF!</v>
      </c>
      <c r="DC55" s="519" t="e">
        <f t="shared" si="33"/>
        <v>#REF!</v>
      </c>
      <c r="DD55" s="519" t="e">
        <f t="shared" si="34"/>
        <v>#REF!</v>
      </c>
      <c r="DE55" s="520" t="e">
        <f t="shared" si="35"/>
        <v>#REF!</v>
      </c>
      <c r="DF55" s="520" t="e">
        <f t="shared" si="36"/>
        <v>#REF!</v>
      </c>
      <c r="DG55" s="520" t="e">
        <f t="shared" si="37"/>
        <v>#REF!</v>
      </c>
      <c r="DH55" s="520" t="e">
        <f t="shared" si="38"/>
        <v>#REF!</v>
      </c>
      <c r="DI55" s="521" t="e">
        <f t="shared" si="39"/>
        <v>#REF!</v>
      </c>
      <c r="DJ55" s="521" t="e">
        <f t="shared" si="40"/>
        <v>#REF!</v>
      </c>
      <c r="DK55" s="521" t="e">
        <f t="shared" si="41"/>
        <v>#REF!</v>
      </c>
      <c r="DL55" s="521" t="e">
        <f t="shared" si="42"/>
        <v>#REF!</v>
      </c>
      <c r="DM55" s="522" t="e">
        <f t="shared" si="23"/>
        <v>#REF!</v>
      </c>
      <c r="DN55" s="522" t="e">
        <f t="shared" si="24"/>
        <v>#REF!</v>
      </c>
      <c r="DO55" s="522" t="e">
        <f t="shared" si="25"/>
        <v>#REF!</v>
      </c>
      <c r="DP55" s="522" t="e">
        <f t="shared" si="26"/>
        <v>#REF!</v>
      </c>
      <c r="DR55" s="523" t="e">
        <f t="shared" si="43"/>
        <v>#REF!</v>
      </c>
      <c r="DS55" s="524" t="e">
        <f t="shared" si="44"/>
        <v>#REF!</v>
      </c>
      <c r="DT55" s="524" t="e">
        <f t="shared" si="45"/>
        <v>#REF!</v>
      </c>
    </row>
    <row r="56" spans="1:124" s="6" customFormat="1" ht="14.25">
      <c r="A56"/>
      <c r="B56" s="399"/>
      <c r="C56" s="399"/>
      <c r="D56" s="399"/>
      <c r="E56" s="399"/>
      <c r="F56" s="399"/>
      <c r="G56" s="399"/>
      <c r="H56" s="399"/>
      <c r="I56" s="399"/>
      <c r="J56" s="399"/>
      <c r="K56" s="399"/>
      <c r="L56" s="399"/>
      <c r="M56" s="399"/>
      <c r="N56" s="412" t="str">
        <f>'DCDC Ref'!N56</f>
        <v>ETQP5MR68YSC</v>
      </c>
      <c r="O56" s="399"/>
      <c r="P56" s="399"/>
      <c r="Q56" s="399"/>
      <c r="R56" s="435"/>
      <c r="S56" s="399"/>
      <c r="T56" s="58" t="e">
        <f>INDEX(#REF!,MATCH(N56,#REF!,0))</f>
        <v>#REF!</v>
      </c>
      <c r="U56" s="58"/>
      <c r="V56" s="525"/>
      <c r="W56" s="525"/>
      <c r="X56" s="505" t="e">
        <f t="shared" si="4"/>
        <v>#REF!</v>
      </c>
      <c r="Y56" s="505" t="e">
        <f t="shared" si="5"/>
        <v>#REF!</v>
      </c>
      <c r="Z56" s="505" t="e">
        <f t="shared" si="6"/>
        <v>#REF!</v>
      </c>
      <c r="AA56" s="505"/>
      <c r="AB56" s="505"/>
      <c r="AC56" s="505"/>
      <c r="AD56" s="505" t="e">
        <f t="shared" si="7"/>
        <v>#REF!</v>
      </c>
      <c r="AE56" s="505" t="e">
        <f t="shared" si="8"/>
        <v>#REF!</v>
      </c>
      <c r="AF56" s="505" t="e">
        <f t="shared" si="9"/>
        <v>#REF!</v>
      </c>
      <c r="AG56" s="505"/>
      <c r="AH56" s="506"/>
      <c r="AI56" s="506"/>
      <c r="AJ56" s="505" t="e">
        <f t="shared" si="27"/>
        <v>#REF!</v>
      </c>
      <c r="AK56" s="505" t="e">
        <f t="shared" si="28"/>
        <v>#REF!</v>
      </c>
      <c r="AL56" s="505" t="e">
        <f t="shared" si="12"/>
        <v>#REF!</v>
      </c>
      <c r="AP56" s="509" t="e">
        <f t="shared" si="13"/>
        <v>#REF!</v>
      </c>
      <c r="AQ56" s="509" t="e">
        <f t="shared" si="14"/>
        <v>#REF!</v>
      </c>
      <c r="AR56" s="509" t="e">
        <f t="shared" si="15"/>
        <v>#REF!</v>
      </c>
      <c r="AT56" s="501"/>
      <c r="AU56" s="502"/>
      <c r="AX56" s="565" t="e">
        <f>INDEX(#REF!,MATCH(計算sheet!AX$50,#REF!,0),MATCH(N56,#REF!,0))</f>
        <v>#REF!</v>
      </c>
      <c r="AY56" s="565" t="e">
        <f>INDEX(#REF!,MATCH(計算sheet!AY$50,#REF!,0),MATCH(N56,#REF!,0))</f>
        <v>#REF!</v>
      </c>
      <c r="AZ56" s="565" t="e">
        <f>INDEX(#REF!,MATCH(計算sheet!AZ$50,#REF!,0),MATCH(N56,#REF!,0))</f>
        <v>#REF!</v>
      </c>
      <c r="BA56" s="565" t="e">
        <f>INDEX(#REF!,MATCH(計算sheet!BA$50,#REF!,0),MATCH(N56,#REF!,0))</f>
        <v>#REF!</v>
      </c>
      <c r="BB56" s="565" t="e">
        <f>INDEX(#REF!,MATCH(計算sheet!BB$50,#REF!,0),MATCH(N56,#REF!,0))</f>
        <v>#REF!</v>
      </c>
      <c r="BC56" s="565" t="e">
        <f>INDEX(#REF!,MATCH(計算sheet!BC$50,#REF!,0),MATCH(N56,#REF!,0))</f>
        <v>#REF!</v>
      </c>
      <c r="BD56" s="565" t="e">
        <f>INDEX(#REF!,MATCH(計算sheet!BD$50,#REF!,0),MATCH(N56,#REF!,0))</f>
        <v>#REF!</v>
      </c>
      <c r="BE56" s="511">
        <f t="shared" si="16"/>
        <v>2000000</v>
      </c>
      <c r="BF56" s="565" t="e">
        <f>INDEX(#REF!,MATCH(計算sheet!BF$50,#REF!,0),MATCH(N56,#REF!,0))</f>
        <v>#REF!</v>
      </c>
      <c r="BG56" s="512" t="e">
        <f t="shared" si="17"/>
        <v>#REF!</v>
      </c>
      <c r="BH56" s="565" t="e">
        <f>INDEX(#REF!,MATCH(計算sheet!BH$50,#REF!,0),MATCH(N56,#REF!,0))</f>
        <v>#REF!</v>
      </c>
      <c r="BI56" s="513" t="e">
        <f t="shared" si="18"/>
        <v>#REF!</v>
      </c>
      <c r="BK56" s="514"/>
      <c r="BN56" s="565" t="e">
        <f>INDEX(#REF!,MATCH(計算sheet!BN$50,#REF!,0),MATCH(N56,#REF!,0))</f>
        <v>#REF!</v>
      </c>
      <c r="BO56" s="565" t="e">
        <f>INDEX(#REF!,MATCH(計算sheet!BO$50,#REF!,0),MATCH(N56,#REF!,0))</f>
        <v>#REF!</v>
      </c>
      <c r="BP56" s="565" t="e">
        <f>INDEX(#REF!,MATCH(計算sheet!BP$50,#REF!,0),MATCH(N56,#REF!,0))</f>
        <v>#REF!</v>
      </c>
      <c r="BQ56" s="565" t="e">
        <f>INDEX(#REF!,MATCH(計算sheet!BQ$50,#REF!,0),MATCH(N56,#REF!,0))</f>
        <v>#REF!</v>
      </c>
      <c r="BR56" s="565" t="e">
        <f>INDEX(#REF!,MATCH(計算sheet!BR$50,#REF!,0),MATCH(N56,#REF!,0))</f>
        <v>#REF!</v>
      </c>
      <c r="BS56" s="565" t="e">
        <f>INDEX(#REF!,MATCH(計算sheet!BS$50,#REF!,0),MATCH(N56,#REF!,0))</f>
        <v>#REF!</v>
      </c>
      <c r="BT56" s="565" t="e">
        <f>INDEX(#REF!,MATCH(計算sheet!BT$50,#REF!,0),MATCH(N56,#REF!,0))</f>
        <v>#REF!</v>
      </c>
      <c r="BU56" s="513" t="e">
        <f t="shared" si="19"/>
        <v>#REF!</v>
      </c>
      <c r="BW56" s="565" t="e">
        <f>INDEX(#REF!,MATCH(計算sheet!BW$50,#REF!,0),MATCH(N56,#REF!,0))</f>
        <v>#REF!</v>
      </c>
      <c r="BX56" s="565" t="e">
        <f>INDEX(#REF!,MATCH(計算sheet!BX$50,#REF!,0),MATCH(N56,#REF!,0))</f>
        <v>#REF!</v>
      </c>
      <c r="BY56" s="565" t="e">
        <f>INDEX(#REF!,MATCH(計算sheet!BY$50,#REF!,0),MATCH(N56,#REF!,0))</f>
        <v>#REF!</v>
      </c>
      <c r="BZ56" s="565" t="e">
        <f>INDEX(#REF!,MATCH(計算sheet!BZ$50,#REF!,0),MATCH(N56,#REF!,0))</f>
        <v>#REF!</v>
      </c>
      <c r="CA56" s="565" t="e">
        <f>INDEX(#REF!,MATCH(計算sheet!CA$50,#REF!,0),MATCH(N56,#REF!,0))</f>
        <v>#REF!</v>
      </c>
      <c r="CB56" s="565" t="e">
        <f>INDEX(#REF!,MATCH(計算sheet!CB$50,#REF!,0),MATCH(N56,#REF!,0))</f>
        <v>#REF!</v>
      </c>
      <c r="CC56" s="565" t="e">
        <f>INDEX(#REF!,MATCH(計算sheet!CC$50,#REF!,0),MATCH(N56,#REF!,0))</f>
        <v>#REF!</v>
      </c>
      <c r="CD56" s="513" t="e">
        <f t="shared" si="20"/>
        <v>#REF!</v>
      </c>
      <c r="CF56" s="566" t="e">
        <f>(INDEX(#REF!,MATCH(計算sheet!$CF$50,#REF!,0),MATCH(N56,#REF!,0)))/1000</f>
        <v>#REF!</v>
      </c>
      <c r="CJ56" s="513" t="e">
        <f t="shared" si="29"/>
        <v>#REF!</v>
      </c>
      <c r="CL56" s="517" t="e">
        <f t="shared" si="30"/>
        <v>#REF!</v>
      </c>
      <c r="CN56" s="518" t="e">
        <f t="shared" si="21"/>
        <v>#REF!</v>
      </c>
      <c r="CP56" s="518" t="e">
        <f t="shared" si="22"/>
        <v>#REF!</v>
      </c>
      <c r="CR56" s="514"/>
      <c r="CS56" s="518" t="e">
        <f t="shared" si="31"/>
        <v>#REF!</v>
      </c>
      <c r="CV56" s="514"/>
      <c r="CY56" s="567" t="e">
        <f>INDEX(#REF!,MATCH(計算sheet!$CY$50,#REF!,0),MATCH(N56,#REF!,0))</f>
        <v>#REF!</v>
      </c>
      <c r="DA56" s="519" t="e">
        <f t="shared" si="32"/>
        <v>#REF!</v>
      </c>
      <c r="DB56" s="519" t="e">
        <f t="shared" si="10"/>
        <v>#REF!</v>
      </c>
      <c r="DC56" s="519" t="e">
        <f t="shared" si="33"/>
        <v>#REF!</v>
      </c>
      <c r="DD56" s="519" t="e">
        <f t="shared" si="34"/>
        <v>#REF!</v>
      </c>
      <c r="DE56" s="520" t="e">
        <f t="shared" si="35"/>
        <v>#REF!</v>
      </c>
      <c r="DF56" s="520" t="e">
        <f t="shared" si="36"/>
        <v>#REF!</v>
      </c>
      <c r="DG56" s="520" t="e">
        <f t="shared" si="37"/>
        <v>#REF!</v>
      </c>
      <c r="DH56" s="520" t="e">
        <f t="shared" si="38"/>
        <v>#REF!</v>
      </c>
      <c r="DI56" s="521" t="e">
        <f t="shared" si="39"/>
        <v>#REF!</v>
      </c>
      <c r="DJ56" s="521" t="e">
        <f t="shared" si="40"/>
        <v>#REF!</v>
      </c>
      <c r="DK56" s="521" t="e">
        <f t="shared" si="41"/>
        <v>#REF!</v>
      </c>
      <c r="DL56" s="521" t="e">
        <f t="shared" si="42"/>
        <v>#REF!</v>
      </c>
      <c r="DM56" s="522" t="e">
        <f t="shared" si="23"/>
        <v>#REF!</v>
      </c>
      <c r="DN56" s="522" t="e">
        <f t="shared" si="24"/>
        <v>#REF!</v>
      </c>
      <c r="DO56" s="522" t="e">
        <f t="shared" si="25"/>
        <v>#REF!</v>
      </c>
      <c r="DP56" s="522" t="e">
        <f t="shared" si="26"/>
        <v>#REF!</v>
      </c>
      <c r="DR56" s="523" t="e">
        <f t="shared" si="43"/>
        <v>#REF!</v>
      </c>
      <c r="DS56" s="524" t="e">
        <f t="shared" si="44"/>
        <v>#REF!</v>
      </c>
      <c r="DT56" s="524" t="e">
        <f t="shared" si="45"/>
        <v>#REF!</v>
      </c>
    </row>
    <row r="57" spans="1:124" s="6" customFormat="1" ht="14.25">
      <c r="A57"/>
      <c r="B57" s="399"/>
      <c r="C57" s="399"/>
      <c r="D57" s="399"/>
      <c r="E57" s="399"/>
      <c r="F57" s="399"/>
      <c r="G57" s="399"/>
      <c r="H57" s="399"/>
      <c r="I57" s="399"/>
      <c r="J57" s="399"/>
      <c r="K57" s="399"/>
      <c r="L57" s="399"/>
      <c r="M57" s="399"/>
      <c r="N57" s="412" t="str">
        <f>'DCDC Ref'!N57</f>
        <v>ETQP8MR68JFA</v>
      </c>
      <c r="O57" s="399"/>
      <c r="P57" s="399"/>
      <c r="Q57" s="399"/>
      <c r="R57" s="435"/>
      <c r="S57" s="399"/>
      <c r="T57" s="58" t="e">
        <f>INDEX(#REF!,MATCH(N57,#REF!,0))</f>
        <v>#REF!</v>
      </c>
      <c r="U57" s="58"/>
      <c r="V57" s="525"/>
      <c r="W57" s="525"/>
      <c r="X57" s="505" t="e">
        <f t="shared" si="4"/>
        <v>#REF!</v>
      </c>
      <c r="Y57" s="505" t="e">
        <f t="shared" si="5"/>
        <v>#REF!</v>
      </c>
      <c r="Z57" s="505" t="e">
        <f t="shared" si="6"/>
        <v>#REF!</v>
      </c>
      <c r="AA57" s="505"/>
      <c r="AB57" s="505"/>
      <c r="AC57" s="505"/>
      <c r="AD57" s="505" t="e">
        <f t="shared" si="7"/>
        <v>#REF!</v>
      </c>
      <c r="AE57" s="505" t="e">
        <f t="shared" si="8"/>
        <v>#REF!</v>
      </c>
      <c r="AF57" s="505" t="e">
        <f t="shared" si="9"/>
        <v>#REF!</v>
      </c>
      <c r="AG57" s="505"/>
      <c r="AH57" s="506"/>
      <c r="AI57" s="506"/>
      <c r="AJ57" s="505" t="e">
        <f t="shared" si="27"/>
        <v>#REF!</v>
      </c>
      <c r="AK57" s="505" t="e">
        <f t="shared" si="28"/>
        <v>#REF!</v>
      </c>
      <c r="AL57" s="505" t="e">
        <f t="shared" si="12"/>
        <v>#REF!</v>
      </c>
      <c r="AP57" s="509" t="e">
        <f t="shared" si="13"/>
        <v>#REF!</v>
      </c>
      <c r="AQ57" s="509" t="e">
        <f t="shared" si="14"/>
        <v>#REF!</v>
      </c>
      <c r="AR57" s="509" t="e">
        <f t="shared" si="15"/>
        <v>#REF!</v>
      </c>
      <c r="AT57" s="501"/>
      <c r="AU57" s="502"/>
      <c r="AX57" s="565" t="e">
        <f>INDEX(#REF!,MATCH(計算sheet!AX$50,#REF!,0),MATCH(N57,#REF!,0))</f>
        <v>#REF!</v>
      </c>
      <c r="AY57" s="565" t="e">
        <f>INDEX(#REF!,MATCH(計算sheet!AY$50,#REF!,0),MATCH(N57,#REF!,0))</f>
        <v>#REF!</v>
      </c>
      <c r="AZ57" s="565" t="e">
        <f>INDEX(#REF!,MATCH(計算sheet!AZ$50,#REF!,0),MATCH(N57,#REF!,0))</f>
        <v>#REF!</v>
      </c>
      <c r="BA57" s="565" t="e">
        <f>INDEX(#REF!,MATCH(計算sheet!BA$50,#REF!,0),MATCH(N57,#REF!,0))</f>
        <v>#REF!</v>
      </c>
      <c r="BB57" s="565" t="e">
        <f>INDEX(#REF!,MATCH(計算sheet!BB$50,#REF!,0),MATCH(N57,#REF!,0))</f>
        <v>#REF!</v>
      </c>
      <c r="BC57" s="565" t="e">
        <f>INDEX(#REF!,MATCH(計算sheet!BC$50,#REF!,0),MATCH(N57,#REF!,0))</f>
        <v>#REF!</v>
      </c>
      <c r="BD57" s="565" t="e">
        <f>INDEX(#REF!,MATCH(計算sheet!BD$50,#REF!,0),MATCH(N57,#REF!,0))</f>
        <v>#REF!</v>
      </c>
      <c r="BE57" s="511">
        <f t="shared" si="16"/>
        <v>2000000</v>
      </c>
      <c r="BF57" s="565" t="e">
        <f>INDEX(#REF!,MATCH(計算sheet!BF$50,#REF!,0),MATCH(N57,#REF!,0))</f>
        <v>#REF!</v>
      </c>
      <c r="BG57" s="512" t="e">
        <f t="shared" si="17"/>
        <v>#REF!</v>
      </c>
      <c r="BH57" s="565" t="e">
        <f>INDEX(#REF!,MATCH(計算sheet!BH$50,#REF!,0),MATCH(N57,#REF!,0))</f>
        <v>#REF!</v>
      </c>
      <c r="BI57" s="513" t="e">
        <f t="shared" si="18"/>
        <v>#REF!</v>
      </c>
      <c r="BK57" s="514"/>
      <c r="BN57" s="565" t="e">
        <f>INDEX(#REF!,MATCH(計算sheet!BN$50,#REF!,0),MATCH(N57,#REF!,0))</f>
        <v>#REF!</v>
      </c>
      <c r="BO57" s="565" t="e">
        <f>INDEX(#REF!,MATCH(計算sheet!BO$50,#REF!,0),MATCH(N57,#REF!,0))</f>
        <v>#REF!</v>
      </c>
      <c r="BP57" s="565" t="e">
        <f>INDEX(#REF!,MATCH(計算sheet!BP$50,#REF!,0),MATCH(N57,#REF!,0))</f>
        <v>#REF!</v>
      </c>
      <c r="BQ57" s="565" t="e">
        <f>INDEX(#REF!,MATCH(計算sheet!BQ$50,#REF!,0),MATCH(N57,#REF!,0))</f>
        <v>#REF!</v>
      </c>
      <c r="BR57" s="565" t="e">
        <f>INDEX(#REF!,MATCH(計算sheet!BR$50,#REF!,0),MATCH(N57,#REF!,0))</f>
        <v>#REF!</v>
      </c>
      <c r="BS57" s="565" t="e">
        <f>INDEX(#REF!,MATCH(計算sheet!BS$50,#REF!,0),MATCH(N57,#REF!,0))</f>
        <v>#REF!</v>
      </c>
      <c r="BT57" s="565" t="e">
        <f>INDEX(#REF!,MATCH(計算sheet!BT$50,#REF!,0),MATCH(N57,#REF!,0))</f>
        <v>#REF!</v>
      </c>
      <c r="BU57" s="513" t="e">
        <f t="shared" si="19"/>
        <v>#REF!</v>
      </c>
      <c r="BW57" s="565" t="e">
        <f>INDEX(#REF!,MATCH(計算sheet!BW$50,#REF!,0),MATCH(N57,#REF!,0))</f>
        <v>#REF!</v>
      </c>
      <c r="BX57" s="565" t="e">
        <f>INDEX(#REF!,MATCH(計算sheet!BX$50,#REF!,0),MATCH(N57,#REF!,0))</f>
        <v>#REF!</v>
      </c>
      <c r="BY57" s="565" t="e">
        <f>INDEX(#REF!,MATCH(計算sheet!BY$50,#REF!,0),MATCH(N57,#REF!,0))</f>
        <v>#REF!</v>
      </c>
      <c r="BZ57" s="565" t="e">
        <f>INDEX(#REF!,MATCH(計算sheet!BZ$50,#REF!,0),MATCH(N57,#REF!,0))</f>
        <v>#REF!</v>
      </c>
      <c r="CA57" s="565" t="e">
        <f>INDEX(#REF!,MATCH(計算sheet!CA$50,#REF!,0),MATCH(N57,#REF!,0))</f>
        <v>#REF!</v>
      </c>
      <c r="CB57" s="565" t="e">
        <f>INDEX(#REF!,MATCH(計算sheet!CB$50,#REF!,0),MATCH(N57,#REF!,0))</f>
        <v>#REF!</v>
      </c>
      <c r="CC57" s="565" t="e">
        <f>INDEX(#REF!,MATCH(計算sheet!CC$50,#REF!,0),MATCH(N57,#REF!,0))</f>
        <v>#REF!</v>
      </c>
      <c r="CD57" s="513" t="e">
        <f t="shared" si="20"/>
        <v>#REF!</v>
      </c>
      <c r="CF57" s="566" t="e">
        <f>(INDEX(#REF!,MATCH(計算sheet!$CF$50,#REF!,0),MATCH(N57,#REF!,0)))/1000</f>
        <v>#REF!</v>
      </c>
      <c r="CJ57" s="513" t="e">
        <f t="shared" si="29"/>
        <v>#REF!</v>
      </c>
      <c r="CL57" s="517" t="e">
        <f t="shared" si="30"/>
        <v>#REF!</v>
      </c>
      <c r="CN57" s="518" t="e">
        <f t="shared" si="21"/>
        <v>#REF!</v>
      </c>
      <c r="CP57" s="518" t="e">
        <f t="shared" si="22"/>
        <v>#REF!</v>
      </c>
      <c r="CR57" s="514"/>
      <c r="CS57" s="518" t="e">
        <f t="shared" si="31"/>
        <v>#REF!</v>
      </c>
      <c r="CV57" s="514"/>
      <c r="CY57" s="567" t="e">
        <f>INDEX(#REF!,MATCH(計算sheet!$CY$50,#REF!,0),MATCH(N57,#REF!,0))</f>
        <v>#REF!</v>
      </c>
      <c r="DA57" s="519" t="e">
        <f t="shared" si="32"/>
        <v>#REF!</v>
      </c>
      <c r="DB57" s="519" t="e">
        <f t="shared" si="10"/>
        <v>#REF!</v>
      </c>
      <c r="DC57" s="519" t="e">
        <f t="shared" si="33"/>
        <v>#REF!</v>
      </c>
      <c r="DD57" s="519" t="e">
        <f t="shared" si="34"/>
        <v>#REF!</v>
      </c>
      <c r="DE57" s="520" t="e">
        <f t="shared" si="35"/>
        <v>#REF!</v>
      </c>
      <c r="DF57" s="520" t="e">
        <f t="shared" si="36"/>
        <v>#REF!</v>
      </c>
      <c r="DG57" s="520" t="e">
        <f t="shared" si="37"/>
        <v>#REF!</v>
      </c>
      <c r="DH57" s="520" t="e">
        <f t="shared" si="38"/>
        <v>#REF!</v>
      </c>
      <c r="DI57" s="521" t="e">
        <f t="shared" si="39"/>
        <v>#REF!</v>
      </c>
      <c r="DJ57" s="521" t="e">
        <f t="shared" si="40"/>
        <v>#REF!</v>
      </c>
      <c r="DK57" s="521" t="e">
        <f t="shared" si="41"/>
        <v>#REF!</v>
      </c>
      <c r="DL57" s="521" t="e">
        <f t="shared" si="42"/>
        <v>#REF!</v>
      </c>
      <c r="DM57" s="522" t="e">
        <f t="shared" si="23"/>
        <v>#REF!</v>
      </c>
      <c r="DN57" s="522" t="e">
        <f t="shared" si="24"/>
        <v>#REF!</v>
      </c>
      <c r="DO57" s="522" t="e">
        <f t="shared" si="25"/>
        <v>#REF!</v>
      </c>
      <c r="DP57" s="522" t="e">
        <f t="shared" si="26"/>
        <v>#REF!</v>
      </c>
      <c r="DR57" s="523" t="e">
        <f t="shared" si="43"/>
        <v>#REF!</v>
      </c>
      <c r="DS57" s="524" t="e">
        <f t="shared" si="44"/>
        <v>#REF!</v>
      </c>
      <c r="DT57" s="524" t="e">
        <f t="shared" si="45"/>
        <v>#REF!</v>
      </c>
    </row>
    <row r="58" spans="1:124" s="6" customFormat="1" ht="14.25">
      <c r="A58"/>
      <c r="B58" s="399"/>
      <c r="C58" s="399"/>
      <c r="D58" s="399"/>
      <c r="E58" s="399"/>
      <c r="F58" s="399"/>
      <c r="G58" s="399"/>
      <c r="H58" s="399"/>
      <c r="I58" s="399"/>
      <c r="J58" s="399"/>
      <c r="K58" s="399"/>
      <c r="L58" s="399"/>
      <c r="M58" s="399"/>
      <c r="N58" s="412" t="str">
        <f>'DCDC Ref'!N58</f>
        <v>ETQPAMR68JFW</v>
      </c>
      <c r="O58" s="399"/>
      <c r="P58" s="399"/>
      <c r="Q58" s="399"/>
      <c r="R58" s="435"/>
      <c r="S58" s="399"/>
      <c r="T58" s="58" t="e">
        <f>INDEX(#REF!,MATCH(N58,#REF!,0))</f>
        <v>#REF!</v>
      </c>
      <c r="U58" s="58"/>
      <c r="V58" s="525"/>
      <c r="W58" s="525"/>
      <c r="X58" s="505" t="e">
        <f t="shared" si="4"/>
        <v>#REF!</v>
      </c>
      <c r="Y58" s="505" t="e">
        <f t="shared" si="5"/>
        <v>#REF!</v>
      </c>
      <c r="Z58" s="505" t="e">
        <f t="shared" si="6"/>
        <v>#REF!</v>
      </c>
      <c r="AA58" s="505"/>
      <c r="AB58" s="505"/>
      <c r="AC58" s="505"/>
      <c r="AD58" s="505" t="e">
        <f t="shared" si="7"/>
        <v>#REF!</v>
      </c>
      <c r="AE58" s="505" t="e">
        <f t="shared" si="8"/>
        <v>#REF!</v>
      </c>
      <c r="AF58" s="505" t="e">
        <f t="shared" si="9"/>
        <v>#REF!</v>
      </c>
      <c r="AG58" s="505"/>
      <c r="AH58" s="506"/>
      <c r="AI58" s="506"/>
      <c r="AJ58" s="505" t="e">
        <f t="shared" si="27"/>
        <v>#REF!</v>
      </c>
      <c r="AK58" s="505" t="e">
        <f t="shared" si="28"/>
        <v>#REF!</v>
      </c>
      <c r="AL58" s="505" t="e">
        <f t="shared" si="12"/>
        <v>#REF!</v>
      </c>
      <c r="AP58" s="509" t="e">
        <f t="shared" si="13"/>
        <v>#REF!</v>
      </c>
      <c r="AQ58" s="509" t="e">
        <f t="shared" si="14"/>
        <v>#REF!</v>
      </c>
      <c r="AR58" s="509" t="e">
        <f t="shared" si="15"/>
        <v>#REF!</v>
      </c>
      <c r="AT58" s="501"/>
      <c r="AU58" s="502"/>
      <c r="AV58" s="501"/>
      <c r="AX58" s="565" t="e">
        <f>INDEX(#REF!,MATCH(計算sheet!AX$50,#REF!,0),MATCH(N58,#REF!,0))</f>
        <v>#REF!</v>
      </c>
      <c r="AY58" s="565" t="e">
        <f>INDEX(#REF!,MATCH(計算sheet!AY$50,#REF!,0),MATCH(N58,#REF!,0))</f>
        <v>#REF!</v>
      </c>
      <c r="AZ58" s="565" t="e">
        <f>INDEX(#REF!,MATCH(計算sheet!AZ$50,#REF!,0),MATCH(N58,#REF!,0))</f>
        <v>#REF!</v>
      </c>
      <c r="BA58" s="565" t="e">
        <f>INDEX(#REF!,MATCH(計算sheet!BA$50,#REF!,0),MATCH(N58,#REF!,0))</f>
        <v>#REF!</v>
      </c>
      <c r="BB58" s="565" t="e">
        <f>INDEX(#REF!,MATCH(計算sheet!BB$50,#REF!,0),MATCH(N58,#REF!,0))</f>
        <v>#REF!</v>
      </c>
      <c r="BC58" s="565" t="e">
        <f>INDEX(#REF!,MATCH(計算sheet!BC$50,#REF!,0),MATCH(N58,#REF!,0))</f>
        <v>#REF!</v>
      </c>
      <c r="BD58" s="565" t="e">
        <f>INDEX(#REF!,MATCH(計算sheet!BD$50,#REF!,0),MATCH(N58,#REF!,0))</f>
        <v>#REF!</v>
      </c>
      <c r="BE58" s="511">
        <f t="shared" si="16"/>
        <v>2000000</v>
      </c>
      <c r="BF58" s="565" t="e">
        <f>INDEX(#REF!,MATCH(計算sheet!BF$50,#REF!,0),MATCH(N58,#REF!,0))</f>
        <v>#REF!</v>
      </c>
      <c r="BG58" s="512" t="e">
        <f t="shared" si="17"/>
        <v>#REF!</v>
      </c>
      <c r="BH58" s="565" t="e">
        <f>INDEX(#REF!,MATCH(計算sheet!BH$50,#REF!,0),MATCH(N58,#REF!,0))</f>
        <v>#REF!</v>
      </c>
      <c r="BI58" s="513" t="e">
        <f t="shared" si="18"/>
        <v>#REF!</v>
      </c>
      <c r="BK58" s="514"/>
      <c r="BN58" s="565" t="e">
        <f>INDEX(#REF!,MATCH(計算sheet!BN$50,#REF!,0),MATCH(N58,#REF!,0))</f>
        <v>#REF!</v>
      </c>
      <c r="BO58" s="565" t="e">
        <f>INDEX(#REF!,MATCH(計算sheet!BO$50,#REF!,0),MATCH(N58,#REF!,0))</f>
        <v>#REF!</v>
      </c>
      <c r="BP58" s="565" t="e">
        <f>INDEX(#REF!,MATCH(計算sheet!BP$50,#REF!,0),MATCH(N58,#REF!,0))</f>
        <v>#REF!</v>
      </c>
      <c r="BQ58" s="565" t="e">
        <f>INDEX(#REF!,MATCH(計算sheet!BQ$50,#REF!,0),MATCH(N58,#REF!,0))</f>
        <v>#REF!</v>
      </c>
      <c r="BR58" s="565" t="e">
        <f>INDEX(#REF!,MATCH(計算sheet!BR$50,#REF!,0),MATCH(N58,#REF!,0))</f>
        <v>#REF!</v>
      </c>
      <c r="BS58" s="565" t="e">
        <f>INDEX(#REF!,MATCH(計算sheet!BS$50,#REF!,0),MATCH(N58,#REF!,0))</f>
        <v>#REF!</v>
      </c>
      <c r="BT58" s="565" t="e">
        <f>INDEX(#REF!,MATCH(計算sheet!BT$50,#REF!,0),MATCH(N58,#REF!,0))</f>
        <v>#REF!</v>
      </c>
      <c r="BU58" s="513" t="e">
        <f t="shared" si="19"/>
        <v>#REF!</v>
      </c>
      <c r="BW58" s="565" t="e">
        <f>INDEX(#REF!,MATCH(計算sheet!BW$50,#REF!,0),MATCH(N58,#REF!,0))</f>
        <v>#REF!</v>
      </c>
      <c r="BX58" s="565" t="e">
        <f>INDEX(#REF!,MATCH(計算sheet!BX$50,#REF!,0),MATCH(N58,#REF!,0))</f>
        <v>#REF!</v>
      </c>
      <c r="BY58" s="565" t="e">
        <f>INDEX(#REF!,MATCH(計算sheet!BY$50,#REF!,0),MATCH(N58,#REF!,0))</f>
        <v>#REF!</v>
      </c>
      <c r="BZ58" s="565" t="e">
        <f>INDEX(#REF!,MATCH(計算sheet!BZ$50,#REF!,0),MATCH(N58,#REF!,0))</f>
        <v>#REF!</v>
      </c>
      <c r="CA58" s="565" t="e">
        <f>INDEX(#REF!,MATCH(計算sheet!CA$50,#REF!,0),MATCH(N58,#REF!,0))</f>
        <v>#REF!</v>
      </c>
      <c r="CB58" s="565" t="e">
        <f>INDEX(#REF!,MATCH(計算sheet!CB$50,#REF!,0),MATCH(N58,#REF!,0))</f>
        <v>#REF!</v>
      </c>
      <c r="CC58" s="565" t="e">
        <f>INDEX(#REF!,MATCH(計算sheet!CC$50,#REF!,0),MATCH(N58,#REF!,0))</f>
        <v>#REF!</v>
      </c>
      <c r="CD58" s="513" t="e">
        <f t="shared" si="20"/>
        <v>#REF!</v>
      </c>
      <c r="CF58" s="566" t="e">
        <f>(INDEX(#REF!,MATCH(計算sheet!$CF$50,#REF!,0),MATCH(N58,#REF!,0)))/1000</f>
        <v>#REF!</v>
      </c>
      <c r="CJ58" s="513" t="e">
        <f t="shared" si="29"/>
        <v>#REF!</v>
      </c>
      <c r="CL58" s="517" t="e">
        <f t="shared" si="30"/>
        <v>#REF!</v>
      </c>
      <c r="CN58" s="518" t="e">
        <f t="shared" si="21"/>
        <v>#REF!</v>
      </c>
      <c r="CP58" s="518" t="e">
        <f t="shared" si="22"/>
        <v>#REF!</v>
      </c>
      <c r="CR58" s="514"/>
      <c r="CS58" s="518" t="e">
        <f t="shared" si="31"/>
        <v>#REF!</v>
      </c>
      <c r="CV58" s="514"/>
      <c r="CY58" s="567" t="e">
        <f>INDEX(#REF!,MATCH(計算sheet!$CY$50,#REF!,0),MATCH(N58,#REF!,0))</f>
        <v>#REF!</v>
      </c>
      <c r="DA58" s="519" t="e">
        <f t="shared" si="32"/>
        <v>#REF!</v>
      </c>
      <c r="DB58" s="519" t="e">
        <f t="shared" si="10"/>
        <v>#REF!</v>
      </c>
      <c r="DC58" s="519" t="e">
        <f t="shared" si="33"/>
        <v>#REF!</v>
      </c>
      <c r="DD58" s="519" t="e">
        <f t="shared" si="34"/>
        <v>#REF!</v>
      </c>
      <c r="DE58" s="520" t="e">
        <f t="shared" si="35"/>
        <v>#REF!</v>
      </c>
      <c r="DF58" s="520" t="e">
        <f t="shared" si="36"/>
        <v>#REF!</v>
      </c>
      <c r="DG58" s="520" t="e">
        <f t="shared" si="37"/>
        <v>#REF!</v>
      </c>
      <c r="DH58" s="520" t="e">
        <f t="shared" si="38"/>
        <v>#REF!</v>
      </c>
      <c r="DI58" s="521" t="e">
        <f t="shared" si="39"/>
        <v>#REF!</v>
      </c>
      <c r="DJ58" s="521" t="e">
        <f t="shared" si="40"/>
        <v>#REF!</v>
      </c>
      <c r="DK58" s="521" t="e">
        <f t="shared" si="41"/>
        <v>#REF!</v>
      </c>
      <c r="DL58" s="521" t="e">
        <f t="shared" si="42"/>
        <v>#REF!</v>
      </c>
      <c r="DM58" s="522" t="e">
        <f t="shared" si="23"/>
        <v>#REF!</v>
      </c>
      <c r="DN58" s="522" t="e">
        <f t="shared" si="24"/>
        <v>#REF!</v>
      </c>
      <c r="DO58" s="522" t="e">
        <f t="shared" si="25"/>
        <v>#REF!</v>
      </c>
      <c r="DP58" s="522" t="e">
        <f t="shared" si="26"/>
        <v>#REF!</v>
      </c>
      <c r="DR58" s="523" t="e">
        <f t="shared" si="43"/>
        <v>#REF!</v>
      </c>
      <c r="DS58" s="524" t="e">
        <f t="shared" si="44"/>
        <v>#REF!</v>
      </c>
      <c r="DT58" s="524" t="e">
        <f t="shared" si="45"/>
        <v>#REF!</v>
      </c>
    </row>
    <row r="59" spans="1:124" s="6" customFormat="1" ht="14.25">
      <c r="A59"/>
      <c r="B59" s="399"/>
      <c r="C59" s="399"/>
      <c r="D59" s="399"/>
      <c r="E59" s="399"/>
      <c r="F59" s="399"/>
      <c r="G59" s="399"/>
      <c r="H59" s="399"/>
      <c r="I59" s="399"/>
      <c r="J59" s="399"/>
      <c r="K59" s="399"/>
      <c r="L59" s="399"/>
      <c r="M59" s="399"/>
      <c r="N59" s="412" t="str">
        <f>'DCDC Ref'!N59</f>
        <v>ETQP3MR47KVP</v>
      </c>
      <c r="O59" s="399"/>
      <c r="P59" s="399"/>
      <c r="Q59" s="399"/>
      <c r="R59" s="435"/>
      <c r="S59" s="399"/>
      <c r="T59" s="58" t="e">
        <f>INDEX(#REF!,MATCH(N59,#REF!,0))</f>
        <v>#REF!</v>
      </c>
      <c r="U59" s="58"/>
      <c r="V59" s="525"/>
      <c r="W59" s="525"/>
      <c r="X59" s="505" t="e">
        <f t="shared" si="4"/>
        <v>#REF!</v>
      </c>
      <c r="Y59" s="505" t="e">
        <f t="shared" si="5"/>
        <v>#REF!</v>
      </c>
      <c r="Z59" s="505" t="e">
        <f t="shared" si="6"/>
        <v>#REF!</v>
      </c>
      <c r="AA59" s="505"/>
      <c r="AB59" s="505"/>
      <c r="AC59" s="505"/>
      <c r="AD59" s="505" t="e">
        <f t="shared" si="7"/>
        <v>#REF!</v>
      </c>
      <c r="AE59" s="505" t="e">
        <f t="shared" si="8"/>
        <v>#REF!</v>
      </c>
      <c r="AF59" s="505" t="e">
        <f t="shared" si="9"/>
        <v>#REF!</v>
      </c>
      <c r="AG59" s="505"/>
      <c r="AH59" s="506"/>
      <c r="AI59" s="506"/>
      <c r="AJ59" s="505" t="e">
        <f t="shared" si="27"/>
        <v>#REF!</v>
      </c>
      <c r="AK59" s="505" t="e">
        <f t="shared" si="28"/>
        <v>#REF!</v>
      </c>
      <c r="AL59" s="505" t="e">
        <f t="shared" si="12"/>
        <v>#REF!</v>
      </c>
      <c r="AP59" s="509" t="e">
        <f t="shared" si="13"/>
        <v>#REF!</v>
      </c>
      <c r="AQ59" s="509" t="e">
        <f t="shared" si="14"/>
        <v>#REF!</v>
      </c>
      <c r="AR59" s="509" t="e">
        <f t="shared" si="15"/>
        <v>#REF!</v>
      </c>
      <c r="AT59" s="501"/>
      <c r="AU59" s="502"/>
      <c r="AX59" s="565" t="e">
        <f>INDEX(#REF!,MATCH(計算sheet!AX$50,#REF!,0),MATCH(N59,#REF!,0))</f>
        <v>#REF!</v>
      </c>
      <c r="AY59" s="565" t="e">
        <f>INDEX(#REF!,MATCH(計算sheet!AY$50,#REF!,0),MATCH(N59,#REF!,0))</f>
        <v>#REF!</v>
      </c>
      <c r="AZ59" s="565" t="e">
        <f>INDEX(#REF!,MATCH(計算sheet!AZ$50,#REF!,0),MATCH(N59,#REF!,0))</f>
        <v>#REF!</v>
      </c>
      <c r="BA59" s="565" t="e">
        <f>INDEX(#REF!,MATCH(計算sheet!BA$50,#REF!,0),MATCH(N59,#REF!,0))</f>
        <v>#REF!</v>
      </c>
      <c r="BB59" s="565" t="e">
        <f>INDEX(#REF!,MATCH(計算sheet!BB$50,#REF!,0),MATCH(N59,#REF!,0))</f>
        <v>#REF!</v>
      </c>
      <c r="BC59" s="565" t="e">
        <f>INDEX(#REF!,MATCH(計算sheet!BC$50,#REF!,0),MATCH(N59,#REF!,0))</f>
        <v>#REF!</v>
      </c>
      <c r="BD59" s="565" t="e">
        <f>INDEX(#REF!,MATCH(計算sheet!BD$50,#REF!,0),MATCH(N59,#REF!,0))</f>
        <v>#REF!</v>
      </c>
      <c r="BE59" s="511">
        <f t="shared" si="16"/>
        <v>2000000</v>
      </c>
      <c r="BF59" s="565" t="e">
        <f>INDEX(#REF!,MATCH(計算sheet!BF$50,#REF!,0),MATCH(N59,#REF!,0))</f>
        <v>#REF!</v>
      </c>
      <c r="BG59" s="512" t="e">
        <f t="shared" si="17"/>
        <v>#REF!</v>
      </c>
      <c r="BH59" s="565" t="e">
        <f>INDEX(#REF!,MATCH(計算sheet!BH$50,#REF!,0),MATCH(N59,#REF!,0))</f>
        <v>#REF!</v>
      </c>
      <c r="BI59" s="513" t="e">
        <f t="shared" si="18"/>
        <v>#REF!</v>
      </c>
      <c r="BK59" s="514"/>
      <c r="BN59" s="565" t="e">
        <f>INDEX(#REF!,MATCH(計算sheet!BN$50,#REF!,0),MATCH(N59,#REF!,0))</f>
        <v>#REF!</v>
      </c>
      <c r="BO59" s="565" t="e">
        <f>INDEX(#REF!,MATCH(計算sheet!BO$50,#REF!,0),MATCH(N59,#REF!,0))</f>
        <v>#REF!</v>
      </c>
      <c r="BP59" s="565" t="e">
        <f>INDEX(#REF!,MATCH(計算sheet!BP$50,#REF!,0),MATCH(N59,#REF!,0))</f>
        <v>#REF!</v>
      </c>
      <c r="BQ59" s="565" t="e">
        <f>INDEX(#REF!,MATCH(計算sheet!BQ$50,#REF!,0),MATCH(N59,#REF!,0))</f>
        <v>#REF!</v>
      </c>
      <c r="BR59" s="565" t="e">
        <f>INDEX(#REF!,MATCH(計算sheet!BR$50,#REF!,0),MATCH(N59,#REF!,0))</f>
        <v>#REF!</v>
      </c>
      <c r="BS59" s="565" t="e">
        <f>INDEX(#REF!,MATCH(計算sheet!BS$50,#REF!,0),MATCH(N59,#REF!,0))</f>
        <v>#REF!</v>
      </c>
      <c r="BT59" s="565" t="e">
        <f>INDEX(#REF!,MATCH(計算sheet!BT$50,#REF!,0),MATCH(N59,#REF!,0))</f>
        <v>#REF!</v>
      </c>
      <c r="BU59" s="513" t="e">
        <f t="shared" si="19"/>
        <v>#REF!</v>
      </c>
      <c r="BW59" s="565" t="e">
        <f>INDEX(#REF!,MATCH(計算sheet!BW$50,#REF!,0),MATCH(N59,#REF!,0))</f>
        <v>#REF!</v>
      </c>
      <c r="BX59" s="565" t="e">
        <f>INDEX(#REF!,MATCH(計算sheet!BX$50,#REF!,0),MATCH(N59,#REF!,0))</f>
        <v>#REF!</v>
      </c>
      <c r="BY59" s="565" t="e">
        <f>INDEX(#REF!,MATCH(計算sheet!BY$50,#REF!,0),MATCH(N59,#REF!,0))</f>
        <v>#REF!</v>
      </c>
      <c r="BZ59" s="565" t="e">
        <f>INDEX(#REF!,MATCH(計算sheet!BZ$50,#REF!,0),MATCH(N59,#REF!,0))</f>
        <v>#REF!</v>
      </c>
      <c r="CA59" s="565" t="e">
        <f>INDEX(#REF!,MATCH(計算sheet!CA$50,#REF!,0),MATCH(N59,#REF!,0))</f>
        <v>#REF!</v>
      </c>
      <c r="CB59" s="565" t="e">
        <f>INDEX(#REF!,MATCH(計算sheet!CB$50,#REF!,0),MATCH(N59,#REF!,0))</f>
        <v>#REF!</v>
      </c>
      <c r="CC59" s="565" t="e">
        <f>INDEX(#REF!,MATCH(計算sheet!CC$50,#REF!,0),MATCH(N59,#REF!,0))</f>
        <v>#REF!</v>
      </c>
      <c r="CD59" s="513" t="e">
        <f t="shared" si="20"/>
        <v>#REF!</v>
      </c>
      <c r="CF59" s="566" t="e">
        <f>(INDEX(#REF!,MATCH(計算sheet!$CF$50,#REF!,0),MATCH(N59,#REF!,0)))/1000</f>
        <v>#REF!</v>
      </c>
      <c r="CJ59" s="513" t="e">
        <f t="shared" si="29"/>
        <v>#REF!</v>
      </c>
      <c r="CL59" s="517" t="e">
        <f t="shared" si="30"/>
        <v>#REF!</v>
      </c>
      <c r="CN59" s="518" t="e">
        <f t="shared" si="21"/>
        <v>#REF!</v>
      </c>
      <c r="CP59" s="518" t="e">
        <f t="shared" si="22"/>
        <v>#REF!</v>
      </c>
      <c r="CR59" s="514"/>
      <c r="CS59" s="518" t="e">
        <f t="shared" si="31"/>
        <v>#REF!</v>
      </c>
      <c r="CV59" s="514"/>
      <c r="CY59" s="567" t="e">
        <f>INDEX(#REF!,MATCH(計算sheet!$CY$50,#REF!,0),MATCH(N59,#REF!,0))</f>
        <v>#REF!</v>
      </c>
      <c r="DA59" s="519" t="e">
        <f t="shared" si="32"/>
        <v>#REF!</v>
      </c>
      <c r="DB59" s="519" t="e">
        <f t="shared" si="10"/>
        <v>#REF!</v>
      </c>
      <c r="DC59" s="519" t="e">
        <f t="shared" si="33"/>
        <v>#REF!</v>
      </c>
      <c r="DD59" s="519" t="e">
        <f t="shared" si="34"/>
        <v>#REF!</v>
      </c>
      <c r="DE59" s="520" t="e">
        <f t="shared" si="35"/>
        <v>#REF!</v>
      </c>
      <c r="DF59" s="520" t="e">
        <f t="shared" si="36"/>
        <v>#REF!</v>
      </c>
      <c r="DG59" s="520" t="e">
        <f t="shared" si="37"/>
        <v>#REF!</v>
      </c>
      <c r="DH59" s="520" t="e">
        <f t="shared" si="38"/>
        <v>#REF!</v>
      </c>
      <c r="DI59" s="521" t="e">
        <f t="shared" si="39"/>
        <v>#REF!</v>
      </c>
      <c r="DJ59" s="521" t="e">
        <f t="shared" si="40"/>
        <v>#REF!</v>
      </c>
      <c r="DK59" s="521" t="e">
        <f t="shared" si="41"/>
        <v>#REF!</v>
      </c>
      <c r="DL59" s="521" t="e">
        <f t="shared" si="42"/>
        <v>#REF!</v>
      </c>
      <c r="DM59" s="522" t="e">
        <f t="shared" si="23"/>
        <v>#REF!</v>
      </c>
      <c r="DN59" s="522" t="e">
        <f t="shared" si="24"/>
        <v>#REF!</v>
      </c>
      <c r="DO59" s="522" t="e">
        <f t="shared" si="25"/>
        <v>#REF!</v>
      </c>
      <c r="DP59" s="522" t="e">
        <f t="shared" si="26"/>
        <v>#REF!</v>
      </c>
      <c r="DR59" s="523" t="e">
        <f t="shared" si="43"/>
        <v>#REF!</v>
      </c>
      <c r="DS59" s="524" t="e">
        <f t="shared" si="44"/>
        <v>#REF!</v>
      </c>
      <c r="DT59" s="524" t="e">
        <f t="shared" si="45"/>
        <v>#REF!</v>
      </c>
    </row>
    <row r="60" spans="1:124" s="6" customFormat="1" ht="14.25">
      <c r="A60"/>
      <c r="B60" s="399"/>
      <c r="C60" s="399"/>
      <c r="D60" s="399"/>
      <c r="E60" s="399"/>
      <c r="F60" s="399"/>
      <c r="G60" s="399"/>
      <c r="H60" s="399"/>
      <c r="I60" s="399"/>
      <c r="J60" s="399"/>
      <c r="K60" s="399"/>
      <c r="L60" s="399"/>
      <c r="M60" s="399"/>
      <c r="N60" s="412" t="str">
        <f>'DCDC Ref'!N60</f>
        <v>ETQP3MR47KVN</v>
      </c>
      <c r="O60" s="399"/>
      <c r="P60" s="399"/>
      <c r="Q60" s="399"/>
      <c r="R60" s="435"/>
      <c r="S60" s="399"/>
      <c r="T60" s="58" t="e">
        <f>INDEX(#REF!,MATCH(N60,#REF!,0))</f>
        <v>#REF!</v>
      </c>
      <c r="U60" s="58"/>
      <c r="V60" s="525"/>
      <c r="W60" s="525"/>
      <c r="X60" s="505" t="e">
        <f t="shared" si="4"/>
        <v>#REF!</v>
      </c>
      <c r="Y60" s="505" t="e">
        <f t="shared" si="5"/>
        <v>#REF!</v>
      </c>
      <c r="Z60" s="505" t="e">
        <f t="shared" si="6"/>
        <v>#REF!</v>
      </c>
      <c r="AA60" s="505"/>
      <c r="AB60" s="505"/>
      <c r="AC60" s="505"/>
      <c r="AD60" s="505" t="e">
        <f t="shared" si="7"/>
        <v>#REF!</v>
      </c>
      <c r="AE60" s="505" t="e">
        <f t="shared" si="8"/>
        <v>#REF!</v>
      </c>
      <c r="AF60" s="505" t="e">
        <f t="shared" si="9"/>
        <v>#REF!</v>
      </c>
      <c r="AG60" s="505"/>
      <c r="AH60" s="506"/>
      <c r="AI60" s="506"/>
      <c r="AJ60" s="505" t="e">
        <f t="shared" si="27"/>
        <v>#REF!</v>
      </c>
      <c r="AK60" s="505" t="e">
        <f t="shared" si="28"/>
        <v>#REF!</v>
      </c>
      <c r="AL60" s="505" t="e">
        <f t="shared" si="12"/>
        <v>#REF!</v>
      </c>
      <c r="AP60" s="509" t="e">
        <f t="shared" si="13"/>
        <v>#REF!</v>
      </c>
      <c r="AQ60" s="509" t="e">
        <f t="shared" si="14"/>
        <v>#REF!</v>
      </c>
      <c r="AR60" s="509" t="e">
        <f t="shared" si="15"/>
        <v>#REF!</v>
      </c>
      <c r="AT60" s="501"/>
      <c r="AU60" s="502"/>
      <c r="AV60" s="501"/>
      <c r="AX60" s="565" t="e">
        <f>INDEX(#REF!,MATCH(計算sheet!AX$50,#REF!,0),MATCH(N60,#REF!,0))</f>
        <v>#REF!</v>
      </c>
      <c r="AY60" s="565" t="e">
        <f>INDEX(#REF!,MATCH(計算sheet!AY$50,#REF!,0),MATCH(N60,#REF!,0))</f>
        <v>#REF!</v>
      </c>
      <c r="AZ60" s="565" t="e">
        <f>INDEX(#REF!,MATCH(計算sheet!AZ$50,#REF!,0),MATCH(N60,#REF!,0))</f>
        <v>#REF!</v>
      </c>
      <c r="BA60" s="565" t="e">
        <f>INDEX(#REF!,MATCH(計算sheet!BA$50,#REF!,0),MATCH(N60,#REF!,0))</f>
        <v>#REF!</v>
      </c>
      <c r="BB60" s="565" t="e">
        <f>INDEX(#REF!,MATCH(計算sheet!BB$50,#REF!,0),MATCH(N60,#REF!,0))</f>
        <v>#REF!</v>
      </c>
      <c r="BC60" s="565" t="e">
        <f>INDEX(#REF!,MATCH(計算sheet!BC$50,#REF!,0),MATCH(N60,#REF!,0))</f>
        <v>#REF!</v>
      </c>
      <c r="BD60" s="565" t="e">
        <f>INDEX(#REF!,MATCH(計算sheet!BD$50,#REF!,0),MATCH(N60,#REF!,0))</f>
        <v>#REF!</v>
      </c>
      <c r="BE60" s="511">
        <f t="shared" si="16"/>
        <v>2000000</v>
      </c>
      <c r="BF60" s="565" t="e">
        <f>INDEX(#REF!,MATCH(計算sheet!BF$50,#REF!,0),MATCH(N60,#REF!,0))</f>
        <v>#REF!</v>
      </c>
      <c r="BG60" s="512" t="e">
        <f t="shared" si="17"/>
        <v>#REF!</v>
      </c>
      <c r="BH60" s="565" t="e">
        <f>INDEX(#REF!,MATCH(計算sheet!BH$50,#REF!,0),MATCH(N60,#REF!,0))</f>
        <v>#REF!</v>
      </c>
      <c r="BI60" s="513" t="e">
        <f t="shared" si="18"/>
        <v>#REF!</v>
      </c>
      <c r="BK60" s="514"/>
      <c r="BN60" s="565" t="e">
        <f>INDEX(#REF!,MATCH(計算sheet!BN$50,#REF!,0),MATCH(N60,#REF!,0))</f>
        <v>#REF!</v>
      </c>
      <c r="BO60" s="565" t="e">
        <f>INDEX(#REF!,MATCH(計算sheet!BO$50,#REF!,0),MATCH(N60,#REF!,0))</f>
        <v>#REF!</v>
      </c>
      <c r="BP60" s="565" t="e">
        <f>INDEX(#REF!,MATCH(計算sheet!BP$50,#REF!,0),MATCH(N60,#REF!,0))</f>
        <v>#REF!</v>
      </c>
      <c r="BQ60" s="565" t="e">
        <f>INDEX(#REF!,MATCH(計算sheet!BQ$50,#REF!,0),MATCH(N60,#REF!,0))</f>
        <v>#REF!</v>
      </c>
      <c r="BR60" s="565" t="e">
        <f>INDEX(#REF!,MATCH(計算sheet!BR$50,#REF!,0),MATCH(N60,#REF!,0))</f>
        <v>#REF!</v>
      </c>
      <c r="BS60" s="565" t="e">
        <f>INDEX(#REF!,MATCH(計算sheet!BS$50,#REF!,0),MATCH(N60,#REF!,0))</f>
        <v>#REF!</v>
      </c>
      <c r="BT60" s="565" t="e">
        <f>INDEX(#REF!,MATCH(計算sheet!BT$50,#REF!,0),MATCH(N60,#REF!,0))</f>
        <v>#REF!</v>
      </c>
      <c r="BU60" s="513" t="e">
        <f t="shared" si="19"/>
        <v>#REF!</v>
      </c>
      <c r="BW60" s="565" t="e">
        <f>INDEX(#REF!,MATCH(計算sheet!BW$50,#REF!,0),MATCH(N60,#REF!,0))</f>
        <v>#REF!</v>
      </c>
      <c r="BX60" s="565" t="e">
        <f>INDEX(#REF!,MATCH(計算sheet!BX$50,#REF!,0),MATCH(N60,#REF!,0))</f>
        <v>#REF!</v>
      </c>
      <c r="BY60" s="565" t="e">
        <f>INDEX(#REF!,MATCH(計算sheet!BY$50,#REF!,0),MATCH(N60,#REF!,0))</f>
        <v>#REF!</v>
      </c>
      <c r="BZ60" s="565" t="e">
        <f>INDEX(#REF!,MATCH(計算sheet!BZ$50,#REF!,0),MATCH(N60,#REF!,0))</f>
        <v>#REF!</v>
      </c>
      <c r="CA60" s="565" t="e">
        <f>INDEX(#REF!,MATCH(計算sheet!CA$50,#REF!,0),MATCH(N60,#REF!,0))</f>
        <v>#REF!</v>
      </c>
      <c r="CB60" s="565" t="e">
        <f>INDEX(#REF!,MATCH(計算sheet!CB$50,#REF!,0),MATCH(N60,#REF!,0))</f>
        <v>#REF!</v>
      </c>
      <c r="CC60" s="565" t="e">
        <f>INDEX(#REF!,MATCH(計算sheet!CC$50,#REF!,0),MATCH(N60,#REF!,0))</f>
        <v>#REF!</v>
      </c>
      <c r="CD60" s="513" t="e">
        <f>BW60*$BL$51^6+BX60*$BL$51^5+BY60*$BL$51^4+BZ60*$BL$51^3+CA60*$BL$51^2+CB60*$BL$51+CC60</f>
        <v>#REF!</v>
      </c>
      <c r="CF60" s="566" t="e">
        <f>(INDEX(#REF!,MATCH(計算sheet!$CF$50,#REF!,0),MATCH(N60,#REF!,0)))/1000</f>
        <v>#REF!</v>
      </c>
      <c r="CJ60" s="513" t="e">
        <f t="shared" si="29"/>
        <v>#REF!</v>
      </c>
      <c r="CL60" s="517" t="e">
        <f t="shared" si="30"/>
        <v>#REF!</v>
      </c>
      <c r="CN60" s="518" t="e">
        <f t="shared" si="21"/>
        <v>#REF!</v>
      </c>
      <c r="CP60" s="518" t="e">
        <f t="shared" si="22"/>
        <v>#REF!</v>
      </c>
      <c r="CR60" s="514"/>
      <c r="CS60" s="518" t="e">
        <f t="shared" si="31"/>
        <v>#REF!</v>
      </c>
      <c r="CV60" s="514"/>
      <c r="CY60" s="567" t="e">
        <f>INDEX(#REF!,MATCH(計算sheet!$CY$50,#REF!,0),MATCH(N60,#REF!,0))</f>
        <v>#REF!</v>
      </c>
      <c r="DA60" s="519" t="e">
        <f t="shared" si="32"/>
        <v>#REF!</v>
      </c>
      <c r="DB60" s="519" t="e">
        <f t="shared" si="10"/>
        <v>#REF!</v>
      </c>
      <c r="DC60" s="519" t="e">
        <f t="shared" si="33"/>
        <v>#REF!</v>
      </c>
      <c r="DD60" s="519" t="e">
        <f t="shared" si="34"/>
        <v>#REF!</v>
      </c>
      <c r="DE60" s="520" t="e">
        <f t="shared" si="35"/>
        <v>#REF!</v>
      </c>
      <c r="DF60" s="520" t="e">
        <f t="shared" si="36"/>
        <v>#REF!</v>
      </c>
      <c r="DG60" s="520" t="e">
        <f t="shared" si="37"/>
        <v>#REF!</v>
      </c>
      <c r="DH60" s="520" t="e">
        <f t="shared" si="38"/>
        <v>#REF!</v>
      </c>
      <c r="DI60" s="521" t="e">
        <f t="shared" si="39"/>
        <v>#REF!</v>
      </c>
      <c r="DJ60" s="521" t="e">
        <f t="shared" si="40"/>
        <v>#REF!</v>
      </c>
      <c r="DK60" s="521" t="e">
        <f t="shared" si="41"/>
        <v>#REF!</v>
      </c>
      <c r="DL60" s="521" t="e">
        <f t="shared" si="42"/>
        <v>#REF!</v>
      </c>
      <c r="DM60" s="522" t="e">
        <f t="shared" si="23"/>
        <v>#REF!</v>
      </c>
      <c r="DN60" s="522" t="e">
        <f t="shared" si="24"/>
        <v>#REF!</v>
      </c>
      <c r="DO60" s="522" t="e">
        <f t="shared" si="25"/>
        <v>#REF!</v>
      </c>
      <c r="DP60" s="522" t="e">
        <f t="shared" si="26"/>
        <v>#REF!</v>
      </c>
      <c r="DR60" s="523" t="e">
        <f t="shared" si="43"/>
        <v>#REF!</v>
      </c>
      <c r="DS60" s="524" t="e">
        <f t="shared" si="44"/>
        <v>#REF!</v>
      </c>
      <c r="DT60" s="524" t="e">
        <f t="shared" si="45"/>
        <v>#REF!</v>
      </c>
    </row>
    <row r="61" spans="1:124" s="6" customFormat="1" ht="12.75">
      <c r="A61" s="501"/>
      <c r="B61" s="501"/>
      <c r="C61" s="501"/>
      <c r="D61" s="501"/>
      <c r="E61" s="501"/>
      <c r="F61" s="501"/>
      <c r="G61" s="501"/>
      <c r="H61" s="501"/>
      <c r="I61" s="501"/>
      <c r="J61" s="501"/>
      <c r="K61" s="501"/>
      <c r="L61" s="501"/>
      <c r="M61" s="501"/>
      <c r="N61" s="501"/>
      <c r="O61" s="501"/>
      <c r="P61" s="501"/>
      <c r="Q61" s="501"/>
      <c r="R61" s="502"/>
      <c r="S61" s="501"/>
      <c r="T61" s="501"/>
      <c r="U61" s="501"/>
      <c r="V61" s="528"/>
      <c r="W61" s="528"/>
      <c r="X61" s="528"/>
      <c r="Y61" s="528"/>
      <c r="Z61" s="528"/>
      <c r="AA61" s="528"/>
      <c r="AB61" s="528"/>
      <c r="AC61" s="528"/>
      <c r="AD61" s="528"/>
      <c r="AE61" s="528"/>
      <c r="AF61" s="528"/>
      <c r="AG61" s="528"/>
      <c r="AH61" s="528"/>
      <c r="AI61" s="528"/>
      <c r="AJ61" s="528"/>
      <c r="AK61" s="528"/>
      <c r="AL61" s="528"/>
      <c r="AM61" s="501"/>
      <c r="AN61" s="501"/>
      <c r="AO61" s="501"/>
      <c r="AP61" s="501"/>
      <c r="AQ61" s="501"/>
      <c r="AR61" s="501"/>
      <c r="AS61" s="501"/>
      <c r="AT61" s="501"/>
      <c r="AU61" s="502"/>
      <c r="AV61" s="529"/>
      <c r="AW61" s="521"/>
      <c r="AX61" s="501"/>
      <c r="AY61" s="521"/>
      <c r="AZ61" s="501"/>
      <c r="BA61" s="501"/>
      <c r="BB61" s="501"/>
      <c r="BC61" s="501"/>
      <c r="BD61" s="501"/>
      <c r="BE61" s="501"/>
      <c r="BF61" s="501"/>
      <c r="BG61" s="501"/>
      <c r="BK61" s="514"/>
      <c r="CR61" s="514"/>
      <c r="CV61" s="514"/>
    </row>
    <row r="62" spans="1:124" ht="12.75">
      <c r="AX62" s="399"/>
      <c r="AY62" s="399"/>
      <c r="AZ62" s="399"/>
      <c r="BA62" s="399"/>
      <c r="BB62" s="399"/>
      <c r="BC62" s="399"/>
      <c r="BD62" s="399"/>
      <c r="BE62" s="399"/>
      <c r="BF62" s="399"/>
      <c r="BG62" s="399"/>
    </row>
    <row r="63" spans="1:124" ht="12.75">
      <c r="AV63" s="405"/>
      <c r="AX63" s="399"/>
      <c r="AY63" s="399"/>
      <c r="AZ63" s="399"/>
      <c r="BA63" s="399"/>
      <c r="BB63" s="399"/>
      <c r="BC63" s="399"/>
      <c r="BD63" s="399"/>
      <c r="BE63" s="399"/>
      <c r="BF63" s="399"/>
      <c r="BG63" s="399"/>
    </row>
    <row r="64" spans="1:124" ht="12.75">
      <c r="AV64" s="400"/>
      <c r="AX64" s="399"/>
      <c r="AY64" s="399"/>
      <c r="AZ64" s="399"/>
      <c r="BA64" s="399"/>
      <c r="BB64" s="399"/>
      <c r="BC64" s="399"/>
      <c r="BD64" s="399"/>
      <c r="BE64" s="399"/>
      <c r="BF64" s="399"/>
      <c r="BG64" s="399"/>
    </row>
    <row r="65" spans="1:111" ht="12.75">
      <c r="AV65" s="400"/>
      <c r="AX65" s="399"/>
      <c r="AY65" s="399"/>
      <c r="AZ65" s="399"/>
      <c r="BA65" s="399"/>
      <c r="BB65" s="399"/>
      <c r="BC65" s="399"/>
      <c r="BD65" s="399"/>
      <c r="BE65" s="399"/>
      <c r="BF65" s="399"/>
      <c r="BG65" s="399"/>
    </row>
    <row r="66" spans="1:111" ht="12.75">
      <c r="AX66" s="399"/>
      <c r="AY66" s="399"/>
      <c r="AZ66" s="399"/>
      <c r="BA66" s="399"/>
      <c r="BB66" s="399"/>
      <c r="BC66" s="399"/>
      <c r="BD66" s="399"/>
      <c r="BE66" s="399"/>
      <c r="BF66" s="399"/>
      <c r="BG66" s="399"/>
      <c r="CY66" s="399"/>
      <c r="CZ66" s="399"/>
      <c r="DA66" s="399"/>
      <c r="DB66" s="399"/>
      <c r="DC66" s="399"/>
      <c r="DD66" s="399"/>
      <c r="DE66" s="399"/>
      <c r="DF66" s="399"/>
      <c r="DG66" s="399"/>
    </row>
    <row r="67" spans="1:111" ht="12.75">
      <c r="AV67" s="400"/>
      <c r="AX67" s="399"/>
      <c r="AY67" s="399"/>
      <c r="AZ67" s="399"/>
      <c r="BA67" s="399"/>
      <c r="BB67" s="399"/>
      <c r="BC67" s="399"/>
      <c r="BD67" s="399"/>
      <c r="BE67" s="399"/>
      <c r="BF67" s="399"/>
      <c r="BG67" s="399"/>
      <c r="CY67" s="399"/>
      <c r="CZ67" s="399"/>
      <c r="DA67" s="399"/>
      <c r="DB67" s="399"/>
      <c r="DC67" s="399"/>
      <c r="DD67" s="399"/>
      <c r="DE67" s="399"/>
      <c r="DF67" s="399"/>
      <c r="DG67" s="399"/>
    </row>
    <row r="68" spans="1:111" ht="12.75">
      <c r="A68" s="399"/>
      <c r="B68" s="399"/>
      <c r="C68" s="399"/>
      <c r="D68" s="399"/>
      <c r="E68" s="399"/>
      <c r="F68" s="399"/>
      <c r="G68" s="399"/>
      <c r="H68" s="399"/>
      <c r="I68" s="399"/>
      <c r="J68" s="399"/>
      <c r="K68" s="399"/>
      <c r="L68" s="399"/>
      <c r="M68" s="399"/>
      <c r="N68" s="399"/>
      <c r="O68" s="399"/>
      <c r="P68" s="399"/>
      <c r="Q68" s="399"/>
      <c r="R68" s="435"/>
      <c r="S68" s="399"/>
      <c r="T68" s="399"/>
      <c r="U68" s="399"/>
      <c r="V68" s="399"/>
      <c r="W68" s="399"/>
      <c r="X68" s="399"/>
      <c r="Y68" s="399"/>
      <c r="Z68" s="399"/>
      <c r="AA68" s="399"/>
      <c r="AB68" s="399"/>
      <c r="AC68" s="399"/>
      <c r="AD68" s="399"/>
      <c r="AE68" s="399"/>
      <c r="AF68" s="399"/>
      <c r="AG68" s="399"/>
      <c r="AH68" s="399"/>
      <c r="AI68" s="399"/>
      <c r="AJ68" s="399"/>
      <c r="AK68" s="399"/>
      <c r="AL68" s="399"/>
      <c r="AM68" s="399"/>
      <c r="AN68" s="399"/>
      <c r="AO68" s="399"/>
      <c r="AP68" s="399"/>
      <c r="AQ68" s="399"/>
      <c r="AR68" s="399"/>
      <c r="AS68" s="399"/>
      <c r="AT68" s="399"/>
      <c r="AU68" s="435"/>
      <c r="AV68" s="400"/>
      <c r="AX68" s="399"/>
      <c r="AY68" s="399"/>
      <c r="AZ68" s="399"/>
      <c r="BA68" s="399"/>
      <c r="BB68" s="399"/>
      <c r="BC68" s="399"/>
      <c r="BD68" s="399"/>
      <c r="BE68" s="399"/>
      <c r="BF68" s="399"/>
      <c r="BG68" s="399"/>
      <c r="CW68" s="399"/>
      <c r="CX68" s="399"/>
    </row>
    <row r="69" spans="1:111" ht="12.75">
      <c r="A69" s="399"/>
      <c r="B69" s="399"/>
      <c r="C69" s="399"/>
      <c r="D69" s="399"/>
      <c r="E69" s="399"/>
      <c r="F69" s="399"/>
      <c r="G69" s="399"/>
      <c r="H69" s="399"/>
      <c r="I69" s="399"/>
      <c r="J69" s="399"/>
      <c r="K69" s="399"/>
      <c r="L69" s="399"/>
      <c r="M69" s="399"/>
      <c r="N69" s="399"/>
      <c r="O69" s="399"/>
      <c r="P69" s="399"/>
      <c r="Q69" s="399"/>
      <c r="R69" s="435"/>
      <c r="S69" s="399"/>
      <c r="T69" s="399"/>
      <c r="U69" s="399"/>
      <c r="V69" s="399"/>
      <c r="W69" s="399"/>
      <c r="X69" s="399"/>
      <c r="Y69" s="399"/>
      <c r="Z69" s="399"/>
      <c r="AA69" s="399"/>
      <c r="AB69" s="399"/>
      <c r="AC69" s="399"/>
      <c r="AD69" s="399"/>
      <c r="AE69" s="399"/>
      <c r="AF69" s="399"/>
      <c r="AG69" s="399"/>
      <c r="AH69" s="399"/>
      <c r="AI69" s="399"/>
      <c r="AJ69" s="399"/>
      <c r="AK69" s="399"/>
      <c r="AL69" s="399"/>
      <c r="AM69" s="399"/>
      <c r="AN69" s="399"/>
      <c r="AO69" s="399"/>
      <c r="AP69" s="399"/>
      <c r="AQ69" s="399"/>
      <c r="AR69" s="399"/>
      <c r="AS69" s="399"/>
      <c r="AT69" s="399"/>
      <c r="AU69" s="435"/>
      <c r="AX69" s="399"/>
      <c r="AY69" s="399"/>
      <c r="AZ69" s="399"/>
      <c r="BA69" s="399"/>
      <c r="BB69" s="399"/>
      <c r="BC69" s="399"/>
      <c r="BD69" s="399"/>
      <c r="BE69" s="399"/>
      <c r="BF69" s="399"/>
      <c r="BG69" s="399"/>
      <c r="CW69" s="399"/>
      <c r="CX69" s="399"/>
    </row>
    <row r="70" spans="1:111" ht="40.5" customHeight="1">
      <c r="A70" s="399"/>
      <c r="B70" s="399"/>
      <c r="C70" s="399"/>
      <c r="D70" s="399"/>
      <c r="E70" s="399"/>
      <c r="F70" s="399"/>
      <c r="G70" s="399"/>
      <c r="H70" s="399"/>
      <c r="I70" s="399"/>
      <c r="J70" s="399"/>
      <c r="K70" s="399"/>
      <c r="L70" s="399"/>
      <c r="M70" s="399"/>
      <c r="N70" s="399"/>
      <c r="O70" s="399"/>
      <c r="P70" s="399"/>
      <c r="Q70" s="399"/>
      <c r="R70" s="435"/>
      <c r="S70" s="399"/>
      <c r="T70" s="399"/>
      <c r="U70" s="399"/>
      <c r="V70" s="399"/>
      <c r="W70" s="399"/>
      <c r="X70" s="399"/>
      <c r="Y70" s="399"/>
      <c r="Z70" s="399"/>
      <c r="AA70" s="399"/>
      <c r="AB70" s="399"/>
      <c r="AC70" s="399"/>
      <c r="AD70" s="399"/>
      <c r="AE70" s="399"/>
      <c r="AF70" s="399"/>
      <c r="AG70" s="399"/>
      <c r="AH70" s="399"/>
      <c r="AI70" s="399"/>
      <c r="AJ70" s="399"/>
      <c r="AK70" s="399"/>
      <c r="AL70" s="399"/>
      <c r="AM70" s="399"/>
      <c r="AN70" s="399"/>
      <c r="AO70" s="399"/>
      <c r="AP70" s="399"/>
      <c r="AQ70" s="399"/>
      <c r="AR70" s="399"/>
      <c r="AS70" s="399"/>
      <c r="AT70" s="399"/>
      <c r="AU70" s="435"/>
      <c r="AV70" s="399"/>
      <c r="AW70" s="401"/>
      <c r="AX70" s="399"/>
      <c r="AY70" s="399"/>
      <c r="AZ70" s="399"/>
      <c r="BA70" s="399"/>
      <c r="BB70" s="399"/>
      <c r="BC70" s="399"/>
      <c r="BD70" s="399"/>
      <c r="BE70" s="399"/>
      <c r="BF70" s="399"/>
      <c r="BG70" s="399"/>
      <c r="CW70" s="399"/>
      <c r="CX70" s="399"/>
    </row>
    <row r="71" spans="1:111" ht="12.75">
      <c r="A71" s="404"/>
      <c r="B71" s="404"/>
      <c r="C71" s="404"/>
      <c r="D71" s="404"/>
      <c r="E71" s="404"/>
      <c r="F71" s="404"/>
      <c r="G71" s="404"/>
      <c r="H71" s="404"/>
      <c r="I71" s="404"/>
      <c r="J71" s="404"/>
      <c r="K71" s="404"/>
      <c r="L71" s="404"/>
      <c r="M71" s="404"/>
      <c r="N71" s="404"/>
      <c r="O71" s="404"/>
      <c r="P71" s="404"/>
      <c r="Q71" s="404"/>
      <c r="R71" s="439"/>
      <c r="S71" s="404"/>
      <c r="T71" s="404"/>
      <c r="U71" s="404"/>
      <c r="V71" s="404"/>
      <c r="W71" s="404"/>
      <c r="X71" s="404"/>
      <c r="Y71" s="404"/>
      <c r="Z71" s="404"/>
      <c r="AA71" s="404"/>
      <c r="AB71" s="404"/>
      <c r="AC71" s="404"/>
      <c r="AD71" s="404"/>
      <c r="AE71" s="404"/>
      <c r="AF71" s="404"/>
      <c r="AG71" s="404"/>
      <c r="AH71" s="404"/>
      <c r="AI71" s="404"/>
      <c r="AJ71" s="404"/>
      <c r="AK71" s="404"/>
      <c r="AL71" s="404"/>
      <c r="AM71" s="404"/>
      <c r="AN71" s="404"/>
      <c r="AO71" s="404"/>
      <c r="AP71" s="404"/>
      <c r="AQ71" s="404"/>
      <c r="AR71" s="404"/>
      <c r="AS71" s="404"/>
      <c r="AT71" s="404"/>
      <c r="AU71" s="439"/>
      <c r="AV71" s="404"/>
      <c r="AW71" s="401"/>
      <c r="AX71" s="399"/>
      <c r="AY71" s="399"/>
      <c r="AZ71" s="399"/>
      <c r="BA71" s="399"/>
      <c r="BB71" s="399"/>
      <c r="BC71" s="399"/>
      <c r="BD71" s="399"/>
      <c r="BE71" s="399"/>
      <c r="BF71" s="399"/>
      <c r="BG71" s="399"/>
      <c r="CW71" s="399"/>
      <c r="CX71" s="399"/>
    </row>
    <row r="72" spans="1:111" ht="12.75">
      <c r="A72" s="399"/>
      <c r="B72" s="399"/>
      <c r="C72" s="399"/>
      <c r="D72" s="399"/>
      <c r="E72" s="399"/>
      <c r="F72" s="399"/>
      <c r="G72" s="399"/>
      <c r="H72" s="399"/>
      <c r="I72" s="399"/>
      <c r="J72" s="399"/>
      <c r="K72" s="399"/>
      <c r="L72" s="399"/>
      <c r="M72" s="399"/>
      <c r="N72" s="399"/>
      <c r="O72" s="399"/>
      <c r="P72" s="399"/>
      <c r="Q72" s="399"/>
      <c r="R72" s="435"/>
      <c r="S72" s="399"/>
      <c r="T72" s="399"/>
      <c r="U72" s="399"/>
      <c r="V72" s="399"/>
      <c r="W72" s="399"/>
      <c r="X72" s="399"/>
      <c r="Y72" s="399"/>
      <c r="Z72" s="399"/>
      <c r="AA72" s="399"/>
      <c r="AB72" s="399"/>
      <c r="AC72" s="399"/>
      <c r="AD72" s="399"/>
      <c r="AE72" s="399"/>
      <c r="AF72" s="399"/>
      <c r="AG72" s="399"/>
      <c r="AH72" s="399"/>
      <c r="AI72" s="399"/>
      <c r="AJ72" s="399"/>
      <c r="AK72" s="399"/>
      <c r="AL72" s="399"/>
      <c r="AM72" s="399"/>
      <c r="AN72" s="399"/>
      <c r="AO72" s="399"/>
      <c r="AP72" s="399"/>
      <c r="AQ72" s="399"/>
      <c r="AR72" s="399"/>
      <c r="AS72" s="399"/>
      <c r="AT72" s="399"/>
      <c r="AU72" s="435"/>
      <c r="BD72" s="400"/>
      <c r="BE72" s="400"/>
      <c r="BF72" s="400"/>
      <c r="BG72" s="400"/>
      <c r="CW72" s="399"/>
      <c r="CX72" s="399"/>
    </row>
    <row r="73" spans="1:111" ht="12.75">
      <c r="A73" s="399"/>
      <c r="B73" s="399"/>
      <c r="C73" s="399"/>
      <c r="D73" s="399"/>
      <c r="E73" s="399"/>
      <c r="F73" s="399"/>
      <c r="G73" s="399"/>
      <c r="H73" s="399"/>
      <c r="I73" s="399"/>
      <c r="J73" s="399"/>
      <c r="K73" s="399"/>
      <c r="L73" s="399"/>
      <c r="M73" s="399"/>
      <c r="N73" s="399"/>
      <c r="O73" s="399"/>
      <c r="P73" s="399"/>
      <c r="Q73" s="399"/>
      <c r="R73" s="435"/>
      <c r="S73" s="399"/>
      <c r="T73" s="399"/>
      <c r="U73" s="399"/>
      <c r="V73" s="399"/>
      <c r="W73" s="399"/>
      <c r="X73" s="399"/>
      <c r="Y73" s="399"/>
      <c r="Z73" s="399"/>
      <c r="AA73" s="399"/>
      <c r="AB73" s="399"/>
      <c r="AC73" s="399"/>
      <c r="AD73" s="399"/>
      <c r="AE73" s="399"/>
      <c r="AF73" s="399"/>
      <c r="AG73" s="399"/>
      <c r="AH73" s="399"/>
      <c r="AI73" s="399"/>
      <c r="AJ73" s="399"/>
      <c r="AK73" s="399"/>
      <c r="AL73" s="399"/>
      <c r="AM73" s="399"/>
      <c r="AN73" s="399"/>
      <c r="AO73" s="399"/>
      <c r="AP73" s="399"/>
      <c r="AQ73" s="399"/>
      <c r="AR73" s="399"/>
      <c r="AS73" s="399"/>
      <c r="AT73" s="399"/>
      <c r="AU73" s="435"/>
      <c r="AV73" s="405"/>
      <c r="BD73" s="400"/>
      <c r="BE73" s="400"/>
      <c r="BF73" s="400"/>
      <c r="BG73" s="400"/>
      <c r="CW73" s="399"/>
      <c r="CX73" s="399"/>
    </row>
    <row r="74" spans="1:111" ht="12.75">
      <c r="A74" s="399"/>
      <c r="B74" s="399"/>
      <c r="C74" s="399"/>
      <c r="D74" s="399"/>
      <c r="E74" s="399"/>
      <c r="F74" s="399"/>
      <c r="G74" s="399"/>
      <c r="H74" s="399"/>
      <c r="I74" s="399"/>
      <c r="J74" s="399"/>
      <c r="K74" s="399"/>
      <c r="L74" s="399"/>
      <c r="M74" s="399"/>
      <c r="N74" s="399"/>
      <c r="O74" s="399"/>
      <c r="P74" s="399"/>
      <c r="Q74" s="399"/>
      <c r="R74" s="435"/>
      <c r="S74" s="399"/>
      <c r="T74" s="399"/>
      <c r="U74" s="399"/>
      <c r="V74" s="399"/>
      <c r="W74" s="399"/>
      <c r="X74" s="399"/>
      <c r="Y74" s="399"/>
      <c r="Z74" s="399"/>
      <c r="AA74" s="399"/>
      <c r="AB74" s="399"/>
      <c r="AC74" s="399"/>
      <c r="AD74" s="399"/>
      <c r="AE74" s="399"/>
      <c r="AF74" s="399"/>
      <c r="AG74" s="399"/>
      <c r="AH74" s="399"/>
      <c r="AI74" s="399"/>
      <c r="AJ74" s="399"/>
      <c r="AK74" s="399"/>
      <c r="AL74" s="399"/>
      <c r="AM74" s="399"/>
      <c r="AN74" s="399"/>
      <c r="AO74" s="399"/>
      <c r="AP74" s="399"/>
      <c r="AQ74" s="399"/>
      <c r="AR74" s="399"/>
      <c r="AS74" s="399"/>
      <c r="AT74" s="399"/>
      <c r="AU74" s="435"/>
      <c r="AV74" s="400"/>
      <c r="BD74" s="400"/>
      <c r="BE74" s="400"/>
      <c r="BF74" s="400"/>
      <c r="BG74" s="400"/>
      <c r="CW74" s="399"/>
      <c r="CX74" s="399"/>
    </row>
    <row r="75" spans="1:111" ht="12.75">
      <c r="A75" s="399"/>
      <c r="B75" s="399"/>
      <c r="C75" s="399"/>
      <c r="D75" s="399"/>
      <c r="E75" s="399"/>
      <c r="F75" s="399"/>
      <c r="G75" s="399"/>
      <c r="H75" s="399"/>
      <c r="I75" s="399"/>
      <c r="J75" s="399"/>
      <c r="K75" s="399"/>
      <c r="L75" s="399"/>
      <c r="M75" s="399"/>
      <c r="N75" s="399"/>
      <c r="O75" s="399"/>
      <c r="P75" s="399"/>
      <c r="Q75" s="399"/>
      <c r="R75" s="435"/>
      <c r="S75" s="399"/>
      <c r="T75" s="399"/>
      <c r="U75" s="399"/>
      <c r="V75" s="399"/>
      <c r="W75" s="399"/>
      <c r="X75" s="399"/>
      <c r="Y75" s="399"/>
      <c r="Z75" s="399"/>
      <c r="AA75" s="399"/>
      <c r="AB75" s="399"/>
      <c r="AC75" s="399"/>
      <c r="AD75" s="399"/>
      <c r="AE75" s="399"/>
      <c r="AF75" s="399"/>
      <c r="AG75" s="399"/>
      <c r="AH75" s="399"/>
      <c r="AI75" s="399"/>
      <c r="AJ75" s="399"/>
      <c r="AK75" s="399"/>
      <c r="AL75" s="399"/>
      <c r="AM75" s="399"/>
      <c r="AN75" s="399"/>
      <c r="AO75" s="399"/>
      <c r="AP75" s="399"/>
      <c r="AQ75" s="399"/>
      <c r="AR75" s="399"/>
      <c r="AS75" s="399"/>
      <c r="AT75" s="399"/>
      <c r="AU75" s="435"/>
      <c r="AV75" s="400"/>
      <c r="AW75" s="401"/>
      <c r="AX75" s="399"/>
      <c r="AY75" s="399"/>
      <c r="AZ75" s="399"/>
      <c r="BA75" s="399"/>
      <c r="BB75" s="399"/>
      <c r="BC75" s="399"/>
      <c r="BD75" s="399"/>
      <c r="BE75" s="399"/>
      <c r="BF75" s="399"/>
      <c r="BG75" s="399"/>
      <c r="CW75" s="399"/>
      <c r="CX75" s="399"/>
    </row>
    <row r="76" spans="1:111" ht="12.75">
      <c r="A76" s="399"/>
      <c r="B76" s="399"/>
      <c r="C76" s="399"/>
      <c r="D76" s="399"/>
      <c r="E76" s="399"/>
      <c r="F76" s="399"/>
      <c r="G76" s="399"/>
      <c r="H76" s="399"/>
      <c r="I76" s="399"/>
      <c r="J76" s="399"/>
      <c r="K76" s="399"/>
      <c r="L76" s="399"/>
      <c r="M76" s="399"/>
      <c r="N76" s="399"/>
      <c r="O76" s="399"/>
      <c r="P76" s="399"/>
      <c r="Q76" s="399"/>
      <c r="R76" s="435"/>
      <c r="S76" s="399"/>
      <c r="T76" s="399"/>
      <c r="U76" s="399"/>
      <c r="V76" s="399"/>
      <c r="W76" s="399"/>
      <c r="X76" s="399"/>
      <c r="Y76" s="399"/>
      <c r="Z76" s="399"/>
      <c r="AA76" s="399"/>
      <c r="AB76" s="399"/>
      <c r="AC76" s="399"/>
      <c r="AD76" s="399"/>
      <c r="AE76" s="399"/>
      <c r="AF76" s="399"/>
      <c r="AG76" s="399"/>
      <c r="AH76" s="399"/>
      <c r="AI76" s="399"/>
      <c r="AJ76" s="399"/>
      <c r="AK76" s="399"/>
      <c r="AL76" s="399"/>
      <c r="AM76" s="399"/>
      <c r="AN76" s="399"/>
      <c r="AO76" s="399"/>
      <c r="AP76" s="399"/>
      <c r="AQ76" s="399"/>
      <c r="AR76" s="399"/>
      <c r="AS76" s="399"/>
      <c r="AT76" s="399"/>
      <c r="AU76" s="435"/>
      <c r="AY76" s="399"/>
      <c r="AZ76" s="399"/>
      <c r="BA76" s="399"/>
      <c r="BB76" s="399"/>
      <c r="BC76" s="399"/>
      <c r="BD76" s="399"/>
      <c r="BE76" s="399"/>
      <c r="BF76" s="399"/>
      <c r="BG76" s="399"/>
      <c r="CW76" s="399"/>
      <c r="CX76" s="399"/>
    </row>
    <row r="77" spans="1:111" ht="12.75">
      <c r="A77" s="399"/>
      <c r="B77" s="399"/>
      <c r="C77" s="399"/>
      <c r="D77" s="399"/>
      <c r="E77" s="399"/>
      <c r="F77" s="399"/>
      <c r="G77" s="399"/>
      <c r="H77" s="399"/>
      <c r="I77" s="399"/>
      <c r="J77" s="399"/>
      <c r="K77" s="399"/>
      <c r="L77" s="399"/>
      <c r="M77" s="399"/>
      <c r="N77" s="399"/>
      <c r="O77" s="399"/>
      <c r="P77" s="399"/>
      <c r="Q77" s="399"/>
      <c r="R77" s="435"/>
      <c r="S77" s="399"/>
      <c r="T77" s="399"/>
      <c r="U77" s="399"/>
      <c r="V77" s="399"/>
      <c r="W77" s="399"/>
      <c r="X77" s="399"/>
      <c r="Y77" s="399"/>
      <c r="Z77" s="399"/>
      <c r="AA77" s="399"/>
      <c r="AB77" s="399"/>
      <c r="AC77" s="399"/>
      <c r="AD77" s="399"/>
      <c r="AE77" s="399"/>
      <c r="AF77" s="399"/>
      <c r="AG77" s="399"/>
      <c r="AH77" s="399"/>
      <c r="AI77" s="399"/>
      <c r="AJ77" s="399"/>
      <c r="AK77" s="399"/>
      <c r="AL77" s="399"/>
      <c r="AM77" s="399"/>
      <c r="AN77" s="399"/>
      <c r="AO77" s="399"/>
      <c r="AP77" s="399"/>
      <c r="AQ77" s="399"/>
      <c r="AR77" s="399"/>
      <c r="AS77" s="399"/>
      <c r="AT77" s="399"/>
      <c r="AU77" s="435"/>
      <c r="AV77" s="400"/>
      <c r="AW77" s="403"/>
      <c r="AX77" s="399"/>
      <c r="AY77" s="399"/>
      <c r="AZ77" s="399"/>
      <c r="BA77" s="399"/>
      <c r="BB77" s="399"/>
      <c r="BC77" s="399"/>
      <c r="BD77" s="399"/>
      <c r="BE77" s="399"/>
      <c r="BF77" s="399"/>
      <c r="BG77" s="399"/>
      <c r="CW77" s="399"/>
      <c r="CX77" s="399"/>
    </row>
    <row r="78" spans="1:111" ht="12.75">
      <c r="A78" s="404"/>
      <c r="B78" s="404"/>
      <c r="C78" s="404"/>
      <c r="D78" s="404"/>
      <c r="E78" s="404"/>
      <c r="F78" s="404"/>
      <c r="G78" s="404"/>
      <c r="H78" s="404"/>
      <c r="I78" s="404"/>
      <c r="J78" s="404"/>
      <c r="K78" s="404"/>
      <c r="L78" s="404"/>
      <c r="M78" s="404"/>
      <c r="N78" s="404"/>
      <c r="O78" s="404"/>
      <c r="P78" s="404"/>
      <c r="Q78" s="404"/>
      <c r="R78" s="439"/>
      <c r="S78" s="404"/>
      <c r="T78" s="404"/>
      <c r="U78" s="404"/>
      <c r="V78" s="404"/>
      <c r="W78" s="404"/>
      <c r="X78" s="404"/>
      <c r="Y78" s="404"/>
      <c r="Z78" s="404"/>
      <c r="AA78" s="404"/>
      <c r="AB78" s="404"/>
      <c r="AC78" s="404"/>
      <c r="AD78" s="404"/>
      <c r="AE78" s="404"/>
      <c r="AF78" s="404"/>
      <c r="AG78" s="404"/>
      <c r="AH78" s="404"/>
      <c r="AI78" s="404"/>
      <c r="AJ78" s="404"/>
      <c r="AK78" s="404"/>
      <c r="AL78" s="404"/>
      <c r="AM78" s="404"/>
      <c r="AN78" s="404"/>
      <c r="AO78" s="404"/>
      <c r="AP78" s="404"/>
      <c r="AQ78" s="404"/>
      <c r="AR78" s="404"/>
      <c r="AS78" s="404"/>
      <c r="AT78" s="404"/>
      <c r="AU78" s="439"/>
      <c r="AV78" s="400"/>
      <c r="AW78" s="401"/>
      <c r="AX78" s="399"/>
      <c r="AY78" s="399"/>
      <c r="AZ78" s="399"/>
      <c r="BA78" s="399"/>
      <c r="BB78" s="399"/>
      <c r="BC78" s="399"/>
      <c r="BD78" s="399"/>
      <c r="BE78" s="399"/>
      <c r="BF78" s="399"/>
      <c r="BG78" s="399"/>
    </row>
    <row r="79" spans="1:111" ht="12.75">
      <c r="A79" s="399"/>
      <c r="B79" s="399"/>
      <c r="C79" s="399"/>
      <c r="D79" s="399"/>
      <c r="E79" s="399"/>
      <c r="F79" s="399"/>
      <c r="G79" s="399"/>
      <c r="H79" s="399"/>
      <c r="I79" s="399"/>
      <c r="J79" s="399"/>
      <c r="K79" s="399"/>
      <c r="L79" s="399"/>
      <c r="M79" s="399"/>
      <c r="N79" s="399"/>
      <c r="O79" s="399"/>
      <c r="P79" s="399"/>
      <c r="Q79" s="399"/>
      <c r="R79" s="435"/>
      <c r="S79" s="399"/>
      <c r="T79" s="399"/>
      <c r="U79" s="399"/>
      <c r="V79" s="399"/>
      <c r="W79" s="399"/>
      <c r="X79" s="399"/>
      <c r="Y79" s="399"/>
      <c r="Z79" s="399"/>
      <c r="AA79" s="399"/>
      <c r="AB79" s="399"/>
      <c r="AC79" s="399"/>
      <c r="AD79" s="399"/>
      <c r="AE79" s="399"/>
      <c r="AF79" s="399"/>
      <c r="AG79" s="399"/>
      <c r="AH79" s="399"/>
      <c r="AI79" s="399"/>
      <c r="AJ79" s="399"/>
      <c r="AK79" s="399"/>
      <c r="AL79" s="399"/>
      <c r="AM79" s="399"/>
      <c r="AN79" s="399"/>
      <c r="AO79" s="399"/>
      <c r="AP79" s="399"/>
      <c r="AQ79" s="399"/>
      <c r="AR79" s="399"/>
      <c r="AS79" s="399"/>
      <c r="AT79" s="399"/>
      <c r="AU79" s="435"/>
    </row>
    <row r="80" spans="1:111" ht="12.75">
      <c r="A80" s="399"/>
      <c r="B80" s="399"/>
      <c r="C80" s="399"/>
      <c r="D80" s="399"/>
      <c r="E80" s="399"/>
      <c r="F80" s="399"/>
      <c r="G80" s="399"/>
      <c r="H80" s="399"/>
      <c r="I80" s="399"/>
      <c r="J80" s="399"/>
      <c r="K80" s="399"/>
      <c r="L80" s="399"/>
      <c r="M80" s="399"/>
      <c r="N80" s="399"/>
      <c r="O80" s="399"/>
      <c r="P80" s="399"/>
      <c r="Q80" s="399"/>
      <c r="R80" s="435"/>
      <c r="S80" s="399"/>
      <c r="T80" s="399"/>
      <c r="U80" s="399"/>
      <c r="V80" s="399"/>
      <c r="W80" s="399"/>
      <c r="X80" s="399"/>
      <c r="Y80" s="399"/>
      <c r="Z80" s="399"/>
      <c r="AA80" s="399"/>
      <c r="AB80" s="399"/>
      <c r="AC80" s="399"/>
      <c r="AD80" s="399"/>
      <c r="AE80" s="399"/>
      <c r="AF80" s="399"/>
      <c r="AG80" s="399"/>
      <c r="AH80" s="399"/>
      <c r="AI80" s="399"/>
      <c r="AJ80" s="399"/>
      <c r="AK80" s="399"/>
      <c r="AL80" s="399"/>
      <c r="AM80" s="399"/>
      <c r="AN80" s="399"/>
      <c r="AO80" s="399"/>
      <c r="AP80" s="399"/>
      <c r="AQ80" s="399"/>
      <c r="AR80" s="399"/>
      <c r="AS80" s="399"/>
      <c r="AT80" s="399"/>
      <c r="AU80" s="435"/>
      <c r="AV80" s="405"/>
    </row>
    <row r="81" spans="1:59" ht="12.75">
      <c r="A81" s="399"/>
      <c r="B81" s="399"/>
      <c r="C81" s="399"/>
      <c r="D81" s="399"/>
      <c r="E81" s="399"/>
      <c r="F81" s="399"/>
      <c r="G81" s="399"/>
      <c r="H81" s="399"/>
      <c r="I81" s="399"/>
      <c r="J81" s="399"/>
      <c r="K81" s="399"/>
      <c r="L81" s="399"/>
      <c r="M81" s="399"/>
      <c r="N81" s="399"/>
      <c r="O81" s="399"/>
      <c r="P81" s="399"/>
      <c r="Q81" s="399"/>
      <c r="R81" s="435"/>
      <c r="S81" s="399"/>
      <c r="T81" s="399"/>
      <c r="U81" s="399"/>
      <c r="V81" s="399"/>
      <c r="W81" s="399"/>
      <c r="X81" s="399"/>
      <c r="Y81" s="399"/>
      <c r="Z81" s="399"/>
      <c r="AA81" s="399"/>
      <c r="AB81" s="399"/>
      <c r="AC81" s="399"/>
      <c r="AD81" s="399"/>
      <c r="AE81" s="399"/>
      <c r="AF81" s="399"/>
      <c r="AG81" s="399"/>
      <c r="AH81" s="399"/>
      <c r="AI81" s="399"/>
      <c r="AJ81" s="399"/>
      <c r="AK81" s="399"/>
      <c r="AL81" s="399"/>
      <c r="AM81" s="399"/>
      <c r="AN81" s="399"/>
      <c r="AO81" s="399"/>
      <c r="AP81" s="399"/>
      <c r="AQ81" s="399"/>
      <c r="AR81" s="399"/>
      <c r="AS81" s="399"/>
      <c r="AT81" s="399"/>
      <c r="AU81" s="435"/>
      <c r="AV81" s="400"/>
    </row>
    <row r="82" spans="1:59" ht="12.75">
      <c r="A82" s="399"/>
      <c r="B82" s="399"/>
      <c r="C82" s="399"/>
      <c r="D82" s="399"/>
      <c r="E82" s="399"/>
      <c r="F82" s="399"/>
      <c r="G82" s="399"/>
      <c r="H82" s="399"/>
      <c r="I82" s="399"/>
      <c r="J82" s="399"/>
      <c r="K82" s="399"/>
      <c r="L82" s="399"/>
      <c r="M82" s="399"/>
      <c r="N82" s="399"/>
      <c r="O82" s="399"/>
      <c r="P82" s="399"/>
      <c r="Q82" s="399"/>
      <c r="R82" s="435"/>
      <c r="S82" s="399"/>
      <c r="T82" s="399"/>
      <c r="U82" s="399"/>
      <c r="V82" s="399"/>
      <c r="W82" s="399"/>
      <c r="X82" s="399"/>
      <c r="Y82" s="399"/>
      <c r="Z82" s="399"/>
      <c r="AA82" s="399"/>
      <c r="AB82" s="399"/>
      <c r="AC82" s="399"/>
      <c r="AD82" s="399"/>
      <c r="AE82" s="399"/>
      <c r="AF82" s="399"/>
      <c r="AG82" s="399"/>
      <c r="AH82" s="399"/>
      <c r="AI82" s="399"/>
      <c r="AJ82" s="399"/>
      <c r="AK82" s="399"/>
      <c r="AL82" s="399"/>
      <c r="AM82" s="399"/>
      <c r="AN82" s="399"/>
      <c r="AO82" s="399"/>
      <c r="AP82" s="399"/>
      <c r="AQ82" s="399"/>
      <c r="AR82" s="399"/>
      <c r="AS82" s="399"/>
      <c r="AT82" s="399"/>
      <c r="AU82" s="435"/>
      <c r="AV82" s="400"/>
      <c r="AW82" s="401"/>
      <c r="AX82" s="399"/>
      <c r="AY82" s="399"/>
      <c r="AZ82" s="399"/>
      <c r="BA82" s="399"/>
      <c r="BB82" s="399"/>
      <c r="BC82" s="399"/>
      <c r="BD82" s="399"/>
      <c r="BE82" s="399"/>
      <c r="BF82" s="399"/>
      <c r="BG82" s="399"/>
    </row>
    <row r="83" spans="1:59" ht="12.75">
      <c r="A83" s="399"/>
      <c r="B83" s="399"/>
      <c r="C83" s="399"/>
      <c r="D83" s="399"/>
      <c r="E83" s="399"/>
      <c r="F83" s="399"/>
      <c r="G83" s="399"/>
      <c r="H83" s="399"/>
      <c r="I83" s="399"/>
      <c r="J83" s="399"/>
      <c r="K83" s="399"/>
      <c r="L83" s="399"/>
      <c r="M83" s="399"/>
      <c r="N83" s="399"/>
      <c r="O83" s="399"/>
      <c r="P83" s="399"/>
      <c r="Q83" s="399"/>
      <c r="R83" s="435"/>
      <c r="S83" s="399"/>
      <c r="T83" s="399"/>
      <c r="U83" s="399"/>
      <c r="V83" s="399"/>
      <c r="W83" s="399"/>
      <c r="X83" s="399"/>
      <c r="Y83" s="399"/>
      <c r="Z83" s="399"/>
      <c r="AA83" s="399"/>
      <c r="AB83" s="399"/>
      <c r="AC83" s="399"/>
      <c r="AD83" s="399"/>
      <c r="AE83" s="399"/>
      <c r="AF83" s="399"/>
      <c r="AG83" s="399"/>
      <c r="AH83" s="399"/>
      <c r="AI83" s="399"/>
      <c r="AJ83" s="399"/>
      <c r="AK83" s="399"/>
      <c r="AL83" s="399"/>
      <c r="AM83" s="399"/>
      <c r="AN83" s="399"/>
      <c r="AO83" s="399"/>
      <c r="AP83" s="399"/>
      <c r="AQ83" s="399"/>
      <c r="AR83" s="399"/>
      <c r="AS83" s="399"/>
      <c r="AT83" s="399"/>
      <c r="AU83" s="435"/>
      <c r="AY83" s="399"/>
      <c r="AZ83" s="399"/>
      <c r="BA83" s="399"/>
      <c r="BB83" s="399"/>
      <c r="BC83" s="399"/>
      <c r="BD83" s="399"/>
      <c r="BE83" s="399"/>
      <c r="BF83" s="399"/>
      <c r="BG83" s="399"/>
    </row>
    <row r="84" spans="1:59" ht="12.75">
      <c r="A84" s="399"/>
      <c r="B84" s="399"/>
      <c r="C84" s="399"/>
      <c r="D84" s="399"/>
      <c r="E84" s="399"/>
      <c r="F84" s="399"/>
      <c r="G84" s="399"/>
      <c r="H84" s="399"/>
      <c r="I84" s="399"/>
      <c r="J84" s="399"/>
      <c r="K84" s="399"/>
      <c r="L84" s="399"/>
      <c r="M84" s="399"/>
      <c r="N84" s="399"/>
      <c r="O84" s="399"/>
      <c r="P84" s="399"/>
      <c r="Q84" s="399"/>
      <c r="R84" s="435"/>
      <c r="S84" s="399"/>
      <c r="T84" s="399"/>
      <c r="U84" s="399"/>
      <c r="V84" s="399"/>
      <c r="W84" s="399"/>
      <c r="X84" s="399"/>
      <c r="Y84" s="399"/>
      <c r="Z84" s="399"/>
      <c r="AA84" s="399"/>
      <c r="AB84" s="399"/>
      <c r="AC84" s="399"/>
      <c r="AD84" s="399"/>
      <c r="AE84" s="399"/>
      <c r="AF84" s="399"/>
      <c r="AG84" s="399"/>
      <c r="AH84" s="399"/>
      <c r="AI84" s="399"/>
      <c r="AJ84" s="399"/>
      <c r="AK84" s="399"/>
      <c r="AL84" s="399"/>
      <c r="AM84" s="399"/>
      <c r="AN84" s="399"/>
      <c r="AO84" s="399"/>
      <c r="AP84" s="399"/>
      <c r="AQ84" s="399"/>
      <c r="AR84" s="399"/>
      <c r="AS84" s="399"/>
      <c r="AT84" s="399"/>
      <c r="AU84" s="435"/>
      <c r="AV84" s="400"/>
      <c r="AW84" s="403"/>
      <c r="AX84" s="399"/>
      <c r="AY84" s="399"/>
      <c r="AZ84" s="399"/>
      <c r="BA84" s="399"/>
      <c r="BB84" s="399"/>
      <c r="BC84" s="399"/>
      <c r="BD84" s="399"/>
      <c r="BE84" s="399"/>
      <c r="BF84" s="399"/>
      <c r="BG84" s="399"/>
    </row>
    <row r="85" spans="1:59" ht="12.75">
      <c r="A85" s="399"/>
      <c r="B85" s="399"/>
      <c r="C85" s="399"/>
      <c r="D85" s="399"/>
      <c r="E85" s="399"/>
      <c r="F85" s="399"/>
      <c r="G85" s="399"/>
      <c r="H85" s="399"/>
      <c r="I85" s="399"/>
      <c r="J85" s="399"/>
      <c r="K85" s="399"/>
      <c r="L85" s="399"/>
      <c r="M85" s="399"/>
      <c r="N85" s="399"/>
      <c r="O85" s="399"/>
      <c r="P85" s="399"/>
      <c r="Q85" s="399"/>
      <c r="R85" s="435"/>
      <c r="S85" s="399"/>
      <c r="T85" s="399"/>
      <c r="U85" s="399"/>
      <c r="V85" s="399"/>
      <c r="W85" s="399"/>
      <c r="X85" s="399"/>
      <c r="Y85" s="399"/>
      <c r="Z85" s="399"/>
      <c r="AA85" s="399"/>
      <c r="AB85" s="399"/>
      <c r="AC85" s="399"/>
      <c r="AD85" s="399"/>
      <c r="AE85" s="399"/>
      <c r="AF85" s="399"/>
      <c r="AG85" s="399"/>
      <c r="AH85" s="399"/>
      <c r="AI85" s="399"/>
      <c r="AJ85" s="399"/>
      <c r="AK85" s="399"/>
      <c r="AL85" s="399"/>
      <c r="AM85" s="399"/>
      <c r="AN85" s="399"/>
      <c r="AO85" s="399"/>
      <c r="AP85" s="399"/>
      <c r="AQ85" s="399"/>
      <c r="AR85" s="399"/>
      <c r="AS85" s="399"/>
      <c r="AT85" s="399"/>
      <c r="AU85" s="435"/>
      <c r="AV85" s="400"/>
      <c r="AW85" s="406"/>
      <c r="AX85" s="399"/>
      <c r="AY85" s="399"/>
      <c r="AZ85" s="399"/>
      <c r="BA85" s="399"/>
      <c r="BB85" s="399"/>
      <c r="BC85" s="399"/>
      <c r="BD85" s="399"/>
      <c r="BE85" s="399"/>
      <c r="BF85" s="399"/>
      <c r="BG85" s="399"/>
    </row>
    <row r="86" spans="1:59" ht="12.75">
      <c r="A86" s="399"/>
      <c r="B86" s="399"/>
      <c r="C86" s="399"/>
      <c r="D86" s="399"/>
      <c r="E86" s="399"/>
      <c r="F86" s="399"/>
      <c r="G86" s="399"/>
      <c r="H86" s="399"/>
      <c r="I86" s="399"/>
      <c r="J86" s="399"/>
      <c r="K86" s="399"/>
      <c r="L86" s="399"/>
      <c r="M86" s="399"/>
      <c r="N86" s="399"/>
      <c r="O86" s="399"/>
      <c r="P86" s="399"/>
      <c r="Q86" s="399"/>
      <c r="R86" s="435"/>
      <c r="S86" s="399"/>
      <c r="T86" s="399"/>
      <c r="U86" s="399"/>
      <c r="V86" s="399"/>
      <c r="W86" s="399"/>
      <c r="X86" s="399"/>
      <c r="Y86" s="399"/>
      <c r="Z86" s="399"/>
      <c r="AA86" s="399"/>
      <c r="AB86" s="399"/>
      <c r="AC86" s="399"/>
      <c r="AD86" s="399"/>
      <c r="AE86" s="399"/>
      <c r="AF86" s="399"/>
      <c r="AG86" s="399"/>
      <c r="AH86" s="399"/>
      <c r="AI86" s="399"/>
      <c r="AJ86" s="399"/>
      <c r="AK86" s="399"/>
      <c r="AL86" s="399"/>
      <c r="AM86" s="399"/>
      <c r="AN86" s="399"/>
      <c r="AO86" s="399"/>
      <c r="AP86" s="399"/>
      <c r="AQ86" s="399"/>
      <c r="AR86" s="399"/>
      <c r="AS86" s="399"/>
      <c r="AT86" s="399"/>
      <c r="AU86" s="435"/>
      <c r="AV86" s="399"/>
      <c r="AW86" s="399"/>
      <c r="AX86" s="399"/>
      <c r="BG86" s="399"/>
    </row>
    <row r="87" spans="1:59" ht="12.75">
      <c r="A87" s="399"/>
      <c r="B87" s="399"/>
      <c r="C87" s="399"/>
      <c r="D87" s="399"/>
      <c r="E87" s="399"/>
      <c r="F87" s="399"/>
      <c r="G87" s="399"/>
      <c r="H87" s="399"/>
      <c r="I87" s="399"/>
      <c r="J87" s="399"/>
      <c r="K87" s="399"/>
      <c r="L87" s="399"/>
      <c r="M87" s="399"/>
      <c r="N87" s="399"/>
      <c r="O87" s="399"/>
      <c r="P87" s="399"/>
      <c r="Q87" s="399"/>
      <c r="R87" s="435"/>
      <c r="S87" s="399"/>
      <c r="T87" s="399"/>
      <c r="U87" s="399"/>
      <c r="V87" s="399"/>
      <c r="W87" s="399"/>
      <c r="X87" s="399"/>
      <c r="Y87" s="399"/>
      <c r="Z87" s="399"/>
      <c r="AA87" s="399"/>
      <c r="AB87" s="399"/>
      <c r="AC87" s="399"/>
      <c r="AD87" s="399"/>
      <c r="AE87" s="399"/>
      <c r="AF87" s="399"/>
      <c r="AG87" s="399"/>
      <c r="AH87" s="399"/>
      <c r="AI87" s="399"/>
      <c r="AJ87" s="399"/>
      <c r="AK87" s="399"/>
      <c r="AL87" s="399"/>
      <c r="AM87" s="399"/>
      <c r="AN87" s="399"/>
      <c r="AO87" s="399"/>
      <c r="AP87" s="399"/>
      <c r="AQ87" s="399"/>
      <c r="AR87" s="399"/>
      <c r="AS87" s="399"/>
      <c r="AT87" s="399"/>
      <c r="AU87" s="435"/>
      <c r="AV87" s="399"/>
      <c r="AW87" s="399"/>
      <c r="AX87" s="399"/>
      <c r="BG87" s="399"/>
    </row>
    <row r="88" spans="1:59" ht="12.75">
      <c r="A88" s="399"/>
      <c r="B88" s="399"/>
      <c r="C88" s="399"/>
      <c r="D88" s="399"/>
      <c r="E88" s="399"/>
      <c r="F88" s="399"/>
      <c r="G88" s="399"/>
      <c r="H88" s="399"/>
      <c r="I88" s="399"/>
      <c r="J88" s="399"/>
      <c r="K88" s="399"/>
      <c r="L88" s="399"/>
      <c r="M88" s="399"/>
      <c r="N88" s="399"/>
      <c r="O88" s="399"/>
      <c r="P88" s="399"/>
      <c r="Q88" s="399"/>
      <c r="R88" s="435"/>
      <c r="S88" s="399"/>
      <c r="T88" s="399"/>
      <c r="U88" s="399"/>
      <c r="V88" s="399"/>
      <c r="W88" s="399"/>
      <c r="X88" s="399"/>
      <c r="Y88" s="399"/>
      <c r="Z88" s="399"/>
      <c r="AA88" s="399"/>
      <c r="AB88" s="399"/>
      <c r="AC88" s="399"/>
      <c r="AD88" s="399"/>
      <c r="AE88" s="399"/>
      <c r="AF88" s="399"/>
      <c r="AG88" s="399"/>
      <c r="AH88" s="399"/>
      <c r="AI88" s="399"/>
      <c r="AJ88" s="399"/>
      <c r="AK88" s="399"/>
      <c r="AL88" s="399"/>
      <c r="AM88" s="399"/>
      <c r="AN88" s="399"/>
      <c r="AO88" s="399"/>
      <c r="AP88" s="399"/>
      <c r="AQ88" s="399"/>
      <c r="AR88" s="399"/>
      <c r="AS88" s="399"/>
      <c r="AT88" s="399"/>
      <c r="AU88" s="435"/>
      <c r="AV88" s="399"/>
      <c r="AW88" s="399"/>
      <c r="AX88" s="399"/>
      <c r="BG88" s="399"/>
    </row>
    <row r="89" spans="1:59" ht="12.75">
      <c r="A89" s="399"/>
      <c r="B89" s="399"/>
      <c r="C89" s="399"/>
      <c r="D89" s="399"/>
      <c r="E89" s="399"/>
      <c r="F89" s="399"/>
      <c r="G89" s="399"/>
      <c r="H89" s="399"/>
      <c r="I89" s="399"/>
      <c r="J89" s="399"/>
      <c r="K89" s="399"/>
      <c r="L89" s="399"/>
      <c r="M89" s="399"/>
      <c r="N89" s="399"/>
      <c r="O89" s="399"/>
      <c r="P89" s="399"/>
      <c r="Q89" s="399"/>
      <c r="R89" s="435"/>
      <c r="S89" s="399"/>
      <c r="T89" s="399"/>
      <c r="U89" s="399"/>
      <c r="V89" s="399"/>
      <c r="W89" s="399"/>
      <c r="X89" s="399"/>
      <c r="Y89" s="399"/>
      <c r="Z89" s="399"/>
      <c r="AA89" s="399"/>
      <c r="AB89" s="399"/>
      <c r="AC89" s="399"/>
      <c r="AD89" s="399"/>
      <c r="AE89" s="399"/>
      <c r="AF89" s="399"/>
      <c r="AG89" s="399"/>
      <c r="AH89" s="399"/>
      <c r="AI89" s="399"/>
      <c r="AJ89" s="399"/>
      <c r="AK89" s="399"/>
      <c r="AL89" s="399"/>
      <c r="AM89" s="399"/>
      <c r="AN89" s="399"/>
      <c r="AO89" s="399"/>
      <c r="AP89" s="399"/>
      <c r="AQ89" s="399"/>
      <c r="AR89" s="399"/>
      <c r="AS89" s="399"/>
      <c r="AT89" s="399"/>
      <c r="AU89" s="435"/>
      <c r="AV89" s="399"/>
      <c r="AW89" s="399"/>
      <c r="AX89" s="399"/>
      <c r="BG89" s="399"/>
    </row>
    <row r="90" spans="1:59" ht="12.75">
      <c r="A90" s="399"/>
      <c r="B90" s="399"/>
      <c r="C90" s="399"/>
      <c r="D90" s="399"/>
      <c r="E90" s="399"/>
      <c r="F90" s="399"/>
      <c r="G90" s="399"/>
      <c r="H90" s="399"/>
      <c r="I90" s="399"/>
      <c r="J90" s="399"/>
      <c r="K90" s="399"/>
      <c r="L90" s="399"/>
      <c r="M90" s="399"/>
      <c r="N90" s="399"/>
      <c r="O90" s="399"/>
      <c r="P90" s="399"/>
      <c r="Q90" s="399"/>
      <c r="R90" s="435"/>
      <c r="S90" s="399"/>
      <c r="T90" s="399"/>
      <c r="U90" s="399"/>
      <c r="V90" s="399"/>
      <c r="W90" s="399"/>
      <c r="X90" s="399"/>
      <c r="Y90" s="399"/>
      <c r="Z90" s="399"/>
      <c r="AA90" s="399"/>
      <c r="AB90" s="399"/>
      <c r="AC90" s="399"/>
      <c r="AD90" s="399"/>
      <c r="AE90" s="399"/>
      <c r="AF90" s="399"/>
      <c r="AG90" s="399"/>
      <c r="AH90" s="399"/>
      <c r="AI90" s="399"/>
      <c r="AJ90" s="399"/>
      <c r="AK90" s="399"/>
      <c r="AL90" s="399"/>
      <c r="AM90" s="399"/>
      <c r="AN90" s="399"/>
      <c r="AO90" s="399"/>
      <c r="AP90" s="399"/>
      <c r="AQ90" s="399"/>
      <c r="AR90" s="399"/>
      <c r="AS90" s="399"/>
      <c r="AT90" s="399"/>
      <c r="AU90" s="435"/>
      <c r="AV90" s="399"/>
      <c r="AW90" s="399"/>
      <c r="AX90" s="399"/>
      <c r="BG90" s="399"/>
    </row>
    <row r="91" spans="1:59" ht="12.75">
      <c r="A91" s="399"/>
      <c r="B91" s="399"/>
      <c r="C91" s="399"/>
      <c r="D91" s="399"/>
      <c r="E91" s="399"/>
      <c r="F91" s="399"/>
      <c r="G91" s="399"/>
      <c r="H91" s="399"/>
      <c r="I91" s="399"/>
      <c r="J91" s="399"/>
      <c r="K91" s="399"/>
      <c r="L91" s="399"/>
      <c r="M91" s="399"/>
      <c r="N91" s="399"/>
      <c r="O91" s="399"/>
      <c r="P91" s="399"/>
      <c r="Q91" s="399"/>
      <c r="R91" s="435"/>
      <c r="S91" s="399"/>
      <c r="T91" s="399"/>
      <c r="U91" s="399"/>
      <c r="V91" s="399"/>
      <c r="W91" s="399"/>
      <c r="X91" s="399"/>
      <c r="Y91" s="399"/>
      <c r="Z91" s="399"/>
      <c r="AA91" s="399"/>
      <c r="AB91" s="399"/>
      <c r="AC91" s="399"/>
      <c r="AD91" s="399"/>
      <c r="AE91" s="399"/>
      <c r="AF91" s="399"/>
      <c r="AG91" s="399"/>
      <c r="AH91" s="399"/>
      <c r="AI91" s="399"/>
      <c r="AJ91" s="399"/>
      <c r="AK91" s="399"/>
      <c r="AL91" s="399"/>
      <c r="AM91" s="399"/>
      <c r="AN91" s="399"/>
      <c r="AO91" s="399"/>
      <c r="AP91" s="399"/>
      <c r="AQ91" s="399"/>
      <c r="AR91" s="399"/>
      <c r="AS91" s="399"/>
      <c r="AT91" s="399"/>
      <c r="AU91" s="435"/>
      <c r="AV91" s="399"/>
      <c r="AW91" s="399"/>
      <c r="AX91" s="399"/>
      <c r="BG91" s="399"/>
    </row>
    <row r="92" spans="1:59" ht="12.75">
      <c r="A92" s="399"/>
      <c r="B92" s="399"/>
      <c r="C92" s="399"/>
      <c r="D92" s="399"/>
      <c r="E92" s="399"/>
      <c r="F92" s="399"/>
      <c r="G92" s="399"/>
      <c r="H92" s="399"/>
      <c r="I92" s="399"/>
      <c r="J92" s="399"/>
      <c r="K92" s="399"/>
      <c r="L92" s="399"/>
      <c r="M92" s="399"/>
      <c r="N92" s="399"/>
      <c r="O92" s="399"/>
      <c r="P92" s="399"/>
      <c r="Q92" s="399"/>
      <c r="R92" s="435"/>
      <c r="S92" s="399"/>
      <c r="T92" s="399"/>
      <c r="U92" s="399"/>
      <c r="V92" s="399"/>
      <c r="W92" s="399"/>
      <c r="X92" s="399"/>
      <c r="Y92" s="399"/>
      <c r="Z92" s="399"/>
      <c r="AA92" s="399"/>
      <c r="AB92" s="399"/>
      <c r="AC92" s="399"/>
      <c r="AD92" s="399"/>
      <c r="AE92" s="399"/>
      <c r="AF92" s="399"/>
      <c r="AG92" s="399"/>
      <c r="AH92" s="399"/>
      <c r="AI92" s="399"/>
      <c r="AJ92" s="399"/>
      <c r="AK92" s="399"/>
      <c r="AL92" s="399"/>
      <c r="AM92" s="399"/>
      <c r="AN92" s="399"/>
      <c r="AO92" s="399"/>
      <c r="AP92" s="399"/>
      <c r="AQ92" s="399"/>
      <c r="AR92" s="399"/>
      <c r="AS92" s="399"/>
      <c r="AT92" s="399"/>
      <c r="AU92" s="435"/>
      <c r="AV92" s="399"/>
      <c r="AW92" s="399"/>
      <c r="AX92" s="399"/>
      <c r="BG92" s="399"/>
    </row>
    <row r="93" spans="1:59" ht="12.75">
      <c r="A93" s="399"/>
      <c r="B93" s="399"/>
      <c r="C93" s="399"/>
      <c r="D93" s="399"/>
      <c r="E93" s="399"/>
      <c r="F93" s="399"/>
      <c r="G93" s="399"/>
      <c r="H93" s="399"/>
      <c r="I93" s="399"/>
      <c r="J93" s="399"/>
      <c r="K93" s="399"/>
      <c r="L93" s="399"/>
      <c r="M93" s="399"/>
      <c r="N93" s="399"/>
      <c r="O93" s="399"/>
      <c r="P93" s="399"/>
      <c r="Q93" s="399"/>
      <c r="R93" s="435"/>
      <c r="S93" s="399"/>
      <c r="T93" s="399"/>
      <c r="U93" s="399"/>
      <c r="V93" s="399"/>
      <c r="W93" s="399"/>
      <c r="X93" s="399"/>
      <c r="Y93" s="399"/>
      <c r="Z93" s="399"/>
      <c r="AA93" s="399"/>
      <c r="AB93" s="399"/>
      <c r="AC93" s="399"/>
      <c r="AD93" s="399"/>
      <c r="AE93" s="399"/>
      <c r="AF93" s="399"/>
      <c r="AG93" s="399"/>
      <c r="AH93" s="399"/>
      <c r="AI93" s="399"/>
      <c r="AJ93" s="399"/>
      <c r="AK93" s="399"/>
      <c r="AL93" s="399"/>
      <c r="AM93" s="399"/>
      <c r="AN93" s="399"/>
      <c r="AO93" s="399"/>
      <c r="AP93" s="399"/>
      <c r="AQ93" s="399"/>
      <c r="AR93" s="399"/>
      <c r="AS93" s="399"/>
      <c r="AT93" s="399"/>
      <c r="AU93" s="435"/>
      <c r="AV93" s="399"/>
      <c r="AW93" s="399"/>
      <c r="AX93" s="399"/>
      <c r="BG93" s="399"/>
    </row>
    <row r="94" spans="1:59" ht="12.75">
      <c r="A94" s="399"/>
      <c r="B94" s="399"/>
      <c r="C94" s="399"/>
      <c r="D94" s="399"/>
      <c r="E94" s="399"/>
      <c r="F94" s="399"/>
      <c r="G94" s="399"/>
      <c r="H94" s="399"/>
      <c r="I94" s="399"/>
      <c r="J94" s="399"/>
      <c r="K94" s="399"/>
      <c r="L94" s="399"/>
      <c r="M94" s="399"/>
      <c r="N94" s="399"/>
      <c r="O94" s="399"/>
      <c r="P94" s="399"/>
      <c r="Q94" s="399"/>
      <c r="R94" s="435"/>
      <c r="S94" s="399"/>
      <c r="T94" s="399"/>
      <c r="U94" s="399"/>
      <c r="V94" s="399"/>
      <c r="W94" s="399"/>
      <c r="X94" s="399"/>
      <c r="Y94" s="399"/>
      <c r="Z94" s="399"/>
      <c r="AA94" s="399"/>
      <c r="AB94" s="399"/>
      <c r="AC94" s="399"/>
      <c r="AD94" s="399"/>
      <c r="AE94" s="399"/>
      <c r="AF94" s="399"/>
      <c r="AG94" s="399"/>
      <c r="AH94" s="399"/>
      <c r="AI94" s="399"/>
      <c r="AJ94" s="399"/>
      <c r="AK94" s="399"/>
      <c r="AL94" s="399"/>
      <c r="AM94" s="399"/>
      <c r="AN94" s="399"/>
      <c r="AO94" s="399"/>
      <c r="AP94" s="399"/>
      <c r="AQ94" s="399"/>
      <c r="AR94" s="399"/>
      <c r="AS94" s="399"/>
      <c r="AT94" s="399"/>
      <c r="AU94" s="435"/>
      <c r="AW94" s="403"/>
      <c r="AX94" s="399"/>
      <c r="AY94" s="399"/>
      <c r="AZ94" s="399"/>
      <c r="BA94" s="399"/>
      <c r="BB94" s="399"/>
      <c r="BC94" s="399"/>
      <c r="BD94" s="399"/>
      <c r="BE94" s="399"/>
      <c r="BF94" s="399"/>
      <c r="BG94" s="399"/>
    </row>
    <row r="95" spans="1:59" ht="12.75">
      <c r="A95" s="399"/>
      <c r="B95" s="399"/>
      <c r="C95" s="399"/>
      <c r="D95" s="399"/>
      <c r="E95" s="399"/>
      <c r="F95" s="399"/>
      <c r="G95" s="399"/>
      <c r="H95" s="399"/>
      <c r="I95" s="399"/>
      <c r="J95" s="399"/>
      <c r="K95" s="399"/>
      <c r="L95" s="399"/>
      <c r="M95" s="399"/>
      <c r="N95" s="399"/>
      <c r="O95" s="399"/>
      <c r="P95" s="399"/>
      <c r="Q95" s="399"/>
      <c r="R95" s="435"/>
      <c r="S95" s="399"/>
      <c r="T95" s="399"/>
      <c r="U95" s="399"/>
      <c r="V95" s="399"/>
      <c r="W95" s="399"/>
      <c r="X95" s="399"/>
      <c r="Y95" s="399"/>
      <c r="Z95" s="399"/>
      <c r="AA95" s="399"/>
      <c r="AB95" s="399"/>
      <c r="AC95" s="399"/>
      <c r="AD95" s="399"/>
      <c r="AE95" s="399"/>
      <c r="AF95" s="399"/>
      <c r="AG95" s="399"/>
      <c r="AH95" s="399"/>
      <c r="AI95" s="399"/>
      <c r="AJ95" s="399"/>
      <c r="AK95" s="399"/>
      <c r="AL95" s="399"/>
      <c r="AM95" s="399"/>
      <c r="AN95" s="399"/>
      <c r="AO95" s="399"/>
      <c r="AP95" s="399"/>
      <c r="AQ95" s="399"/>
      <c r="AR95" s="399"/>
      <c r="AS95" s="399"/>
      <c r="AT95" s="399"/>
      <c r="AU95" s="435"/>
      <c r="AX95" s="408"/>
      <c r="AY95" s="399"/>
      <c r="AZ95" s="399"/>
      <c r="BA95" s="399"/>
      <c r="BB95" s="399"/>
      <c r="BC95" s="399"/>
      <c r="BD95" s="399"/>
      <c r="BE95" s="399"/>
      <c r="BF95" s="399"/>
      <c r="BG95" s="399"/>
    </row>
    <row r="96" spans="1:59" ht="12.75">
      <c r="A96" s="399"/>
      <c r="B96" s="399"/>
      <c r="C96" s="399"/>
      <c r="D96" s="399"/>
      <c r="E96" s="399"/>
      <c r="F96" s="399"/>
      <c r="G96" s="399"/>
      <c r="H96" s="399"/>
      <c r="I96" s="399"/>
      <c r="J96" s="399"/>
      <c r="K96" s="399"/>
      <c r="L96" s="399"/>
      <c r="M96" s="399"/>
      <c r="N96" s="399"/>
      <c r="O96" s="399"/>
      <c r="P96" s="399"/>
      <c r="Q96" s="399"/>
      <c r="R96" s="435"/>
      <c r="S96" s="399"/>
      <c r="T96" s="399"/>
      <c r="U96" s="399"/>
      <c r="V96" s="399"/>
      <c r="W96" s="399"/>
      <c r="X96" s="399"/>
      <c r="Y96" s="399"/>
      <c r="Z96" s="399"/>
      <c r="AA96" s="399"/>
      <c r="AB96" s="399"/>
      <c r="AC96" s="399"/>
      <c r="AD96" s="399"/>
      <c r="AE96" s="399"/>
      <c r="AF96" s="399"/>
      <c r="AG96" s="399"/>
      <c r="AH96" s="399"/>
      <c r="AI96" s="399"/>
      <c r="AJ96" s="399"/>
      <c r="AK96" s="399"/>
      <c r="AL96" s="399"/>
      <c r="AM96" s="399"/>
      <c r="AN96" s="399"/>
      <c r="AO96" s="399"/>
      <c r="AP96" s="399"/>
      <c r="AQ96" s="399"/>
      <c r="AR96" s="399"/>
      <c r="AS96" s="399"/>
      <c r="AT96" s="399"/>
      <c r="AU96" s="435"/>
      <c r="AV96" s="400"/>
      <c r="AW96" s="403"/>
      <c r="AX96" s="399"/>
      <c r="AY96" s="399"/>
      <c r="AZ96" s="399"/>
      <c r="BA96" s="399"/>
      <c r="BB96" s="399"/>
      <c r="BC96" s="399"/>
      <c r="BD96" s="399"/>
      <c r="BE96" s="399"/>
      <c r="BF96" s="399"/>
      <c r="BG96" s="399"/>
    </row>
    <row r="97" spans="1:59" ht="12.75">
      <c r="A97" s="399"/>
      <c r="B97" s="399"/>
      <c r="C97" s="399"/>
      <c r="D97" s="399"/>
      <c r="E97" s="399"/>
      <c r="F97" s="399"/>
      <c r="G97" s="399"/>
      <c r="H97" s="399"/>
      <c r="I97" s="399"/>
      <c r="J97" s="399"/>
      <c r="K97" s="399"/>
      <c r="L97" s="399"/>
      <c r="M97" s="399"/>
      <c r="N97" s="399"/>
      <c r="O97" s="399"/>
      <c r="P97" s="399"/>
      <c r="Q97" s="399"/>
      <c r="R97" s="435"/>
      <c r="S97" s="399"/>
      <c r="T97" s="399"/>
      <c r="U97" s="399"/>
      <c r="V97" s="399"/>
      <c r="W97" s="399"/>
      <c r="X97" s="399"/>
      <c r="Y97" s="399"/>
      <c r="Z97" s="399"/>
      <c r="AA97" s="399"/>
      <c r="AB97" s="399"/>
      <c r="AC97" s="399"/>
      <c r="AD97" s="399"/>
      <c r="AE97" s="399"/>
      <c r="AF97" s="399"/>
      <c r="AG97" s="399"/>
      <c r="AH97" s="399"/>
      <c r="AI97" s="399"/>
      <c r="AJ97" s="399"/>
      <c r="AK97" s="399"/>
      <c r="AL97" s="399"/>
      <c r="AM97" s="399"/>
      <c r="AN97" s="399"/>
      <c r="AO97" s="399"/>
      <c r="AP97" s="399"/>
      <c r="AQ97" s="399"/>
      <c r="AR97" s="399"/>
      <c r="AS97" s="399"/>
      <c r="AT97" s="399"/>
      <c r="AU97" s="435"/>
      <c r="AZ97" s="399"/>
      <c r="BA97" s="399"/>
      <c r="BB97" s="399"/>
      <c r="BC97" s="399"/>
      <c r="BD97" s="399"/>
      <c r="BE97" s="399"/>
      <c r="BF97" s="399"/>
      <c r="BG97" s="399"/>
    </row>
    <row r="98" spans="1:59" ht="12.75">
      <c r="A98" s="399"/>
      <c r="B98" s="399"/>
      <c r="C98" s="399"/>
      <c r="D98" s="399"/>
      <c r="E98" s="399"/>
      <c r="F98" s="399"/>
      <c r="G98" s="399"/>
      <c r="H98" s="399"/>
      <c r="I98" s="399"/>
      <c r="J98" s="399"/>
      <c r="K98" s="399"/>
      <c r="L98" s="399"/>
      <c r="M98" s="399"/>
      <c r="N98" s="399"/>
      <c r="O98" s="399"/>
      <c r="P98" s="399"/>
      <c r="Q98" s="399"/>
      <c r="R98" s="435"/>
      <c r="S98" s="399"/>
      <c r="T98" s="399"/>
      <c r="U98" s="399"/>
      <c r="V98" s="399"/>
      <c r="W98" s="399"/>
      <c r="X98" s="399"/>
      <c r="Y98" s="399"/>
      <c r="Z98" s="399"/>
      <c r="AA98" s="399"/>
      <c r="AB98" s="399"/>
      <c r="AC98" s="399"/>
      <c r="AD98" s="399"/>
      <c r="AE98" s="399"/>
      <c r="AF98" s="399"/>
      <c r="AG98" s="399"/>
      <c r="AH98" s="399"/>
      <c r="AI98" s="399"/>
      <c r="AJ98" s="399"/>
      <c r="AK98" s="399"/>
      <c r="AL98" s="399"/>
      <c r="AM98" s="399"/>
      <c r="AN98" s="399"/>
      <c r="AO98" s="399"/>
      <c r="AP98" s="399"/>
      <c r="AQ98" s="399"/>
      <c r="AR98" s="399"/>
      <c r="AS98" s="399"/>
      <c r="AT98" s="399"/>
      <c r="AU98" s="435"/>
      <c r="AZ98" s="399"/>
      <c r="BA98" s="399"/>
      <c r="BB98" s="399"/>
      <c r="BC98" s="399"/>
      <c r="BD98" s="399"/>
      <c r="BE98" s="399"/>
      <c r="BF98" s="399"/>
      <c r="BG98" s="399"/>
    </row>
    <row r="99" spans="1:59" ht="12.75">
      <c r="A99" s="399"/>
      <c r="B99" s="399"/>
      <c r="C99" s="399"/>
      <c r="D99" s="399"/>
      <c r="E99" s="399"/>
      <c r="F99" s="399"/>
      <c r="G99" s="399"/>
      <c r="H99" s="399"/>
      <c r="I99" s="399"/>
      <c r="J99" s="399"/>
      <c r="K99" s="399"/>
      <c r="L99" s="399"/>
      <c r="M99" s="399"/>
      <c r="N99" s="399"/>
      <c r="O99" s="399"/>
      <c r="P99" s="399"/>
      <c r="Q99" s="399"/>
      <c r="R99" s="435"/>
      <c r="S99" s="399"/>
      <c r="T99" s="399"/>
      <c r="U99" s="399"/>
      <c r="V99" s="399"/>
      <c r="W99" s="399"/>
      <c r="X99" s="399"/>
      <c r="Y99" s="399"/>
      <c r="Z99" s="399"/>
      <c r="AA99" s="399"/>
      <c r="AB99" s="399"/>
      <c r="AC99" s="399"/>
      <c r="AD99" s="399"/>
      <c r="AE99" s="399"/>
      <c r="AF99" s="399"/>
      <c r="AG99" s="399"/>
      <c r="AH99" s="399"/>
      <c r="AI99" s="399"/>
      <c r="AJ99" s="399"/>
      <c r="AK99" s="399"/>
      <c r="AL99" s="399"/>
      <c r="AM99" s="399"/>
      <c r="AN99" s="399"/>
      <c r="AO99" s="399"/>
      <c r="AP99" s="399"/>
      <c r="AQ99" s="399"/>
      <c r="AR99" s="399"/>
      <c r="AS99" s="399"/>
      <c r="AT99" s="399"/>
      <c r="AU99" s="435"/>
      <c r="AZ99" s="399"/>
      <c r="BA99" s="399"/>
      <c r="BB99" s="399"/>
      <c r="BC99" s="399"/>
      <c r="BD99" s="399"/>
      <c r="BE99" s="399"/>
      <c r="BF99" s="399"/>
      <c r="BG99" s="399"/>
    </row>
    <row r="100" spans="1:59" ht="12.75">
      <c r="A100" s="399"/>
      <c r="B100" s="399"/>
      <c r="C100" s="399"/>
      <c r="D100" s="399"/>
      <c r="E100" s="399"/>
      <c r="F100" s="399"/>
      <c r="G100" s="399"/>
      <c r="H100" s="399"/>
      <c r="I100" s="399"/>
      <c r="J100" s="399"/>
      <c r="K100" s="399"/>
      <c r="L100" s="399"/>
      <c r="M100" s="399"/>
      <c r="N100" s="399"/>
      <c r="O100" s="399"/>
      <c r="P100" s="399"/>
      <c r="Q100" s="399"/>
      <c r="R100" s="435"/>
      <c r="S100" s="399"/>
      <c r="T100" s="399"/>
      <c r="U100" s="399"/>
      <c r="V100" s="399"/>
      <c r="W100" s="399"/>
      <c r="X100" s="399"/>
      <c r="Y100" s="399"/>
      <c r="Z100" s="399"/>
      <c r="AA100" s="399"/>
      <c r="AB100" s="399"/>
      <c r="AC100" s="399"/>
      <c r="AD100" s="399"/>
      <c r="AE100" s="399"/>
      <c r="AF100" s="399"/>
      <c r="AG100" s="399"/>
      <c r="AH100" s="399"/>
      <c r="AI100" s="399"/>
      <c r="AJ100" s="399"/>
      <c r="AK100" s="399"/>
      <c r="AL100" s="399"/>
      <c r="AM100" s="399"/>
      <c r="AN100" s="399"/>
      <c r="AO100" s="399"/>
      <c r="AP100" s="399"/>
      <c r="AQ100" s="399"/>
      <c r="AR100" s="399"/>
      <c r="AS100" s="399"/>
      <c r="AT100" s="399"/>
      <c r="AU100" s="435"/>
      <c r="AV100" s="400"/>
      <c r="AW100" s="401"/>
      <c r="AX100" s="399"/>
      <c r="AY100" s="399"/>
      <c r="AZ100" s="399"/>
      <c r="BA100" s="399"/>
      <c r="BB100" s="399"/>
      <c r="BC100" s="399"/>
      <c r="BD100" s="399"/>
      <c r="BE100" s="399"/>
      <c r="BF100" s="399"/>
      <c r="BG100" s="399"/>
    </row>
    <row r="101" spans="1:59" ht="12.75">
      <c r="A101" s="399"/>
      <c r="B101" s="399"/>
      <c r="C101" s="399"/>
      <c r="D101" s="399"/>
      <c r="E101" s="399"/>
      <c r="F101" s="399"/>
      <c r="G101" s="399"/>
      <c r="H101" s="399"/>
      <c r="I101" s="399"/>
      <c r="J101" s="399"/>
      <c r="K101" s="399"/>
      <c r="L101" s="399"/>
      <c r="M101" s="399"/>
      <c r="N101" s="399"/>
      <c r="O101" s="399"/>
      <c r="P101" s="399"/>
      <c r="Q101" s="399"/>
      <c r="R101" s="435"/>
      <c r="S101" s="399"/>
      <c r="T101" s="399"/>
      <c r="U101" s="399"/>
      <c r="V101" s="399"/>
      <c r="W101" s="399"/>
      <c r="X101" s="399"/>
      <c r="Y101" s="399"/>
      <c r="Z101" s="399"/>
      <c r="AA101" s="399"/>
      <c r="AB101" s="399"/>
      <c r="AC101" s="399"/>
      <c r="AD101" s="399"/>
      <c r="AE101" s="399"/>
      <c r="AF101" s="399"/>
      <c r="AG101" s="399"/>
      <c r="AH101" s="399"/>
      <c r="AI101" s="399"/>
      <c r="AJ101" s="399"/>
      <c r="AK101" s="399"/>
      <c r="AL101" s="399"/>
      <c r="AM101" s="399"/>
      <c r="AN101" s="399"/>
      <c r="AO101" s="399"/>
      <c r="AP101" s="399"/>
      <c r="AQ101" s="399"/>
      <c r="AR101" s="399"/>
      <c r="AS101" s="399"/>
      <c r="AT101" s="399"/>
      <c r="AU101" s="435"/>
      <c r="AY101" s="399"/>
      <c r="AZ101" s="399"/>
      <c r="BA101" s="399"/>
      <c r="BB101" s="399"/>
      <c r="BC101" s="399"/>
      <c r="BD101" s="399"/>
      <c r="BE101" s="399"/>
      <c r="BF101" s="399"/>
      <c r="BG101" s="399"/>
    </row>
    <row r="102" spans="1:59" ht="12.75">
      <c r="A102" s="399"/>
      <c r="B102" s="399"/>
      <c r="C102" s="399"/>
      <c r="D102" s="399"/>
      <c r="E102" s="399"/>
      <c r="F102" s="399"/>
      <c r="G102" s="399"/>
      <c r="H102" s="399"/>
      <c r="I102" s="399"/>
      <c r="J102" s="399"/>
      <c r="K102" s="399"/>
      <c r="L102" s="399"/>
      <c r="M102" s="399"/>
      <c r="N102" s="399"/>
      <c r="O102" s="399"/>
      <c r="P102" s="399"/>
      <c r="Q102" s="399"/>
      <c r="R102" s="435"/>
      <c r="S102" s="399"/>
      <c r="T102" s="399"/>
      <c r="U102" s="399"/>
      <c r="V102" s="399"/>
      <c r="W102" s="399"/>
      <c r="X102" s="399"/>
      <c r="Y102" s="399"/>
      <c r="Z102" s="399"/>
      <c r="AA102" s="399"/>
      <c r="AB102" s="399"/>
      <c r="AC102" s="399"/>
      <c r="AD102" s="399"/>
      <c r="AE102" s="399"/>
      <c r="AF102" s="399"/>
      <c r="AG102" s="399"/>
      <c r="AH102" s="399"/>
      <c r="AI102" s="399"/>
      <c r="AJ102" s="399"/>
      <c r="AK102" s="399"/>
      <c r="AL102" s="399"/>
      <c r="AM102" s="399"/>
      <c r="AN102" s="399"/>
      <c r="AO102" s="399"/>
      <c r="AP102" s="399"/>
      <c r="AQ102" s="399"/>
      <c r="AR102" s="399"/>
      <c r="AS102" s="399"/>
      <c r="AT102" s="399"/>
      <c r="AU102" s="435"/>
      <c r="AY102" s="399"/>
      <c r="AZ102" s="399"/>
      <c r="BA102" s="399"/>
      <c r="BB102" s="399"/>
      <c r="BC102" s="399"/>
      <c r="BD102" s="399"/>
      <c r="BE102" s="399"/>
      <c r="BF102" s="399"/>
      <c r="BG102" s="399"/>
    </row>
    <row r="103" spans="1:59" ht="12.75">
      <c r="A103" s="399"/>
      <c r="B103" s="399"/>
      <c r="C103" s="399"/>
      <c r="D103" s="399"/>
      <c r="E103" s="399"/>
      <c r="F103" s="399"/>
      <c r="G103" s="399"/>
      <c r="H103" s="399"/>
      <c r="I103" s="399"/>
      <c r="J103" s="399"/>
      <c r="K103" s="399"/>
      <c r="L103" s="399"/>
      <c r="M103" s="399"/>
      <c r="N103" s="399"/>
      <c r="O103" s="399"/>
      <c r="P103" s="399"/>
      <c r="Q103" s="399"/>
      <c r="R103" s="435"/>
      <c r="S103" s="399"/>
      <c r="T103" s="399"/>
      <c r="U103" s="399"/>
      <c r="V103" s="399"/>
      <c r="W103" s="399"/>
      <c r="X103" s="399"/>
      <c r="Y103" s="399"/>
      <c r="Z103" s="399"/>
      <c r="AA103" s="399"/>
      <c r="AB103" s="399"/>
      <c r="AC103" s="399"/>
      <c r="AD103" s="399"/>
      <c r="AE103" s="399"/>
      <c r="AF103" s="399"/>
      <c r="AG103" s="399"/>
      <c r="AH103" s="399"/>
      <c r="AI103" s="399"/>
      <c r="AJ103" s="399"/>
      <c r="AK103" s="399"/>
      <c r="AL103" s="399"/>
      <c r="AM103" s="399"/>
      <c r="AN103" s="399"/>
      <c r="AO103" s="399"/>
      <c r="AP103" s="399"/>
      <c r="AQ103" s="399"/>
      <c r="AR103" s="399"/>
      <c r="AS103" s="399"/>
      <c r="AT103" s="399"/>
      <c r="AU103" s="435"/>
      <c r="AY103" s="399"/>
      <c r="AZ103" s="399"/>
      <c r="BA103" s="399"/>
      <c r="BB103" s="399"/>
      <c r="BC103" s="399"/>
      <c r="BD103" s="399"/>
      <c r="BE103" s="399"/>
      <c r="BF103" s="399"/>
      <c r="BG103" s="399"/>
    </row>
    <row r="104" spans="1:59" ht="12.75">
      <c r="A104" s="399"/>
      <c r="B104" s="399"/>
      <c r="C104" s="399"/>
      <c r="D104" s="399"/>
      <c r="E104" s="399"/>
      <c r="F104" s="399"/>
      <c r="G104" s="399"/>
      <c r="H104" s="399"/>
      <c r="I104" s="399"/>
      <c r="J104" s="399"/>
      <c r="K104" s="399"/>
      <c r="L104" s="399"/>
      <c r="M104" s="399"/>
      <c r="N104" s="399"/>
      <c r="O104" s="399"/>
      <c r="P104" s="399"/>
      <c r="Q104" s="399"/>
      <c r="R104" s="435"/>
      <c r="S104" s="399"/>
      <c r="T104" s="399"/>
      <c r="U104" s="399"/>
      <c r="V104" s="399"/>
      <c r="W104" s="399"/>
      <c r="X104" s="399"/>
      <c r="Y104" s="399"/>
      <c r="Z104" s="399"/>
      <c r="AA104" s="399"/>
      <c r="AB104" s="399"/>
      <c r="AC104" s="399"/>
      <c r="AD104" s="399"/>
      <c r="AE104" s="399"/>
      <c r="AF104" s="399"/>
      <c r="AG104" s="399"/>
      <c r="AH104" s="399"/>
      <c r="AI104" s="399"/>
      <c r="AJ104" s="399"/>
      <c r="AK104" s="399"/>
      <c r="AL104" s="399"/>
      <c r="AM104" s="399"/>
      <c r="AN104" s="399"/>
      <c r="AO104" s="399"/>
      <c r="AP104" s="399"/>
      <c r="AQ104" s="399"/>
      <c r="AR104" s="399"/>
      <c r="AS104" s="399"/>
      <c r="AT104" s="399"/>
      <c r="AU104" s="435"/>
      <c r="AY104" s="399"/>
      <c r="AZ104" s="399"/>
      <c r="BA104" s="399"/>
      <c r="BB104" s="399"/>
      <c r="BC104" s="399"/>
      <c r="BD104" s="399"/>
      <c r="BE104" s="399"/>
      <c r="BF104" s="399"/>
      <c r="BG104" s="399"/>
    </row>
    <row r="105" spans="1:59" ht="12.75">
      <c r="A105" s="399"/>
      <c r="B105" s="399"/>
      <c r="C105" s="399"/>
      <c r="D105" s="399"/>
      <c r="E105" s="399"/>
      <c r="F105" s="399"/>
      <c r="G105" s="399"/>
      <c r="H105" s="399"/>
      <c r="I105" s="399"/>
      <c r="J105" s="399"/>
      <c r="K105" s="399"/>
      <c r="L105" s="399"/>
      <c r="M105" s="399"/>
      <c r="N105" s="399"/>
      <c r="O105" s="399"/>
      <c r="P105" s="399"/>
      <c r="Q105" s="399"/>
      <c r="R105" s="435"/>
      <c r="S105" s="399"/>
      <c r="T105" s="399"/>
      <c r="U105" s="399"/>
      <c r="V105" s="399"/>
      <c r="W105" s="399"/>
      <c r="X105" s="399"/>
      <c r="Y105" s="399"/>
      <c r="Z105" s="399"/>
      <c r="AA105" s="399"/>
      <c r="AB105" s="399"/>
      <c r="AC105" s="399"/>
      <c r="AD105" s="399"/>
      <c r="AE105" s="399"/>
      <c r="AF105" s="399"/>
      <c r="AG105" s="399"/>
      <c r="AH105" s="399"/>
      <c r="AI105" s="399"/>
      <c r="AJ105" s="399"/>
      <c r="AK105" s="399"/>
      <c r="AL105" s="399"/>
      <c r="AM105" s="399"/>
      <c r="AN105" s="399"/>
      <c r="AO105" s="399"/>
      <c r="AP105" s="399"/>
      <c r="AQ105" s="399"/>
      <c r="AR105" s="399"/>
      <c r="AS105" s="399"/>
      <c r="AT105" s="399"/>
      <c r="AU105" s="435"/>
      <c r="AY105" s="399"/>
      <c r="AZ105" s="399"/>
      <c r="BA105" s="399"/>
      <c r="BB105" s="399"/>
      <c r="BC105" s="399"/>
      <c r="BD105" s="399"/>
      <c r="BE105" s="399"/>
      <c r="BF105" s="399"/>
      <c r="BG105" s="399"/>
    </row>
    <row r="106" spans="1:59" ht="12.75">
      <c r="A106" s="399"/>
      <c r="B106" s="399"/>
      <c r="C106" s="399"/>
      <c r="D106" s="399"/>
      <c r="E106" s="399"/>
      <c r="F106" s="399"/>
      <c r="G106" s="399"/>
      <c r="H106" s="399"/>
      <c r="I106" s="399"/>
      <c r="J106" s="399"/>
      <c r="K106" s="399"/>
      <c r="L106" s="399"/>
      <c r="M106" s="399"/>
      <c r="N106" s="399"/>
      <c r="O106" s="399"/>
      <c r="P106" s="399"/>
      <c r="Q106" s="399"/>
      <c r="R106" s="435"/>
      <c r="S106" s="399"/>
      <c r="T106" s="399"/>
      <c r="U106" s="399"/>
      <c r="V106" s="399"/>
      <c r="W106" s="399"/>
      <c r="X106" s="399"/>
      <c r="Y106" s="399"/>
      <c r="Z106" s="399"/>
      <c r="AA106" s="399"/>
      <c r="AB106" s="399"/>
      <c r="AC106" s="399"/>
      <c r="AD106" s="399"/>
      <c r="AE106" s="399"/>
      <c r="AF106" s="399"/>
      <c r="AG106" s="399"/>
      <c r="AH106" s="399"/>
      <c r="AI106" s="399"/>
      <c r="AJ106" s="399"/>
      <c r="AK106" s="399"/>
      <c r="AL106" s="399"/>
      <c r="AM106" s="399"/>
      <c r="AN106" s="399"/>
      <c r="AO106" s="399"/>
      <c r="AP106" s="399"/>
      <c r="AQ106" s="399"/>
      <c r="AR106" s="399"/>
      <c r="AS106" s="399"/>
      <c r="AT106" s="399"/>
      <c r="AU106" s="435"/>
      <c r="AV106" s="400"/>
      <c r="AW106" s="401"/>
      <c r="AX106" s="399"/>
      <c r="AY106" s="399"/>
      <c r="AZ106" s="399"/>
      <c r="BA106" s="399"/>
      <c r="BB106" s="399"/>
      <c r="BC106" s="399"/>
      <c r="BD106" s="399"/>
      <c r="BE106" s="399"/>
      <c r="BF106" s="399"/>
      <c r="BG106" s="399"/>
    </row>
    <row r="107" spans="1:59" ht="12.75">
      <c r="AW107" s="399"/>
      <c r="AX107" s="399"/>
      <c r="AY107" s="399"/>
      <c r="AZ107" s="399"/>
      <c r="BA107" s="399"/>
      <c r="BB107" s="399"/>
      <c r="BC107" s="399"/>
      <c r="BD107" s="399"/>
      <c r="BE107" s="399"/>
      <c r="BF107" s="399"/>
      <c r="BG107" s="399"/>
    </row>
    <row r="108" spans="1:59" ht="12.75">
      <c r="AW108" s="399"/>
      <c r="AX108" s="399"/>
      <c r="AY108" s="399"/>
      <c r="AZ108" s="399"/>
      <c r="BA108" s="399"/>
      <c r="BB108" s="399"/>
      <c r="BC108" s="399"/>
      <c r="BD108" s="399"/>
      <c r="BE108" s="399"/>
      <c r="BF108" s="399"/>
      <c r="BG108" s="399"/>
    </row>
    <row r="109" spans="1:59" ht="12.75">
      <c r="AW109" s="399"/>
      <c r="AX109" s="399"/>
      <c r="AY109" s="399"/>
      <c r="AZ109" s="399"/>
      <c r="BA109" s="399"/>
      <c r="BB109" s="399"/>
      <c r="BC109" s="399"/>
      <c r="BD109" s="399"/>
      <c r="BE109" s="399"/>
      <c r="BF109" s="399"/>
      <c r="BG109" s="399"/>
    </row>
    <row r="110" spans="1:59" ht="12.75">
      <c r="A110" s="399"/>
      <c r="B110" s="399"/>
      <c r="C110" s="399"/>
      <c r="D110" s="399"/>
      <c r="E110" s="399"/>
      <c r="F110" s="399"/>
      <c r="G110" s="399"/>
      <c r="H110" s="399"/>
      <c r="I110" s="399"/>
      <c r="J110" s="399"/>
      <c r="K110" s="399"/>
      <c r="L110" s="399"/>
      <c r="M110" s="399"/>
      <c r="N110" s="399"/>
      <c r="O110" s="399"/>
      <c r="P110" s="399"/>
      <c r="Q110" s="399"/>
      <c r="R110" s="435"/>
      <c r="S110" s="399"/>
      <c r="T110" s="399"/>
      <c r="U110" s="399"/>
      <c r="V110" s="399"/>
      <c r="W110" s="399"/>
      <c r="X110" s="399"/>
      <c r="Y110" s="399"/>
      <c r="Z110" s="399"/>
      <c r="AA110" s="399"/>
      <c r="AB110" s="399"/>
      <c r="AC110" s="399"/>
      <c r="AD110" s="399"/>
      <c r="AE110" s="399"/>
      <c r="AF110" s="399"/>
      <c r="AG110" s="399"/>
      <c r="AH110" s="399"/>
      <c r="AI110" s="399"/>
      <c r="AJ110" s="399"/>
      <c r="AK110" s="399"/>
      <c r="AL110" s="399"/>
      <c r="AM110" s="399"/>
      <c r="AN110" s="399"/>
      <c r="AO110" s="399"/>
      <c r="AP110" s="399"/>
      <c r="AQ110" s="399"/>
      <c r="AR110" s="399"/>
      <c r="AS110" s="399"/>
      <c r="AT110" s="399"/>
      <c r="AU110" s="435"/>
      <c r="BC110" s="399"/>
      <c r="BD110" s="399"/>
      <c r="BE110" s="399"/>
      <c r="BF110" s="399"/>
      <c r="BG110" s="399"/>
    </row>
    <row r="111" spans="1:59" ht="12.75">
      <c r="A111" s="399"/>
      <c r="B111" s="399"/>
      <c r="C111" s="399"/>
      <c r="D111" s="399"/>
      <c r="E111" s="399"/>
      <c r="F111" s="399"/>
      <c r="G111" s="399"/>
      <c r="H111" s="399"/>
      <c r="I111" s="399"/>
      <c r="J111" s="399"/>
      <c r="K111" s="399"/>
      <c r="L111" s="399"/>
      <c r="M111" s="399"/>
      <c r="N111" s="399"/>
      <c r="O111" s="399"/>
      <c r="P111" s="399"/>
      <c r="Q111" s="399"/>
      <c r="R111" s="435"/>
      <c r="S111" s="399"/>
      <c r="T111" s="399"/>
      <c r="U111" s="399"/>
      <c r="V111" s="399"/>
      <c r="W111" s="399"/>
      <c r="X111" s="399"/>
      <c r="Y111" s="399"/>
      <c r="Z111" s="399"/>
      <c r="AA111" s="399"/>
      <c r="AB111" s="399"/>
      <c r="AC111" s="399"/>
      <c r="AD111" s="399"/>
      <c r="AE111" s="399"/>
      <c r="AF111" s="399"/>
      <c r="AG111" s="399"/>
      <c r="AH111" s="399"/>
      <c r="AI111" s="399"/>
      <c r="AJ111" s="399"/>
      <c r="AK111" s="399"/>
      <c r="AL111" s="399"/>
      <c r="AM111" s="399"/>
      <c r="AN111" s="399"/>
      <c r="AO111" s="399"/>
      <c r="AP111" s="399"/>
      <c r="AQ111" s="399"/>
      <c r="AR111" s="399"/>
      <c r="AS111" s="399"/>
      <c r="AT111" s="399"/>
      <c r="AU111" s="435"/>
      <c r="BC111" s="399"/>
      <c r="BD111" s="399"/>
      <c r="BE111" s="399"/>
      <c r="BF111" s="399"/>
      <c r="BG111" s="399"/>
    </row>
    <row r="112" spans="1:59" ht="12.75">
      <c r="A112" s="399"/>
      <c r="B112" s="399"/>
      <c r="C112" s="399"/>
      <c r="D112" s="399"/>
      <c r="E112" s="399"/>
      <c r="F112" s="399"/>
      <c r="G112" s="399"/>
      <c r="H112" s="399"/>
      <c r="I112" s="399"/>
      <c r="J112" s="399"/>
      <c r="K112" s="399"/>
      <c r="L112" s="399"/>
      <c r="M112" s="399"/>
      <c r="N112" s="399"/>
      <c r="O112" s="399"/>
      <c r="P112" s="399"/>
      <c r="Q112" s="399"/>
      <c r="R112" s="435"/>
      <c r="S112" s="399"/>
      <c r="T112" s="399"/>
      <c r="U112" s="399"/>
      <c r="V112" s="399"/>
      <c r="W112" s="399"/>
      <c r="X112" s="399"/>
      <c r="Y112" s="399"/>
      <c r="Z112" s="399"/>
      <c r="AA112" s="399"/>
      <c r="AB112" s="399"/>
      <c r="AC112" s="399"/>
      <c r="AD112" s="399"/>
      <c r="AE112" s="399"/>
      <c r="AF112" s="399"/>
      <c r="AG112" s="399"/>
      <c r="AH112" s="399"/>
      <c r="AI112" s="399"/>
      <c r="AJ112" s="399"/>
      <c r="AK112" s="399"/>
      <c r="AL112" s="399"/>
      <c r="AM112" s="399"/>
      <c r="AN112" s="399"/>
      <c r="AO112" s="399"/>
      <c r="AP112" s="399"/>
      <c r="AQ112" s="399"/>
      <c r="AR112" s="399"/>
      <c r="AS112" s="399"/>
      <c r="AT112" s="399"/>
      <c r="AU112" s="435"/>
      <c r="BC112" s="399"/>
      <c r="BD112" s="399"/>
      <c r="BE112" s="399"/>
      <c r="BF112" s="399"/>
      <c r="BG112" s="399"/>
    </row>
    <row r="113" spans="1:59" ht="12.75">
      <c r="A113" s="399"/>
      <c r="B113" s="399"/>
      <c r="C113" s="399"/>
      <c r="D113" s="399"/>
      <c r="E113" s="399"/>
      <c r="F113" s="399"/>
      <c r="G113" s="399"/>
      <c r="H113" s="399"/>
      <c r="I113" s="399"/>
      <c r="J113" s="399"/>
      <c r="K113" s="399"/>
      <c r="L113" s="399"/>
      <c r="M113" s="399"/>
      <c r="N113" s="399"/>
      <c r="O113" s="399"/>
      <c r="P113" s="399"/>
      <c r="Q113" s="399"/>
      <c r="R113" s="435"/>
      <c r="S113" s="399"/>
      <c r="T113" s="399"/>
      <c r="U113" s="399"/>
      <c r="V113" s="399"/>
      <c r="W113" s="399"/>
      <c r="X113" s="399"/>
      <c r="Y113" s="399"/>
      <c r="Z113" s="399"/>
      <c r="AA113" s="399"/>
      <c r="AB113" s="399"/>
      <c r="AC113" s="399"/>
      <c r="AD113" s="399"/>
      <c r="AE113" s="399"/>
      <c r="AF113" s="399"/>
      <c r="AG113" s="399"/>
      <c r="AH113" s="399"/>
      <c r="AI113" s="399"/>
      <c r="AJ113" s="399"/>
      <c r="AK113" s="399"/>
      <c r="AL113" s="399"/>
      <c r="AM113" s="399"/>
      <c r="AN113" s="399"/>
      <c r="AO113" s="399"/>
      <c r="AP113" s="399"/>
      <c r="AQ113" s="399"/>
      <c r="AR113" s="399"/>
      <c r="AS113" s="399"/>
      <c r="AT113" s="399"/>
      <c r="AU113" s="435"/>
      <c r="BC113" s="399"/>
      <c r="BD113" s="399"/>
      <c r="BE113" s="399"/>
      <c r="BF113" s="399"/>
      <c r="BG113" s="399"/>
    </row>
    <row r="114" spans="1:59" ht="12.75">
      <c r="A114" s="399"/>
      <c r="B114" s="399"/>
      <c r="C114" s="399"/>
      <c r="D114" s="399"/>
      <c r="E114" s="399"/>
      <c r="F114" s="399"/>
      <c r="G114" s="399"/>
      <c r="H114" s="399"/>
      <c r="I114" s="399"/>
      <c r="J114" s="399"/>
      <c r="K114" s="399"/>
      <c r="L114" s="399"/>
      <c r="M114" s="399"/>
      <c r="N114" s="399"/>
      <c r="O114" s="399"/>
      <c r="P114" s="399"/>
      <c r="Q114" s="399"/>
      <c r="R114" s="435"/>
      <c r="S114" s="399"/>
      <c r="T114" s="399"/>
      <c r="U114" s="399"/>
      <c r="V114" s="399"/>
      <c r="W114" s="399"/>
      <c r="X114" s="399"/>
      <c r="Y114" s="399"/>
      <c r="Z114" s="399"/>
      <c r="AA114" s="399"/>
      <c r="AB114" s="399"/>
      <c r="AC114" s="399"/>
      <c r="AD114" s="399"/>
      <c r="AE114" s="399"/>
      <c r="AF114" s="399"/>
      <c r="AG114" s="399"/>
      <c r="AH114" s="399"/>
      <c r="AI114" s="399"/>
      <c r="AJ114" s="399"/>
      <c r="AK114" s="399"/>
      <c r="AL114" s="399"/>
      <c r="AM114" s="399"/>
      <c r="AN114" s="399"/>
      <c r="AO114" s="399"/>
      <c r="AP114" s="399"/>
      <c r="AQ114" s="399"/>
      <c r="AR114" s="399"/>
      <c r="AS114" s="399"/>
      <c r="AT114" s="399"/>
      <c r="AU114" s="435"/>
      <c r="AV114" s="400"/>
      <c r="AW114" s="399"/>
      <c r="AX114" s="399"/>
      <c r="AY114" s="399"/>
      <c r="AZ114" s="399"/>
      <c r="BA114" s="399"/>
      <c r="BB114" s="399"/>
      <c r="BC114" s="399"/>
      <c r="BD114" s="399"/>
      <c r="BE114" s="399"/>
      <c r="BF114" s="399"/>
      <c r="BG114" s="399"/>
    </row>
    <row r="115" spans="1:59" ht="12.75">
      <c r="A115" s="399"/>
      <c r="B115" s="399"/>
      <c r="C115" s="399"/>
      <c r="D115" s="399"/>
      <c r="E115" s="399"/>
      <c r="F115" s="399"/>
      <c r="G115" s="399"/>
      <c r="H115" s="399"/>
      <c r="I115" s="399"/>
      <c r="J115" s="399"/>
      <c r="K115" s="399"/>
      <c r="L115" s="399"/>
      <c r="M115" s="399"/>
      <c r="N115" s="399"/>
      <c r="O115" s="399"/>
      <c r="P115" s="399"/>
      <c r="Q115" s="399"/>
      <c r="R115" s="435"/>
      <c r="S115" s="399"/>
      <c r="T115" s="399"/>
      <c r="U115" s="399"/>
      <c r="V115" s="399"/>
      <c r="W115" s="399"/>
      <c r="X115" s="399"/>
      <c r="Y115" s="399"/>
      <c r="Z115" s="399"/>
      <c r="AA115" s="399"/>
      <c r="AB115" s="399"/>
      <c r="AC115" s="399"/>
      <c r="AD115" s="399"/>
      <c r="AE115" s="399"/>
      <c r="AF115" s="399"/>
      <c r="AG115" s="399"/>
      <c r="AH115" s="399"/>
      <c r="AI115" s="399"/>
      <c r="AJ115" s="399"/>
      <c r="AK115" s="399"/>
      <c r="AL115" s="399"/>
      <c r="AM115" s="399"/>
      <c r="AN115" s="399"/>
      <c r="AO115" s="399"/>
      <c r="AP115" s="399"/>
      <c r="AQ115" s="399"/>
      <c r="AR115" s="399"/>
      <c r="AS115" s="399"/>
      <c r="AT115" s="399"/>
      <c r="AU115" s="435"/>
      <c r="BF115" s="399"/>
      <c r="BG115" s="399"/>
    </row>
    <row r="116" spans="1:59" ht="12.75">
      <c r="A116" s="399"/>
      <c r="B116" s="399"/>
      <c r="C116" s="399"/>
      <c r="D116" s="399"/>
      <c r="E116" s="399"/>
      <c r="F116" s="399"/>
      <c r="G116" s="399"/>
      <c r="H116" s="399"/>
      <c r="I116" s="399"/>
      <c r="J116" s="399"/>
      <c r="K116" s="399"/>
      <c r="L116" s="399"/>
      <c r="M116" s="399"/>
      <c r="N116" s="399"/>
      <c r="O116" s="399"/>
      <c r="P116" s="399"/>
      <c r="Q116" s="399"/>
      <c r="R116" s="435"/>
      <c r="S116" s="399"/>
      <c r="T116" s="399"/>
      <c r="U116" s="399"/>
      <c r="V116" s="399"/>
      <c r="W116" s="399"/>
      <c r="X116" s="399"/>
      <c r="Y116" s="399"/>
      <c r="Z116" s="399"/>
      <c r="AA116" s="399"/>
      <c r="AB116" s="399"/>
      <c r="AC116" s="399"/>
      <c r="AD116" s="399"/>
      <c r="AE116" s="399"/>
      <c r="AF116" s="399"/>
      <c r="AG116" s="399"/>
      <c r="AH116" s="399"/>
      <c r="AI116" s="399"/>
      <c r="AJ116" s="399"/>
      <c r="AK116" s="399"/>
      <c r="AL116" s="399"/>
      <c r="AM116" s="399"/>
      <c r="AN116" s="399"/>
      <c r="AO116" s="399"/>
      <c r="AP116" s="399"/>
      <c r="AQ116" s="399"/>
      <c r="AR116" s="399"/>
      <c r="AS116" s="399"/>
      <c r="AT116" s="399"/>
      <c r="AU116" s="435"/>
      <c r="BF116" s="399"/>
      <c r="BG116" s="399"/>
    </row>
    <row r="117" spans="1:59" ht="12.75">
      <c r="A117" s="399"/>
      <c r="B117" s="399"/>
      <c r="C117" s="399"/>
      <c r="D117" s="399"/>
      <c r="E117" s="399"/>
      <c r="F117" s="399"/>
      <c r="G117" s="399"/>
      <c r="H117" s="399"/>
      <c r="I117" s="399"/>
      <c r="J117" s="399"/>
      <c r="K117" s="399"/>
      <c r="L117" s="399"/>
      <c r="M117" s="399"/>
      <c r="N117" s="399"/>
      <c r="O117" s="399"/>
      <c r="P117" s="399"/>
      <c r="Q117" s="399"/>
      <c r="R117" s="435"/>
      <c r="S117" s="399"/>
      <c r="T117" s="399"/>
      <c r="U117" s="399"/>
      <c r="V117" s="399"/>
      <c r="W117" s="399"/>
      <c r="X117" s="399"/>
      <c r="Y117" s="399"/>
      <c r="Z117" s="399"/>
      <c r="AA117" s="399"/>
      <c r="AB117" s="399"/>
      <c r="AC117" s="399"/>
      <c r="AD117" s="399"/>
      <c r="AE117" s="399"/>
      <c r="AF117" s="399"/>
      <c r="AG117" s="399"/>
      <c r="AH117" s="399"/>
      <c r="AI117" s="399"/>
      <c r="AJ117" s="399"/>
      <c r="AK117" s="399"/>
      <c r="AL117" s="399"/>
      <c r="AM117" s="399"/>
      <c r="AN117" s="399"/>
      <c r="AO117" s="399"/>
      <c r="AP117" s="399"/>
      <c r="AQ117" s="399"/>
      <c r="AR117" s="399"/>
      <c r="AS117" s="399"/>
      <c r="AT117" s="399"/>
      <c r="AU117" s="435"/>
      <c r="BF117" s="399"/>
      <c r="BG117" s="399"/>
    </row>
    <row r="118" spans="1:59" ht="12.75">
      <c r="A118" s="399"/>
      <c r="B118" s="399"/>
      <c r="C118" s="399"/>
      <c r="D118" s="399"/>
      <c r="E118" s="399"/>
      <c r="F118" s="399"/>
      <c r="G118" s="399"/>
      <c r="H118" s="399"/>
      <c r="I118" s="399"/>
      <c r="J118" s="399"/>
      <c r="K118" s="399"/>
      <c r="L118" s="399"/>
      <c r="M118" s="399"/>
      <c r="N118" s="399"/>
      <c r="O118" s="399"/>
      <c r="P118" s="399"/>
      <c r="Q118" s="399"/>
      <c r="R118" s="435"/>
      <c r="S118" s="399"/>
      <c r="T118" s="399"/>
      <c r="U118" s="399"/>
      <c r="V118" s="399"/>
      <c r="W118" s="399"/>
      <c r="X118" s="399"/>
      <c r="Y118" s="399"/>
      <c r="Z118" s="399"/>
      <c r="AA118" s="399"/>
      <c r="AB118" s="399"/>
      <c r="AC118" s="399"/>
      <c r="AD118" s="399"/>
      <c r="AE118" s="399"/>
      <c r="AF118" s="399"/>
      <c r="AG118" s="399"/>
      <c r="AH118" s="399"/>
      <c r="AI118" s="399"/>
      <c r="AJ118" s="399"/>
      <c r="AK118" s="399"/>
      <c r="AL118" s="399"/>
      <c r="AM118" s="399"/>
      <c r="AN118" s="399"/>
      <c r="AO118" s="399"/>
      <c r="AP118" s="399"/>
      <c r="AQ118" s="399"/>
      <c r="AR118" s="399"/>
      <c r="AS118" s="399"/>
      <c r="AT118" s="399"/>
      <c r="AU118" s="435"/>
      <c r="BF118" s="399"/>
      <c r="BG118" s="399"/>
    </row>
    <row r="119" spans="1:59" ht="12.75">
      <c r="A119" s="399"/>
      <c r="B119" s="399"/>
      <c r="C119" s="399"/>
      <c r="D119" s="399"/>
      <c r="E119" s="399"/>
      <c r="F119" s="399"/>
      <c r="G119" s="399"/>
      <c r="H119" s="399"/>
      <c r="I119" s="399"/>
      <c r="J119" s="399"/>
      <c r="K119" s="399"/>
      <c r="L119" s="399"/>
      <c r="M119" s="399"/>
      <c r="N119" s="399"/>
      <c r="O119" s="399"/>
      <c r="P119" s="399"/>
      <c r="Q119" s="399"/>
      <c r="R119" s="435"/>
      <c r="S119" s="399"/>
      <c r="T119" s="399"/>
      <c r="U119" s="399"/>
      <c r="V119" s="399"/>
      <c r="W119" s="399"/>
      <c r="X119" s="399"/>
      <c r="Y119" s="399"/>
      <c r="Z119" s="399"/>
      <c r="AA119" s="399"/>
      <c r="AB119" s="399"/>
      <c r="AC119" s="399"/>
      <c r="AD119" s="399"/>
      <c r="AE119" s="399"/>
      <c r="AF119" s="399"/>
      <c r="AG119" s="399"/>
      <c r="AH119" s="399"/>
      <c r="AI119" s="399"/>
      <c r="AJ119" s="399"/>
      <c r="AK119" s="399"/>
      <c r="AL119" s="399"/>
      <c r="AM119" s="399"/>
      <c r="AN119" s="399"/>
      <c r="AO119" s="399"/>
      <c r="AP119" s="399"/>
      <c r="AQ119" s="399"/>
      <c r="AR119" s="399"/>
      <c r="AS119" s="399"/>
      <c r="AT119" s="399"/>
      <c r="AU119" s="435"/>
      <c r="BF119" s="399"/>
      <c r="BG119" s="399"/>
    </row>
    <row r="120" spans="1:59" ht="12.75">
      <c r="A120" s="399"/>
      <c r="B120" s="399"/>
      <c r="C120" s="399"/>
      <c r="D120" s="399"/>
      <c r="E120" s="399"/>
      <c r="F120" s="399"/>
      <c r="G120" s="399"/>
      <c r="H120" s="399"/>
      <c r="I120" s="399"/>
      <c r="J120" s="399"/>
      <c r="K120" s="399"/>
      <c r="L120" s="399"/>
      <c r="M120" s="399"/>
      <c r="N120" s="399"/>
      <c r="O120" s="399"/>
      <c r="P120" s="399"/>
      <c r="Q120" s="399"/>
      <c r="R120" s="435"/>
      <c r="S120" s="399"/>
      <c r="T120" s="399"/>
      <c r="U120" s="399"/>
      <c r="V120" s="399"/>
      <c r="W120" s="399"/>
      <c r="X120" s="399"/>
      <c r="Y120" s="399"/>
      <c r="Z120" s="399"/>
      <c r="AA120" s="399"/>
      <c r="AB120" s="399"/>
      <c r="AC120" s="399"/>
      <c r="AD120" s="399"/>
      <c r="AE120" s="399"/>
      <c r="AF120" s="399"/>
      <c r="AG120" s="399"/>
      <c r="AH120" s="399"/>
      <c r="AI120" s="399"/>
      <c r="AJ120" s="399"/>
      <c r="AK120" s="399"/>
      <c r="AL120" s="399"/>
      <c r="AM120" s="399"/>
      <c r="AN120" s="399"/>
      <c r="AO120" s="399"/>
      <c r="AP120" s="399"/>
      <c r="AQ120" s="399"/>
      <c r="AR120" s="399"/>
      <c r="AS120" s="399"/>
      <c r="AT120" s="399"/>
      <c r="AU120" s="435"/>
      <c r="BF120" s="399"/>
      <c r="BG120" s="399"/>
    </row>
    <row r="121" spans="1:59" ht="12.75">
      <c r="A121" s="399"/>
      <c r="B121" s="399"/>
      <c r="C121" s="399"/>
      <c r="D121" s="399"/>
      <c r="E121" s="399"/>
      <c r="F121" s="399"/>
      <c r="G121" s="399"/>
      <c r="H121" s="399"/>
      <c r="I121" s="399"/>
      <c r="J121" s="399"/>
      <c r="K121" s="399"/>
      <c r="L121" s="399"/>
      <c r="M121" s="399"/>
      <c r="N121" s="399"/>
      <c r="O121" s="399"/>
      <c r="P121" s="399"/>
      <c r="Q121" s="399"/>
      <c r="R121" s="435"/>
      <c r="S121" s="399"/>
      <c r="T121" s="399"/>
      <c r="U121" s="399"/>
      <c r="V121" s="399"/>
      <c r="W121" s="399"/>
      <c r="X121" s="399"/>
      <c r="Y121" s="399"/>
      <c r="Z121" s="399"/>
      <c r="AA121" s="399"/>
      <c r="AB121" s="399"/>
      <c r="AC121" s="399"/>
      <c r="AD121" s="399"/>
      <c r="AE121" s="399"/>
      <c r="AF121" s="399"/>
      <c r="AG121" s="399"/>
      <c r="AH121" s="399"/>
      <c r="AI121" s="399"/>
      <c r="AJ121" s="399"/>
      <c r="AK121" s="399"/>
      <c r="AL121" s="399"/>
      <c r="AM121" s="399"/>
      <c r="AN121" s="399"/>
      <c r="AO121" s="399"/>
      <c r="AP121" s="399"/>
      <c r="AQ121" s="399"/>
      <c r="AR121" s="399"/>
      <c r="AS121" s="399"/>
      <c r="AT121" s="399"/>
      <c r="AU121" s="435"/>
      <c r="BF121" s="399"/>
      <c r="BG121" s="399"/>
    </row>
    <row r="122" spans="1:59" ht="12.75">
      <c r="A122" s="399"/>
      <c r="B122" s="399"/>
      <c r="C122" s="399"/>
      <c r="D122" s="399"/>
      <c r="E122" s="399"/>
      <c r="F122" s="399"/>
      <c r="G122" s="399"/>
      <c r="H122" s="399"/>
      <c r="I122" s="399"/>
      <c r="J122" s="399"/>
      <c r="K122" s="399"/>
      <c r="L122" s="399"/>
      <c r="M122" s="399"/>
      <c r="N122" s="399"/>
      <c r="O122" s="399"/>
      <c r="P122" s="399"/>
      <c r="Q122" s="399"/>
      <c r="R122" s="435"/>
      <c r="S122" s="399"/>
      <c r="T122" s="399"/>
      <c r="U122" s="399"/>
      <c r="V122" s="399"/>
      <c r="W122" s="399"/>
      <c r="X122" s="399"/>
      <c r="Y122" s="399"/>
      <c r="Z122" s="399"/>
      <c r="AA122" s="399"/>
      <c r="AB122" s="399"/>
      <c r="AC122" s="399"/>
      <c r="AD122" s="399"/>
      <c r="AE122" s="399"/>
      <c r="AF122" s="399"/>
      <c r="AG122" s="399"/>
      <c r="AH122" s="399"/>
      <c r="AI122" s="399"/>
      <c r="AJ122" s="399"/>
      <c r="AK122" s="399"/>
      <c r="AL122" s="399"/>
      <c r="AM122" s="399"/>
      <c r="AN122" s="399"/>
      <c r="AO122" s="399"/>
      <c r="AP122" s="399"/>
      <c r="AQ122" s="399"/>
      <c r="AR122" s="399"/>
      <c r="AS122" s="399"/>
      <c r="AT122" s="399"/>
      <c r="AU122" s="435"/>
      <c r="BF122" s="399"/>
      <c r="BG122" s="399"/>
    </row>
    <row r="123" spans="1:59" ht="12.75">
      <c r="A123" s="399"/>
      <c r="B123" s="399"/>
      <c r="C123" s="399"/>
      <c r="D123" s="399"/>
      <c r="E123" s="399"/>
      <c r="F123" s="399"/>
      <c r="G123" s="399"/>
      <c r="H123" s="399"/>
      <c r="I123" s="399"/>
      <c r="J123" s="399"/>
      <c r="K123" s="399"/>
      <c r="L123" s="399"/>
      <c r="M123" s="399"/>
      <c r="N123" s="399"/>
      <c r="O123" s="399"/>
      <c r="P123" s="399"/>
      <c r="Q123" s="399"/>
      <c r="R123" s="435"/>
      <c r="S123" s="399"/>
      <c r="T123" s="399"/>
      <c r="U123" s="399"/>
      <c r="V123" s="399"/>
      <c r="W123" s="399"/>
      <c r="X123" s="399"/>
      <c r="Y123" s="399"/>
      <c r="Z123" s="399"/>
      <c r="AA123" s="399"/>
      <c r="AB123" s="399"/>
      <c r="AC123" s="399"/>
      <c r="AD123" s="399"/>
      <c r="AE123" s="399"/>
      <c r="AF123" s="399"/>
      <c r="AG123" s="399"/>
      <c r="AH123" s="399"/>
      <c r="AI123" s="399"/>
      <c r="AJ123" s="399"/>
      <c r="AK123" s="399"/>
      <c r="AL123" s="399"/>
      <c r="AM123" s="399"/>
      <c r="AN123" s="399"/>
      <c r="AO123" s="399"/>
      <c r="AP123" s="399"/>
      <c r="AQ123" s="399"/>
      <c r="AR123" s="399"/>
      <c r="AS123" s="399"/>
      <c r="AT123" s="399"/>
      <c r="AU123" s="435"/>
      <c r="BF123" s="399"/>
      <c r="BG123" s="399"/>
    </row>
    <row r="124" spans="1:59" ht="12.75">
      <c r="A124" s="399"/>
      <c r="B124" s="399"/>
      <c r="C124" s="399"/>
      <c r="D124" s="399"/>
      <c r="E124" s="399"/>
      <c r="F124" s="399"/>
      <c r="G124" s="399"/>
      <c r="H124" s="399"/>
      <c r="I124" s="399"/>
      <c r="J124" s="399"/>
      <c r="K124" s="399"/>
      <c r="L124" s="399"/>
      <c r="M124" s="399"/>
      <c r="N124" s="399"/>
      <c r="O124" s="399"/>
      <c r="P124" s="399"/>
      <c r="Q124" s="399"/>
      <c r="R124" s="435"/>
      <c r="S124" s="399"/>
      <c r="T124" s="399"/>
      <c r="U124" s="399"/>
      <c r="V124" s="399"/>
      <c r="W124" s="399"/>
      <c r="X124" s="399"/>
      <c r="Y124" s="399"/>
      <c r="Z124" s="399"/>
      <c r="AA124" s="399"/>
      <c r="AB124" s="399"/>
      <c r="AC124" s="399"/>
      <c r="AD124" s="399"/>
      <c r="AE124" s="399"/>
      <c r="AF124" s="399"/>
      <c r="AG124" s="399"/>
      <c r="AH124" s="399"/>
      <c r="AI124" s="399"/>
      <c r="AJ124" s="399"/>
      <c r="AK124" s="399"/>
      <c r="AL124" s="399"/>
      <c r="AM124" s="399"/>
      <c r="AN124" s="399"/>
      <c r="AO124" s="399"/>
      <c r="AP124" s="399"/>
      <c r="AQ124" s="399"/>
      <c r="AR124" s="399"/>
      <c r="AS124" s="399"/>
      <c r="AT124" s="399"/>
      <c r="AU124" s="435"/>
      <c r="BF124" s="399"/>
      <c r="BG124" s="399"/>
    </row>
    <row r="125" spans="1:59" ht="12.75">
      <c r="A125" s="399"/>
      <c r="B125" s="399"/>
      <c r="C125" s="399"/>
      <c r="D125" s="399"/>
      <c r="E125" s="399"/>
      <c r="F125" s="399"/>
      <c r="G125" s="399"/>
      <c r="H125" s="399"/>
      <c r="I125" s="399"/>
      <c r="J125" s="399"/>
      <c r="K125" s="399"/>
      <c r="L125" s="399"/>
      <c r="M125" s="399"/>
      <c r="N125" s="399"/>
      <c r="O125" s="399"/>
      <c r="P125" s="399"/>
      <c r="Q125" s="399"/>
      <c r="R125" s="435"/>
      <c r="S125" s="399"/>
      <c r="T125" s="399"/>
      <c r="U125" s="399"/>
      <c r="V125" s="399"/>
      <c r="W125" s="399"/>
      <c r="X125" s="399"/>
      <c r="Y125" s="399"/>
      <c r="Z125" s="399"/>
      <c r="AA125" s="399"/>
      <c r="AB125" s="399"/>
      <c r="AC125" s="399"/>
      <c r="AD125" s="399"/>
      <c r="AE125" s="399"/>
      <c r="AF125" s="399"/>
      <c r="AG125" s="399"/>
      <c r="AH125" s="399"/>
      <c r="AI125" s="399"/>
      <c r="AJ125" s="399"/>
      <c r="AK125" s="399"/>
      <c r="AL125" s="399"/>
      <c r="AM125" s="399"/>
      <c r="AN125" s="399"/>
      <c r="AO125" s="399"/>
      <c r="AP125" s="399"/>
      <c r="AQ125" s="399"/>
      <c r="AR125" s="399"/>
      <c r="AS125" s="399"/>
      <c r="AT125" s="399"/>
      <c r="AU125" s="435"/>
      <c r="BF125" s="399"/>
      <c r="BG125" s="399"/>
    </row>
    <row r="126" spans="1:59" ht="12.75">
      <c r="A126" s="399"/>
      <c r="B126" s="399"/>
      <c r="C126" s="399"/>
      <c r="D126" s="399"/>
      <c r="E126" s="399"/>
      <c r="F126" s="399"/>
      <c r="G126" s="399"/>
      <c r="H126" s="399"/>
      <c r="I126" s="399"/>
      <c r="J126" s="399"/>
      <c r="K126" s="399"/>
      <c r="L126" s="399"/>
      <c r="M126" s="399"/>
      <c r="N126" s="399"/>
      <c r="O126" s="399"/>
      <c r="P126" s="399"/>
      <c r="Q126" s="399"/>
      <c r="R126" s="435"/>
      <c r="S126" s="399"/>
      <c r="T126" s="399"/>
      <c r="U126" s="399"/>
      <c r="V126" s="399"/>
      <c r="W126" s="399"/>
      <c r="X126" s="399"/>
      <c r="Y126" s="399"/>
      <c r="Z126" s="399"/>
      <c r="AA126" s="399"/>
      <c r="AB126" s="399"/>
      <c r="AC126" s="399"/>
      <c r="AD126" s="399"/>
      <c r="AE126" s="399"/>
      <c r="AF126" s="399"/>
      <c r="AG126" s="399"/>
      <c r="AH126" s="399"/>
      <c r="AI126" s="399"/>
      <c r="AJ126" s="399"/>
      <c r="AK126" s="399"/>
      <c r="AL126" s="399"/>
      <c r="AM126" s="399"/>
      <c r="AN126" s="399"/>
      <c r="AO126" s="399"/>
      <c r="AP126" s="399"/>
      <c r="AQ126" s="399"/>
      <c r="AR126" s="399"/>
      <c r="AS126" s="399"/>
      <c r="AT126" s="399"/>
      <c r="AU126" s="435"/>
      <c r="BF126" s="399"/>
      <c r="BG126" s="399"/>
    </row>
    <row r="127" spans="1:59" ht="12.75">
      <c r="A127" s="399"/>
      <c r="B127" s="399"/>
      <c r="C127" s="399"/>
      <c r="D127" s="399"/>
      <c r="E127" s="399"/>
      <c r="F127" s="399"/>
      <c r="G127" s="399"/>
      <c r="H127" s="399"/>
      <c r="I127" s="399"/>
      <c r="J127" s="399"/>
      <c r="K127" s="399"/>
      <c r="L127" s="399"/>
      <c r="M127" s="399"/>
      <c r="N127" s="399"/>
      <c r="O127" s="399"/>
      <c r="P127" s="399"/>
      <c r="Q127" s="399"/>
      <c r="R127" s="435"/>
      <c r="S127" s="399"/>
      <c r="T127" s="399"/>
      <c r="U127" s="399"/>
      <c r="V127" s="399"/>
      <c r="W127" s="399"/>
      <c r="X127" s="399"/>
      <c r="Y127" s="399"/>
      <c r="Z127" s="399"/>
      <c r="AA127" s="399"/>
      <c r="AB127" s="399"/>
      <c r="AC127" s="399"/>
      <c r="AD127" s="399"/>
      <c r="AE127" s="399"/>
      <c r="AF127" s="399"/>
      <c r="AG127" s="399"/>
      <c r="AH127" s="399"/>
      <c r="AI127" s="399"/>
      <c r="AJ127" s="399"/>
      <c r="AK127" s="399"/>
      <c r="AL127" s="399"/>
      <c r="AM127" s="399"/>
      <c r="AN127" s="399"/>
      <c r="AO127" s="399"/>
      <c r="AP127" s="399"/>
      <c r="AQ127" s="399"/>
      <c r="AR127" s="399"/>
      <c r="AS127" s="399"/>
      <c r="AT127" s="399"/>
      <c r="AU127" s="435"/>
      <c r="BF127" s="399"/>
      <c r="BG127" s="399"/>
    </row>
    <row r="128" spans="1:59" ht="12.75">
      <c r="A128" s="399"/>
      <c r="B128" s="399"/>
      <c r="C128" s="399"/>
      <c r="D128" s="399"/>
      <c r="E128" s="399"/>
      <c r="F128" s="399"/>
      <c r="G128" s="399"/>
      <c r="H128" s="399"/>
      <c r="I128" s="399"/>
      <c r="J128" s="399"/>
      <c r="K128" s="399"/>
      <c r="L128" s="399"/>
      <c r="M128" s="399"/>
      <c r="N128" s="399"/>
      <c r="O128" s="399"/>
      <c r="P128" s="399"/>
      <c r="Q128" s="399"/>
      <c r="R128" s="435"/>
      <c r="S128" s="399"/>
      <c r="T128" s="399"/>
      <c r="U128" s="399"/>
      <c r="V128" s="399"/>
      <c r="W128" s="399"/>
      <c r="X128" s="399"/>
      <c r="Y128" s="399"/>
      <c r="Z128" s="399"/>
      <c r="AA128" s="399"/>
      <c r="AB128" s="399"/>
      <c r="AC128" s="399"/>
      <c r="AD128" s="399"/>
      <c r="AE128" s="399"/>
      <c r="AF128" s="399"/>
      <c r="AG128" s="399"/>
      <c r="AH128" s="399"/>
      <c r="AI128" s="399"/>
      <c r="AJ128" s="399"/>
      <c r="AK128" s="399"/>
      <c r="AL128" s="399"/>
      <c r="AM128" s="399"/>
      <c r="AN128" s="399"/>
      <c r="AO128" s="399"/>
      <c r="AP128" s="399"/>
      <c r="AQ128" s="399"/>
      <c r="AR128" s="399"/>
      <c r="AS128" s="399"/>
      <c r="AT128" s="399"/>
      <c r="AU128" s="435"/>
      <c r="AV128" s="399"/>
      <c r="AW128" s="399"/>
      <c r="AX128" s="399"/>
      <c r="AY128" s="399"/>
      <c r="AZ128" s="399"/>
      <c r="BA128" s="399"/>
      <c r="BB128" s="399"/>
      <c r="BC128" s="399"/>
      <c r="BD128" s="399"/>
      <c r="BE128" s="399"/>
      <c r="BF128" s="399"/>
      <c r="BG128" s="399"/>
    </row>
    <row r="129" spans="1:59" ht="12.75">
      <c r="A129" s="399"/>
      <c r="B129" s="399"/>
      <c r="C129" s="399"/>
      <c r="D129" s="399"/>
      <c r="E129" s="399"/>
      <c r="F129" s="399"/>
      <c r="G129" s="399"/>
      <c r="H129" s="399"/>
      <c r="I129" s="399"/>
      <c r="J129" s="399"/>
      <c r="K129" s="399"/>
      <c r="L129" s="399"/>
      <c r="M129" s="399"/>
      <c r="N129" s="399"/>
      <c r="O129" s="399"/>
      <c r="P129" s="399"/>
      <c r="Q129" s="399"/>
      <c r="R129" s="435"/>
      <c r="S129" s="399"/>
      <c r="T129" s="399"/>
      <c r="U129" s="399"/>
      <c r="V129" s="399"/>
      <c r="W129" s="399"/>
      <c r="X129" s="399"/>
      <c r="Y129" s="399"/>
      <c r="Z129" s="399"/>
      <c r="AA129" s="399"/>
      <c r="AB129" s="399"/>
      <c r="AC129" s="399"/>
      <c r="AD129" s="399"/>
      <c r="AE129" s="399"/>
      <c r="AF129" s="399"/>
      <c r="AG129" s="399"/>
      <c r="AH129" s="399"/>
      <c r="AI129" s="399"/>
      <c r="AJ129" s="399"/>
      <c r="AK129" s="399"/>
      <c r="AL129" s="399"/>
      <c r="AM129" s="399"/>
      <c r="AN129" s="399"/>
      <c r="AO129" s="399"/>
      <c r="AP129" s="399"/>
      <c r="AQ129" s="399"/>
      <c r="AR129" s="399"/>
      <c r="AS129" s="399"/>
      <c r="AT129" s="399"/>
      <c r="AU129" s="435"/>
      <c r="AV129" s="399"/>
      <c r="AW129" s="399"/>
      <c r="AX129" s="399"/>
      <c r="AY129" s="399"/>
      <c r="AZ129" s="399"/>
      <c r="BA129" s="399"/>
      <c r="BB129" s="399"/>
      <c r="BC129" s="399"/>
      <c r="BD129" s="399"/>
      <c r="BE129" s="399"/>
      <c r="BF129" s="399"/>
      <c r="BG129" s="399"/>
    </row>
    <row r="130" spans="1:59" ht="12.75">
      <c r="A130" s="399"/>
      <c r="B130" s="399"/>
      <c r="C130" s="399"/>
      <c r="D130" s="399"/>
      <c r="E130" s="399"/>
      <c r="F130" s="399"/>
      <c r="G130" s="399"/>
      <c r="H130" s="399"/>
      <c r="I130" s="399"/>
      <c r="J130" s="399"/>
      <c r="K130" s="399"/>
      <c r="L130" s="399"/>
      <c r="M130" s="399"/>
      <c r="N130" s="399"/>
      <c r="O130" s="399"/>
      <c r="P130" s="399"/>
      <c r="Q130" s="399"/>
      <c r="R130" s="435"/>
      <c r="S130" s="399"/>
      <c r="T130" s="399"/>
      <c r="U130" s="399"/>
      <c r="V130" s="399"/>
      <c r="W130" s="399"/>
      <c r="X130" s="399"/>
      <c r="Y130" s="399"/>
      <c r="Z130" s="399"/>
      <c r="AA130" s="399"/>
      <c r="AB130" s="399"/>
      <c r="AC130" s="399"/>
      <c r="AD130" s="399"/>
      <c r="AE130" s="399"/>
      <c r="AF130" s="399"/>
      <c r="AG130" s="399"/>
      <c r="AH130" s="399"/>
      <c r="AI130" s="399"/>
      <c r="AJ130" s="399"/>
      <c r="AK130" s="399"/>
      <c r="AL130" s="399"/>
      <c r="AM130" s="399"/>
      <c r="AN130" s="399"/>
      <c r="AO130" s="399"/>
      <c r="AP130" s="399"/>
      <c r="AQ130" s="399"/>
      <c r="AR130" s="399"/>
      <c r="AS130" s="399"/>
      <c r="AT130" s="399"/>
      <c r="AU130" s="435"/>
      <c r="AV130" s="399"/>
      <c r="AW130" s="399"/>
      <c r="AX130" s="399"/>
      <c r="AY130" s="399"/>
      <c r="AZ130" s="399"/>
      <c r="BA130" s="399"/>
      <c r="BB130" s="399"/>
      <c r="BC130" s="399"/>
      <c r="BD130" s="399"/>
      <c r="BE130" s="399"/>
      <c r="BF130" s="399"/>
      <c r="BG130" s="399"/>
    </row>
    <row r="131" spans="1:59" ht="12.75">
      <c r="A131" s="399"/>
      <c r="B131" s="399"/>
      <c r="C131" s="399"/>
      <c r="D131" s="399"/>
      <c r="E131" s="399"/>
      <c r="F131" s="399"/>
      <c r="G131" s="399"/>
      <c r="H131" s="399"/>
      <c r="I131" s="399"/>
      <c r="J131" s="399"/>
      <c r="K131" s="399"/>
      <c r="L131" s="399"/>
      <c r="M131" s="399"/>
      <c r="N131" s="399"/>
      <c r="O131" s="399"/>
      <c r="P131" s="399"/>
      <c r="Q131" s="399"/>
      <c r="R131" s="435"/>
      <c r="S131" s="399"/>
      <c r="T131" s="399"/>
      <c r="U131" s="399"/>
      <c r="V131" s="399"/>
      <c r="W131" s="399"/>
      <c r="X131" s="399"/>
      <c r="Y131" s="399"/>
      <c r="Z131" s="399"/>
      <c r="AA131" s="399"/>
      <c r="AB131" s="399"/>
      <c r="AC131" s="399"/>
      <c r="AD131" s="399"/>
      <c r="AE131" s="399"/>
      <c r="AF131" s="399"/>
      <c r="AG131" s="399"/>
      <c r="AH131" s="399"/>
      <c r="AI131" s="399"/>
      <c r="AJ131" s="399"/>
      <c r="AK131" s="399"/>
      <c r="AL131" s="399"/>
      <c r="AM131" s="399"/>
      <c r="AN131" s="399"/>
      <c r="AO131" s="399"/>
      <c r="AP131" s="399"/>
      <c r="AQ131" s="399"/>
      <c r="AR131" s="399"/>
      <c r="AS131" s="399"/>
      <c r="AT131" s="399"/>
      <c r="AU131" s="435"/>
      <c r="AV131" s="399"/>
      <c r="AW131" s="399"/>
      <c r="AX131" s="399"/>
      <c r="AY131" s="399"/>
      <c r="AZ131" s="399"/>
      <c r="BA131" s="399"/>
      <c r="BB131" s="399"/>
      <c r="BC131" s="399"/>
      <c r="BD131" s="399"/>
      <c r="BE131" s="399"/>
      <c r="BF131" s="399"/>
      <c r="BG131" s="399"/>
    </row>
    <row r="132" spans="1:59" ht="12.75">
      <c r="A132" s="399"/>
      <c r="B132" s="399"/>
      <c r="C132" s="399"/>
      <c r="D132" s="399"/>
      <c r="E132" s="399"/>
      <c r="F132" s="399"/>
      <c r="G132" s="399"/>
      <c r="H132" s="399"/>
      <c r="I132" s="399"/>
      <c r="J132" s="399"/>
      <c r="K132" s="399"/>
      <c r="L132" s="399"/>
      <c r="M132" s="399"/>
      <c r="N132" s="399"/>
      <c r="O132" s="399"/>
      <c r="P132" s="399"/>
      <c r="Q132" s="399"/>
      <c r="R132" s="435"/>
      <c r="S132" s="399"/>
      <c r="T132" s="399"/>
      <c r="U132" s="399"/>
      <c r="V132" s="399"/>
      <c r="W132" s="399"/>
      <c r="X132" s="399"/>
      <c r="Y132" s="399"/>
      <c r="Z132" s="399"/>
      <c r="AA132" s="399"/>
      <c r="AB132" s="399"/>
      <c r="AC132" s="399"/>
      <c r="AD132" s="399"/>
      <c r="AE132" s="399"/>
      <c r="AF132" s="399"/>
      <c r="AG132" s="399"/>
      <c r="AH132" s="399"/>
      <c r="AI132" s="399"/>
      <c r="AJ132" s="399"/>
      <c r="AK132" s="399"/>
      <c r="AL132" s="399"/>
      <c r="AM132" s="399"/>
      <c r="AN132" s="399"/>
      <c r="AO132" s="399"/>
      <c r="AP132" s="399"/>
      <c r="AQ132" s="399"/>
      <c r="AR132" s="399"/>
      <c r="AS132" s="399"/>
      <c r="AT132" s="399"/>
      <c r="AU132" s="435"/>
      <c r="AV132" s="399"/>
      <c r="AW132" s="399"/>
      <c r="AX132" s="399"/>
      <c r="AY132" s="399"/>
      <c r="AZ132" s="399"/>
      <c r="BA132" s="399"/>
      <c r="BB132" s="399"/>
      <c r="BC132" s="399"/>
      <c r="BD132" s="399"/>
      <c r="BE132" s="399"/>
      <c r="BF132" s="399"/>
      <c r="BG132" s="399"/>
    </row>
    <row r="133" spans="1:59" ht="12.75">
      <c r="A133" s="399"/>
      <c r="B133" s="399"/>
      <c r="C133" s="399"/>
      <c r="D133" s="399"/>
      <c r="E133" s="399"/>
      <c r="F133" s="399"/>
      <c r="G133" s="399"/>
      <c r="H133" s="399"/>
      <c r="I133" s="399"/>
      <c r="J133" s="399"/>
      <c r="K133" s="399"/>
      <c r="L133" s="399"/>
      <c r="M133" s="399"/>
      <c r="N133" s="399"/>
      <c r="O133" s="399"/>
      <c r="P133" s="399"/>
      <c r="Q133" s="399"/>
      <c r="R133" s="435"/>
      <c r="S133" s="399"/>
      <c r="T133" s="399"/>
      <c r="U133" s="399"/>
      <c r="V133" s="399"/>
      <c r="W133" s="399"/>
      <c r="X133" s="399"/>
      <c r="Y133" s="399"/>
      <c r="Z133" s="399"/>
      <c r="AA133" s="399"/>
      <c r="AB133" s="399"/>
      <c r="AC133" s="399"/>
      <c r="AD133" s="399"/>
      <c r="AE133" s="399"/>
      <c r="AF133" s="399"/>
      <c r="AG133" s="399"/>
      <c r="AH133" s="399"/>
      <c r="AI133" s="399"/>
      <c r="AJ133" s="399"/>
      <c r="AK133" s="399"/>
      <c r="AL133" s="399"/>
      <c r="AM133" s="399"/>
      <c r="AN133" s="399"/>
      <c r="AO133" s="399"/>
      <c r="AP133" s="399"/>
      <c r="AQ133" s="399"/>
      <c r="AR133" s="399"/>
      <c r="AS133" s="399"/>
      <c r="AT133" s="399"/>
      <c r="AU133" s="435"/>
      <c r="AV133" s="399"/>
      <c r="AW133" s="399"/>
      <c r="AX133" s="399"/>
      <c r="AY133" s="399"/>
      <c r="AZ133" s="399"/>
      <c r="BA133" s="399"/>
      <c r="BB133" s="399"/>
      <c r="BC133" s="399"/>
      <c r="BD133" s="399"/>
      <c r="BE133" s="399"/>
      <c r="BF133" s="399"/>
      <c r="BG133" s="399"/>
    </row>
    <row r="134" spans="1:59" ht="12.75">
      <c r="A134" s="399"/>
      <c r="B134" s="399"/>
      <c r="C134" s="399"/>
      <c r="D134" s="399"/>
      <c r="E134" s="399"/>
      <c r="F134" s="399"/>
      <c r="G134" s="399"/>
      <c r="H134" s="399"/>
      <c r="I134" s="399"/>
      <c r="J134" s="399"/>
      <c r="K134" s="399"/>
      <c r="L134" s="399"/>
      <c r="M134" s="399"/>
      <c r="N134" s="399"/>
      <c r="O134" s="399"/>
      <c r="P134" s="399"/>
      <c r="Q134" s="399"/>
      <c r="R134" s="435"/>
      <c r="S134" s="399"/>
      <c r="T134" s="399"/>
      <c r="U134" s="399"/>
      <c r="V134" s="399"/>
      <c r="W134" s="399"/>
      <c r="X134" s="399"/>
      <c r="Y134" s="399"/>
      <c r="Z134" s="399"/>
      <c r="AA134" s="399"/>
      <c r="AB134" s="399"/>
      <c r="AC134" s="399"/>
      <c r="AD134" s="399"/>
      <c r="AE134" s="399"/>
      <c r="AF134" s="399"/>
      <c r="AG134" s="399"/>
      <c r="AH134" s="399"/>
      <c r="AI134" s="399"/>
      <c r="AJ134" s="399"/>
      <c r="AK134" s="399"/>
      <c r="AL134" s="399"/>
      <c r="AM134" s="399"/>
      <c r="AN134" s="399"/>
      <c r="AO134" s="399"/>
      <c r="AP134" s="399"/>
      <c r="AQ134" s="399"/>
      <c r="AR134" s="399"/>
      <c r="AS134" s="399"/>
      <c r="AT134" s="399"/>
      <c r="AU134" s="435"/>
      <c r="AV134" s="399"/>
      <c r="AW134" s="399"/>
      <c r="AX134" s="399"/>
      <c r="AY134" s="399"/>
      <c r="AZ134" s="399"/>
      <c r="BA134" s="399"/>
      <c r="BB134" s="399"/>
      <c r="BC134" s="399"/>
      <c r="BD134" s="399"/>
      <c r="BE134" s="399"/>
      <c r="BF134" s="399"/>
      <c r="BG134" s="399"/>
    </row>
    <row r="135" spans="1:59" ht="12.75">
      <c r="A135" s="399"/>
      <c r="B135" s="399"/>
      <c r="C135" s="399"/>
      <c r="D135" s="399"/>
      <c r="E135" s="399"/>
      <c r="F135" s="399"/>
      <c r="G135" s="399"/>
      <c r="H135" s="399"/>
      <c r="I135" s="399"/>
      <c r="J135" s="399"/>
      <c r="K135" s="399"/>
      <c r="L135" s="399"/>
      <c r="M135" s="399"/>
      <c r="N135" s="399"/>
      <c r="O135" s="399"/>
      <c r="P135" s="399"/>
      <c r="Q135" s="399"/>
      <c r="R135" s="435"/>
      <c r="S135" s="399"/>
      <c r="T135" s="399"/>
      <c r="U135" s="399"/>
      <c r="V135" s="399"/>
      <c r="W135" s="399"/>
      <c r="X135" s="399"/>
      <c r="Y135" s="399"/>
      <c r="Z135" s="399"/>
      <c r="AA135" s="399"/>
      <c r="AB135" s="399"/>
      <c r="AC135" s="399"/>
      <c r="AD135" s="399"/>
      <c r="AE135" s="399"/>
      <c r="AF135" s="399"/>
      <c r="AG135" s="399"/>
      <c r="AH135" s="399"/>
      <c r="AI135" s="399"/>
      <c r="AJ135" s="399"/>
      <c r="AK135" s="399"/>
      <c r="AL135" s="399"/>
      <c r="AM135" s="399"/>
      <c r="AN135" s="399"/>
      <c r="AO135" s="399"/>
      <c r="AP135" s="399"/>
      <c r="AQ135" s="399"/>
      <c r="AR135" s="399"/>
      <c r="AS135" s="399"/>
      <c r="AT135" s="399"/>
      <c r="AU135" s="435"/>
      <c r="AV135" s="399"/>
      <c r="AW135" s="399"/>
      <c r="AX135" s="399"/>
      <c r="AY135" s="399"/>
      <c r="AZ135" s="399"/>
      <c r="BA135" s="399"/>
      <c r="BB135" s="399"/>
      <c r="BC135" s="399"/>
      <c r="BD135" s="399"/>
      <c r="BE135" s="399"/>
      <c r="BF135" s="399"/>
      <c r="BG135" s="399"/>
    </row>
  </sheetData>
  <mergeCells count="1">
    <mergeCell ref="K23:L23"/>
  </mergeCells>
  <phoneticPr fontId="13"/>
  <conditionalFormatting sqref="I20:I36">
    <cfRule type="containsText" dxfId="4" priority="3" operator="containsText" text="NRND">
      <formula>NOT(ISERROR(SEARCH("NRND",I20)))</formula>
    </cfRule>
    <cfRule type="containsText" dxfId="3" priority="4" operator="containsText" text="EOL">
      <formula>NOT(ISERROR(SEARCH("EOL",I20)))</formula>
    </cfRule>
  </conditionalFormatting>
  <conditionalFormatting sqref="J20">
    <cfRule type="containsText" dxfId="2" priority="1" operator="containsText" text="NRND">
      <formula>NOT(ISERROR(SEARCH("NRND",J20)))</formula>
    </cfRule>
    <cfRule type="containsText" dxfId="1" priority="2" operator="containsText" text="EOL">
      <formula>NOT(ISERROR(SEARCH("EOL",J20)))</formula>
    </cfRule>
  </conditionalFormatting>
  <dataValidations count="2">
    <dataValidation type="list" allowBlank="1" showInputMessage="1" showErrorMessage="1" sqref="N29" xr:uid="{E50239F6-97D2-4EF1-965A-82FCD42762D1}">
      <formula1>"Consider sat.(x1.3),Normal calc.(x1.0)"</formula1>
    </dataValidation>
    <dataValidation allowBlank="1" showInputMessage="1" showErrorMessage="1" sqref="AH20:AJ20 AF30:AF32 AH21:AH30 H20:J35 K20:K22 K24:K35 K23:L23 AY32:AY34" xr:uid="{BB518FE7-B2C6-4926-B494-8314858B4DC9}"/>
  </dataValidation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D5A2BE-B5DC-4441-AD02-C768682D9706}">
  <sheetPr codeName="Sheet7"/>
  <dimension ref="A1:AZ404"/>
  <sheetViews>
    <sheetView workbookViewId="0">
      <selection activeCell="O16" sqref="O16"/>
    </sheetView>
  </sheetViews>
  <sheetFormatPr defaultColWidth="8.85546875" defaultRowHeight="15.75"/>
  <cols>
    <col min="1" max="9" width="8.85546875" style="325"/>
    <col min="10" max="10" width="4.7109375" style="325" customWidth="1"/>
    <col min="11" max="12" width="8.85546875" style="325"/>
    <col min="13" max="13" width="9.42578125" style="325" bestFit="1" customWidth="1"/>
    <col min="14" max="14" width="8.85546875" style="326"/>
    <col min="15" max="20" width="8.85546875" style="325"/>
    <col min="21" max="21" width="9.42578125" style="325" customWidth="1"/>
    <col min="22" max="22" width="8.85546875" style="326"/>
    <col min="23" max="16384" width="8.85546875" style="325"/>
  </cols>
  <sheetData>
    <row r="1" spans="1:52">
      <c r="A1" s="325" t="s">
        <v>780</v>
      </c>
      <c r="N1" s="326" t="s">
        <v>781</v>
      </c>
    </row>
    <row r="2" spans="1:52">
      <c r="A2" s="325" t="s">
        <v>782</v>
      </c>
      <c r="M2" s="325" t="s">
        <v>783</v>
      </c>
      <c r="N2" s="326" t="s">
        <v>784</v>
      </c>
      <c r="P2" s="325" t="s">
        <v>785</v>
      </c>
      <c r="Q2" s="325" t="s">
        <v>238</v>
      </c>
      <c r="W2" s="327"/>
      <c r="X2" s="327"/>
      <c r="Y2" s="327"/>
      <c r="Z2" s="327"/>
      <c r="AA2" s="327"/>
      <c r="AB2" s="327"/>
      <c r="AC2" s="327"/>
      <c r="AD2" s="327"/>
      <c r="AE2" s="327"/>
      <c r="AF2" s="327"/>
      <c r="AG2" s="327"/>
      <c r="AH2" s="327"/>
      <c r="AI2" s="327"/>
      <c r="AJ2" s="327"/>
      <c r="AK2" s="327"/>
      <c r="AL2" s="327"/>
      <c r="AM2" s="327"/>
      <c r="AN2" s="327"/>
      <c r="AO2" s="327"/>
      <c r="AP2" s="327"/>
      <c r="AQ2" s="327"/>
      <c r="AR2" s="327"/>
      <c r="AS2" s="327"/>
      <c r="AT2" s="327"/>
      <c r="AU2" s="327"/>
      <c r="AV2" s="327"/>
      <c r="AW2" s="327"/>
      <c r="AX2" s="327"/>
      <c r="AY2" s="327"/>
      <c r="AZ2" s="327"/>
    </row>
    <row r="3" spans="1:52">
      <c r="K3" s="325">
        <f>IF($B$25="Buck",$B$34/(2*$B$36)*M3,-$B$34/(2*$B$36)*M3)</f>
        <v>0</v>
      </c>
      <c r="L3" s="325">
        <v>0</v>
      </c>
      <c r="M3" s="328">
        <v>0</v>
      </c>
      <c r="N3" s="329">
        <f>IF($B$25="Buck",$B$34/($B$33/($B$29*10^3)*10^6)*M3-$B$34/2,-$B$34/($B$33/($B$29*10^3)*10^6)*M3+$B$34/2)</f>
        <v>-1.153846153846154</v>
      </c>
      <c r="O3" s="327"/>
      <c r="P3" s="327">
        <v>0</v>
      </c>
      <c r="Q3" s="327">
        <f>'DCDC Ref'!J21</f>
        <v>12</v>
      </c>
      <c r="R3" s="327"/>
      <c r="S3" s="327"/>
      <c r="T3" s="328"/>
      <c r="U3" s="327"/>
      <c r="V3" s="327"/>
      <c r="W3" s="327"/>
      <c r="X3" s="327"/>
      <c r="Y3" s="327"/>
      <c r="Z3" s="327"/>
      <c r="AA3" s="327"/>
      <c r="AB3" s="327"/>
      <c r="AC3" s="327"/>
      <c r="AD3" s="327"/>
      <c r="AE3" s="327"/>
      <c r="AF3" s="327"/>
      <c r="AG3" s="327"/>
      <c r="AH3" s="327"/>
      <c r="AI3" s="327"/>
      <c r="AJ3" s="327"/>
      <c r="AK3" s="327"/>
      <c r="AL3" s="327"/>
      <c r="AM3" s="327"/>
      <c r="AN3" s="327"/>
      <c r="AO3" s="327"/>
      <c r="AP3" s="327"/>
      <c r="AQ3" s="327"/>
      <c r="AR3" s="327"/>
      <c r="AS3" s="327"/>
      <c r="AT3" s="327"/>
      <c r="AU3" s="327"/>
      <c r="AV3" s="327"/>
      <c r="AW3" s="327"/>
      <c r="AX3" s="327"/>
      <c r="AY3" s="327"/>
      <c r="AZ3" s="327"/>
    </row>
    <row r="4" spans="1:52">
      <c r="A4" s="330" t="s">
        <v>786</v>
      </c>
      <c r="G4" s="325" t="s">
        <v>787</v>
      </c>
      <c r="L4" s="325">
        <f>L3+1</f>
        <v>1</v>
      </c>
      <c r="M4" s="328">
        <f>$B$33/($B$29*10^3)*10^6/100+M3</f>
        <v>2.0833333333333333E-3</v>
      </c>
      <c r="N4" s="329">
        <f t="shared" ref="N4:N67" si="0">IF($B$25="Buck",$B$34/($B$33/($B$29*10^3)*10^6)*M4-$B$34/2,-$B$34/($B$33/($B$29*10^3)*10^6)*M4+$B$34/2)</f>
        <v>-1.130769230769231</v>
      </c>
      <c r="O4" s="327"/>
      <c r="P4" s="327">
        <v>1</v>
      </c>
      <c r="Q4" s="327">
        <f>'DCDC Ref'!J21</f>
        <v>12</v>
      </c>
      <c r="R4" s="327"/>
      <c r="S4" s="327"/>
      <c r="T4" s="328"/>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row>
    <row r="5" spans="1:52">
      <c r="G5" s="325" t="s">
        <v>788</v>
      </c>
      <c r="L5" s="325">
        <f t="shared" ref="L5:L68" si="1">L4+1</f>
        <v>2</v>
      </c>
      <c r="M5" s="328">
        <f t="shared" ref="M5:M68" si="2">$B$33/($B$29*10^3)*10^6/100+M4</f>
        <v>4.1666666666666666E-3</v>
      </c>
      <c r="N5" s="329">
        <f t="shared" si="0"/>
        <v>-1.1076923076923078</v>
      </c>
      <c r="O5" s="327"/>
      <c r="P5" s="327"/>
      <c r="Q5" s="327"/>
      <c r="R5" s="327"/>
      <c r="S5" s="327"/>
      <c r="U5" s="328"/>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row>
    <row r="6" spans="1:52">
      <c r="G6" s="325" t="s">
        <v>789</v>
      </c>
      <c r="L6" s="325">
        <f t="shared" si="1"/>
        <v>3</v>
      </c>
      <c r="M6" s="328">
        <f t="shared" si="2"/>
        <v>6.2500000000000003E-3</v>
      </c>
      <c r="N6" s="329">
        <f t="shared" si="0"/>
        <v>-1.0846153846153848</v>
      </c>
      <c r="O6" s="327"/>
      <c r="P6" s="327" t="s">
        <v>785</v>
      </c>
      <c r="Q6" s="327" t="s">
        <v>237</v>
      </c>
      <c r="R6" s="327"/>
      <c r="S6" s="327"/>
      <c r="U6" s="328"/>
      <c r="W6" s="327"/>
      <c r="X6" s="327"/>
      <c r="Y6" s="327"/>
      <c r="Z6" s="327"/>
      <c r="AA6" s="327"/>
      <c r="AB6" s="327"/>
      <c r="AC6" s="327"/>
      <c r="AD6" s="327"/>
      <c r="AE6" s="327"/>
      <c r="AF6" s="327"/>
      <c r="AG6" s="327"/>
      <c r="AH6" s="327"/>
      <c r="AI6" s="327"/>
      <c r="AJ6" s="327"/>
      <c r="AK6" s="327"/>
      <c r="AL6" s="327"/>
      <c r="AM6" s="327"/>
      <c r="AN6" s="327"/>
      <c r="AO6" s="327"/>
      <c r="AP6" s="327"/>
      <c r="AQ6" s="327"/>
      <c r="AR6" s="327"/>
      <c r="AS6" s="327"/>
      <c r="AT6" s="327"/>
      <c r="AU6" s="327"/>
      <c r="AV6" s="327"/>
      <c r="AW6" s="327"/>
      <c r="AX6" s="327"/>
      <c r="AY6" s="327"/>
      <c r="AZ6" s="327"/>
    </row>
    <row r="7" spans="1:52">
      <c r="G7" s="325" t="s">
        <v>790</v>
      </c>
      <c r="L7" s="325">
        <f t="shared" si="1"/>
        <v>4</v>
      </c>
      <c r="M7" s="328">
        <f t="shared" si="2"/>
        <v>8.3333333333333332E-3</v>
      </c>
      <c r="N7" s="329">
        <f t="shared" si="0"/>
        <v>-1.0615384615384618</v>
      </c>
      <c r="O7" s="327"/>
      <c r="P7" s="327">
        <v>0</v>
      </c>
      <c r="Q7" s="327">
        <f>'DCDC Ref'!J22</f>
        <v>5</v>
      </c>
      <c r="R7" s="327"/>
      <c r="S7" s="327"/>
      <c r="U7" s="327"/>
      <c r="V7" s="327"/>
      <c r="W7" s="327"/>
      <c r="X7" s="327"/>
      <c r="Y7" s="327"/>
      <c r="Z7" s="327"/>
      <c r="AA7" s="327"/>
      <c r="AB7" s="327"/>
      <c r="AC7" s="327"/>
      <c r="AD7" s="327"/>
      <c r="AE7" s="327"/>
      <c r="AF7" s="327"/>
      <c r="AG7" s="327"/>
      <c r="AH7" s="327"/>
      <c r="AI7" s="327"/>
      <c r="AJ7" s="327"/>
      <c r="AK7" s="327"/>
      <c r="AL7" s="327"/>
      <c r="AM7" s="327"/>
      <c r="AN7" s="327"/>
      <c r="AO7" s="327"/>
      <c r="AP7" s="327"/>
      <c r="AQ7" s="327"/>
      <c r="AR7" s="327"/>
      <c r="AS7" s="327"/>
      <c r="AT7" s="327"/>
      <c r="AU7" s="327"/>
      <c r="AV7" s="327"/>
      <c r="AW7" s="327"/>
      <c r="AX7" s="327"/>
      <c r="AY7" s="327"/>
      <c r="AZ7" s="327"/>
    </row>
    <row r="8" spans="1:52">
      <c r="G8" s="325" t="s">
        <v>791</v>
      </c>
      <c r="L8" s="325">
        <f t="shared" si="1"/>
        <v>5</v>
      </c>
      <c r="M8" s="328">
        <f t="shared" si="2"/>
        <v>1.0416666666666666E-2</v>
      </c>
      <c r="N8" s="329">
        <f t="shared" si="0"/>
        <v>-1.0384615384615385</v>
      </c>
      <c r="O8" s="327"/>
      <c r="P8" s="327">
        <v>1</v>
      </c>
      <c r="Q8" s="327">
        <f>'DCDC Ref'!J22</f>
        <v>5</v>
      </c>
      <c r="R8" s="327"/>
      <c r="S8" s="327"/>
      <c r="U8" s="327"/>
      <c r="V8" s="327"/>
      <c r="W8" s="327"/>
      <c r="X8" s="327"/>
      <c r="Y8" s="327"/>
      <c r="Z8" s="327"/>
      <c r="AA8" s="327"/>
      <c r="AB8" s="327"/>
      <c r="AC8" s="327"/>
      <c r="AD8" s="327"/>
      <c r="AE8" s="327"/>
      <c r="AF8" s="327"/>
      <c r="AG8" s="327"/>
      <c r="AH8" s="327"/>
      <c r="AI8" s="327"/>
      <c r="AJ8" s="327"/>
      <c r="AK8" s="327"/>
      <c r="AL8" s="327"/>
      <c r="AM8" s="327"/>
      <c r="AN8" s="327"/>
      <c r="AO8" s="327"/>
      <c r="AP8" s="327"/>
      <c r="AQ8" s="327"/>
      <c r="AR8" s="327"/>
      <c r="AS8" s="327"/>
      <c r="AT8" s="327"/>
      <c r="AU8" s="327"/>
      <c r="AV8" s="327"/>
      <c r="AW8" s="327"/>
      <c r="AX8" s="327"/>
      <c r="AY8" s="327"/>
      <c r="AZ8" s="327"/>
    </row>
    <row r="9" spans="1:52">
      <c r="L9" s="325">
        <f t="shared" si="1"/>
        <v>6</v>
      </c>
      <c r="M9" s="328">
        <f t="shared" si="2"/>
        <v>1.2499999999999999E-2</v>
      </c>
      <c r="N9" s="329">
        <f t="shared" si="0"/>
        <v>-1.0153846153846156</v>
      </c>
      <c r="O9" s="327"/>
      <c r="P9" s="327"/>
      <c r="Q9" s="327"/>
      <c r="R9" s="327"/>
      <c r="S9" s="327"/>
      <c r="V9" s="327"/>
      <c r="W9" s="327"/>
      <c r="X9" s="327"/>
      <c r="Y9" s="327"/>
      <c r="Z9" s="327"/>
      <c r="AA9" s="327"/>
      <c r="AB9" s="327"/>
      <c r="AC9" s="327"/>
      <c r="AD9" s="327"/>
      <c r="AE9" s="327"/>
      <c r="AF9" s="327"/>
      <c r="AG9" s="327"/>
      <c r="AH9" s="327"/>
      <c r="AI9" s="327"/>
      <c r="AJ9" s="327"/>
      <c r="AK9" s="327"/>
      <c r="AL9" s="327"/>
      <c r="AM9" s="327"/>
      <c r="AN9" s="327"/>
      <c r="AO9" s="327"/>
      <c r="AP9" s="327"/>
      <c r="AQ9" s="327"/>
      <c r="AR9" s="327"/>
      <c r="AS9" s="327"/>
      <c r="AT9" s="327"/>
      <c r="AU9" s="327"/>
      <c r="AV9" s="327"/>
      <c r="AW9" s="327"/>
      <c r="AX9" s="327"/>
      <c r="AY9" s="327"/>
      <c r="AZ9" s="327"/>
    </row>
    <row r="10" spans="1:52">
      <c r="A10" s="325" t="s">
        <v>792</v>
      </c>
      <c r="L10" s="325">
        <f t="shared" si="1"/>
        <v>7</v>
      </c>
      <c r="M10" s="328">
        <f t="shared" si="2"/>
        <v>1.4583333333333332E-2</v>
      </c>
      <c r="N10" s="329">
        <f t="shared" si="0"/>
        <v>-0.99230769230769245</v>
      </c>
      <c r="O10" s="327"/>
      <c r="P10" s="327"/>
      <c r="Q10" s="327"/>
      <c r="R10" s="327"/>
      <c r="S10" s="327"/>
      <c r="U10" s="327"/>
      <c r="W10" s="327"/>
      <c r="X10" s="327"/>
      <c r="Y10" s="327"/>
      <c r="Z10" s="327"/>
      <c r="AA10" s="327"/>
      <c r="AB10" s="327"/>
      <c r="AC10" s="327"/>
      <c r="AD10" s="327"/>
      <c r="AE10" s="327"/>
      <c r="AF10" s="327"/>
      <c r="AG10" s="327"/>
      <c r="AH10" s="327"/>
      <c r="AI10" s="327"/>
      <c r="AJ10" s="327"/>
      <c r="AK10" s="327"/>
      <c r="AL10" s="327"/>
      <c r="AM10" s="327"/>
      <c r="AN10" s="327"/>
      <c r="AO10" s="327"/>
      <c r="AP10" s="327"/>
      <c r="AQ10" s="327"/>
      <c r="AR10" s="327"/>
      <c r="AS10" s="327"/>
      <c r="AT10" s="327"/>
      <c r="AU10" s="327"/>
      <c r="AV10" s="327"/>
      <c r="AW10" s="327"/>
      <c r="AX10" s="327"/>
      <c r="AY10" s="327"/>
      <c r="AZ10" s="327"/>
    </row>
    <row r="11" spans="1:52">
      <c r="A11" s="325" t="s">
        <v>793</v>
      </c>
      <c r="L11" s="325">
        <f t="shared" si="1"/>
        <v>8</v>
      </c>
      <c r="M11" s="328">
        <f t="shared" si="2"/>
        <v>1.6666666666666666E-2</v>
      </c>
      <c r="N11" s="329">
        <f t="shared" si="0"/>
        <v>-0.96923076923076934</v>
      </c>
      <c r="O11" s="327"/>
      <c r="P11" s="327"/>
      <c r="Q11" s="327"/>
      <c r="R11" s="327"/>
      <c r="S11" s="327"/>
      <c r="U11" s="327"/>
      <c r="W11" s="327"/>
      <c r="X11" s="327"/>
      <c r="Y11" s="327"/>
      <c r="Z11" s="327"/>
      <c r="AA11" s="327"/>
      <c r="AB11" s="327"/>
      <c r="AC11" s="327"/>
      <c r="AD11" s="327"/>
      <c r="AE11" s="327"/>
      <c r="AF11" s="327"/>
      <c r="AG11" s="327"/>
      <c r="AH11" s="327"/>
      <c r="AI11" s="327"/>
      <c r="AJ11" s="327"/>
      <c r="AK11" s="327"/>
      <c r="AL11" s="327"/>
      <c r="AM11" s="327"/>
      <c r="AN11" s="327"/>
      <c r="AO11" s="327"/>
      <c r="AP11" s="327"/>
      <c r="AQ11" s="327"/>
      <c r="AR11" s="327"/>
      <c r="AS11" s="327"/>
      <c r="AT11" s="327"/>
      <c r="AU11" s="327"/>
      <c r="AV11" s="327"/>
      <c r="AW11" s="327"/>
      <c r="AX11" s="327"/>
      <c r="AY11" s="327"/>
      <c r="AZ11" s="327"/>
    </row>
    <row r="12" spans="1:52">
      <c r="A12" s="325" t="s">
        <v>794</v>
      </c>
      <c r="L12" s="325">
        <f t="shared" si="1"/>
        <v>9</v>
      </c>
      <c r="M12" s="328">
        <f t="shared" si="2"/>
        <v>1.8749999999999999E-2</v>
      </c>
      <c r="N12" s="329">
        <f t="shared" si="0"/>
        <v>-0.94615384615384623</v>
      </c>
      <c r="O12" s="327"/>
      <c r="P12" s="327"/>
      <c r="Q12" s="327"/>
      <c r="R12" s="327"/>
      <c r="S12" s="327"/>
      <c r="U12" s="328"/>
      <c r="W12" s="327"/>
      <c r="X12" s="327"/>
      <c r="Y12" s="327"/>
      <c r="Z12" s="327"/>
      <c r="AA12" s="327"/>
      <c r="AB12" s="327"/>
      <c r="AC12" s="327"/>
      <c r="AD12" s="327"/>
      <c r="AE12" s="327"/>
      <c r="AF12" s="327"/>
      <c r="AG12" s="327"/>
      <c r="AH12" s="327"/>
      <c r="AI12" s="327"/>
      <c r="AJ12" s="327"/>
      <c r="AK12" s="327"/>
      <c r="AL12" s="327"/>
      <c r="AM12" s="327"/>
      <c r="AN12" s="327"/>
      <c r="AO12" s="327"/>
      <c r="AP12" s="327"/>
      <c r="AQ12" s="327"/>
      <c r="AR12" s="327"/>
      <c r="AS12" s="327"/>
      <c r="AT12" s="327"/>
      <c r="AU12" s="327"/>
      <c r="AV12" s="327"/>
      <c r="AW12" s="327"/>
      <c r="AX12" s="327"/>
      <c r="AY12" s="327"/>
      <c r="AZ12" s="327"/>
    </row>
    <row r="13" spans="1:52">
      <c r="L13" s="325">
        <f t="shared" si="1"/>
        <v>10</v>
      </c>
      <c r="M13" s="328">
        <f t="shared" si="2"/>
        <v>2.0833333333333332E-2</v>
      </c>
      <c r="N13" s="329">
        <f t="shared" si="0"/>
        <v>-0.92307692307692313</v>
      </c>
      <c r="O13" s="327"/>
      <c r="P13" s="327"/>
      <c r="Q13" s="327"/>
      <c r="R13" s="327"/>
      <c r="S13" s="327"/>
      <c r="U13" s="327"/>
      <c r="W13" s="327"/>
      <c r="X13" s="327"/>
      <c r="Y13" s="327"/>
      <c r="Z13" s="327"/>
      <c r="AA13" s="327"/>
      <c r="AB13" s="327"/>
      <c r="AC13" s="327"/>
      <c r="AD13" s="327"/>
      <c r="AE13" s="327"/>
      <c r="AF13" s="327"/>
      <c r="AG13" s="327"/>
      <c r="AH13" s="327"/>
      <c r="AI13" s="327"/>
      <c r="AJ13" s="327"/>
      <c r="AK13" s="327"/>
      <c r="AL13" s="327"/>
      <c r="AM13" s="327"/>
      <c r="AN13" s="327"/>
      <c r="AO13" s="327"/>
      <c r="AP13" s="327"/>
      <c r="AQ13" s="327"/>
      <c r="AR13" s="327"/>
      <c r="AS13" s="327"/>
      <c r="AT13" s="327"/>
      <c r="AU13" s="327"/>
      <c r="AV13" s="327"/>
      <c r="AW13" s="327"/>
      <c r="AX13" s="327"/>
      <c r="AY13" s="327"/>
      <c r="AZ13" s="327"/>
    </row>
    <row r="14" spans="1:52">
      <c r="L14" s="325">
        <f t="shared" si="1"/>
        <v>11</v>
      </c>
      <c r="M14" s="328">
        <f t="shared" si="2"/>
        <v>2.2916666666666665E-2</v>
      </c>
      <c r="N14" s="329">
        <f t="shared" si="0"/>
        <v>-0.90000000000000013</v>
      </c>
      <c r="O14" s="327"/>
      <c r="P14" s="327"/>
      <c r="Q14" s="327"/>
      <c r="R14" s="327"/>
      <c r="S14" s="327"/>
      <c r="U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7"/>
      <c r="AT14" s="327"/>
      <c r="AU14" s="327"/>
      <c r="AV14" s="327"/>
      <c r="AW14" s="327"/>
      <c r="AX14" s="327"/>
      <c r="AY14" s="327"/>
      <c r="AZ14" s="327"/>
    </row>
    <row r="15" spans="1:52">
      <c r="L15" s="325">
        <f t="shared" si="1"/>
        <v>12</v>
      </c>
      <c r="M15" s="328">
        <f t="shared" si="2"/>
        <v>2.4999999999999998E-2</v>
      </c>
      <c r="N15" s="329">
        <f t="shared" si="0"/>
        <v>-0.87692307692307703</v>
      </c>
      <c r="O15" s="327"/>
      <c r="P15" s="327"/>
      <c r="Q15" s="327"/>
      <c r="R15" s="327"/>
      <c r="S15" s="327"/>
      <c r="U15" s="328"/>
      <c r="W15" s="327"/>
      <c r="X15" s="327"/>
      <c r="Y15" s="327"/>
      <c r="Z15" s="327"/>
      <c r="AA15" s="327"/>
      <c r="AB15" s="327"/>
      <c r="AC15" s="327"/>
      <c r="AD15" s="327"/>
      <c r="AE15" s="327"/>
      <c r="AF15" s="327"/>
      <c r="AG15" s="327"/>
      <c r="AH15" s="327"/>
      <c r="AI15" s="327"/>
      <c r="AJ15" s="327"/>
      <c r="AK15" s="327"/>
      <c r="AL15" s="327"/>
      <c r="AM15" s="327"/>
      <c r="AN15" s="327"/>
      <c r="AO15" s="327"/>
      <c r="AP15" s="327"/>
      <c r="AQ15" s="327"/>
      <c r="AR15" s="327"/>
      <c r="AS15" s="327"/>
      <c r="AT15" s="327"/>
      <c r="AU15" s="327"/>
      <c r="AV15" s="327"/>
      <c r="AW15" s="327"/>
      <c r="AX15" s="327"/>
      <c r="AY15" s="327"/>
      <c r="AZ15" s="327"/>
    </row>
    <row r="16" spans="1:52">
      <c r="A16" s="325" t="s">
        <v>795</v>
      </c>
      <c r="L16" s="325">
        <f t="shared" si="1"/>
        <v>13</v>
      </c>
      <c r="M16" s="328">
        <f t="shared" si="2"/>
        <v>2.7083333333333331E-2</v>
      </c>
      <c r="N16" s="329">
        <f t="shared" si="0"/>
        <v>-0.85384615384615392</v>
      </c>
      <c r="O16" s="327"/>
      <c r="P16" s="327"/>
      <c r="Q16" s="327"/>
      <c r="R16" s="327"/>
      <c r="S16" s="327"/>
      <c r="U16" s="326"/>
      <c r="W16" s="327"/>
      <c r="X16" s="327"/>
      <c r="Y16" s="327"/>
      <c r="Z16" s="327"/>
      <c r="AA16" s="327"/>
      <c r="AB16" s="327"/>
      <c r="AC16" s="327"/>
      <c r="AD16" s="327"/>
      <c r="AE16" s="327"/>
      <c r="AF16" s="327"/>
      <c r="AG16" s="327"/>
      <c r="AH16" s="327"/>
      <c r="AI16" s="327"/>
      <c r="AJ16" s="327"/>
      <c r="AK16" s="327"/>
      <c r="AL16" s="327"/>
      <c r="AM16" s="327"/>
      <c r="AN16" s="327"/>
      <c r="AO16" s="327"/>
      <c r="AP16" s="327"/>
      <c r="AQ16" s="327"/>
      <c r="AR16" s="327"/>
      <c r="AS16" s="327"/>
      <c r="AT16" s="327"/>
      <c r="AU16" s="327"/>
      <c r="AV16" s="327"/>
      <c r="AW16" s="327"/>
      <c r="AX16" s="327"/>
      <c r="AY16" s="327"/>
      <c r="AZ16" s="327"/>
    </row>
    <row r="17" spans="1:52">
      <c r="L17" s="325">
        <f t="shared" si="1"/>
        <v>14</v>
      </c>
      <c r="M17" s="328">
        <f t="shared" si="2"/>
        <v>2.9166666666666664E-2</v>
      </c>
      <c r="N17" s="329">
        <f t="shared" si="0"/>
        <v>-0.83076923076923093</v>
      </c>
      <c r="O17" s="327"/>
      <c r="P17" s="327"/>
      <c r="Q17" s="327"/>
      <c r="R17" s="327"/>
      <c r="S17" s="327"/>
      <c r="U17" s="326"/>
      <c r="W17" s="327"/>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7"/>
      <c r="AY17" s="327"/>
      <c r="AZ17" s="327"/>
    </row>
    <row r="18" spans="1:52">
      <c r="L18" s="325">
        <f t="shared" si="1"/>
        <v>15</v>
      </c>
      <c r="M18" s="328">
        <f t="shared" si="2"/>
        <v>3.1249999999999997E-2</v>
      </c>
      <c r="N18" s="329">
        <f t="shared" si="0"/>
        <v>-0.80769230769230782</v>
      </c>
      <c r="O18" s="327"/>
      <c r="P18" s="327"/>
      <c r="Q18" s="327"/>
      <c r="R18" s="327"/>
      <c r="S18" s="327"/>
      <c r="U18" s="326"/>
      <c r="W18" s="327"/>
      <c r="X18" s="327"/>
      <c r="Y18" s="327"/>
      <c r="Z18" s="327"/>
      <c r="AA18" s="327"/>
      <c r="AB18" s="327"/>
      <c r="AC18" s="327"/>
      <c r="AD18" s="327"/>
      <c r="AE18" s="327"/>
      <c r="AF18" s="327"/>
      <c r="AG18" s="327"/>
      <c r="AH18" s="327"/>
      <c r="AI18" s="327"/>
      <c r="AJ18" s="327"/>
      <c r="AK18" s="327"/>
      <c r="AL18" s="327"/>
      <c r="AM18" s="327"/>
      <c r="AN18" s="327"/>
      <c r="AO18" s="327"/>
      <c r="AP18" s="327"/>
      <c r="AQ18" s="327"/>
      <c r="AR18" s="327"/>
      <c r="AS18" s="327"/>
      <c r="AT18" s="327"/>
      <c r="AU18" s="327"/>
      <c r="AV18" s="327"/>
      <c r="AW18" s="327"/>
      <c r="AX18" s="327"/>
      <c r="AY18" s="327"/>
      <c r="AZ18" s="327"/>
    </row>
    <row r="19" spans="1:52">
      <c r="L19" s="325">
        <f t="shared" si="1"/>
        <v>16</v>
      </c>
      <c r="M19" s="328">
        <f t="shared" si="2"/>
        <v>3.3333333333333333E-2</v>
      </c>
      <c r="N19" s="329">
        <f t="shared" si="0"/>
        <v>-0.78461538461538471</v>
      </c>
      <c r="O19" s="327"/>
      <c r="P19" s="327"/>
      <c r="Q19" s="327"/>
      <c r="R19" s="327"/>
      <c r="S19" s="327"/>
      <c r="U19" s="328"/>
      <c r="W19" s="327"/>
      <c r="X19" s="327"/>
      <c r="Y19" s="327"/>
      <c r="Z19" s="327"/>
      <c r="AA19" s="327"/>
      <c r="AB19" s="327"/>
      <c r="AC19" s="327"/>
      <c r="AD19" s="327"/>
      <c r="AE19" s="327"/>
      <c r="AF19" s="327"/>
      <c r="AG19" s="327"/>
      <c r="AH19" s="327"/>
      <c r="AI19" s="327"/>
      <c r="AJ19" s="327"/>
      <c r="AK19" s="327"/>
      <c r="AL19" s="327"/>
      <c r="AM19" s="327"/>
      <c r="AN19" s="327"/>
      <c r="AO19" s="327"/>
      <c r="AP19" s="327"/>
      <c r="AQ19" s="327"/>
      <c r="AR19" s="327"/>
      <c r="AS19" s="327"/>
      <c r="AT19" s="327"/>
      <c r="AU19" s="327"/>
      <c r="AV19" s="327"/>
      <c r="AW19" s="327"/>
      <c r="AX19" s="327"/>
      <c r="AY19" s="327"/>
      <c r="AZ19" s="327"/>
    </row>
    <row r="20" spans="1:52">
      <c r="L20" s="325">
        <f t="shared" si="1"/>
        <v>17</v>
      </c>
      <c r="M20" s="328">
        <f t="shared" si="2"/>
        <v>3.5416666666666666E-2</v>
      </c>
      <c r="N20" s="329">
        <f t="shared" si="0"/>
        <v>-0.76153846153846161</v>
      </c>
      <c r="O20" s="327"/>
      <c r="P20" s="327"/>
      <c r="Q20" s="327"/>
      <c r="R20" s="327"/>
      <c r="S20" s="327"/>
      <c r="U20" s="328"/>
      <c r="W20" s="327"/>
      <c r="X20" s="327"/>
      <c r="Y20" s="327"/>
      <c r="Z20" s="327"/>
      <c r="AA20" s="327"/>
      <c r="AB20" s="327"/>
      <c r="AC20" s="327"/>
      <c r="AD20" s="327"/>
      <c r="AE20" s="327"/>
      <c r="AF20" s="327"/>
      <c r="AG20" s="327"/>
      <c r="AH20" s="327"/>
      <c r="AI20" s="327"/>
      <c r="AJ20" s="327"/>
      <c r="AK20" s="327"/>
      <c r="AL20" s="327"/>
      <c r="AM20" s="327"/>
      <c r="AN20" s="327"/>
      <c r="AO20" s="327"/>
      <c r="AP20" s="327"/>
      <c r="AQ20" s="327"/>
      <c r="AR20" s="327"/>
      <c r="AS20" s="327"/>
      <c r="AT20" s="327"/>
      <c r="AU20" s="327"/>
      <c r="AV20" s="327"/>
      <c r="AW20" s="327"/>
      <c r="AX20" s="327"/>
      <c r="AY20" s="327"/>
      <c r="AZ20" s="327"/>
    </row>
    <row r="21" spans="1:52">
      <c r="L21" s="325">
        <f t="shared" si="1"/>
        <v>18</v>
      </c>
      <c r="M21" s="328">
        <f t="shared" si="2"/>
        <v>3.7499999999999999E-2</v>
      </c>
      <c r="N21" s="329">
        <f t="shared" si="0"/>
        <v>-0.7384615384615385</v>
      </c>
      <c r="O21" s="327"/>
      <c r="P21" s="327"/>
      <c r="Q21" s="327"/>
      <c r="R21" s="327"/>
      <c r="S21" s="327"/>
      <c r="U21" s="328"/>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row>
    <row r="22" spans="1:52">
      <c r="L22" s="325">
        <f t="shared" si="1"/>
        <v>19</v>
      </c>
      <c r="M22" s="328">
        <f t="shared" si="2"/>
        <v>3.9583333333333331E-2</v>
      </c>
      <c r="N22" s="329">
        <f t="shared" si="0"/>
        <v>-0.71538461538461551</v>
      </c>
      <c r="O22" s="327"/>
      <c r="P22" s="327"/>
      <c r="Q22" s="327"/>
      <c r="R22" s="327"/>
      <c r="S22" s="327"/>
      <c r="U22" s="328"/>
      <c r="W22" s="327"/>
      <c r="X22" s="327"/>
      <c r="Y22" s="327"/>
      <c r="Z22" s="327"/>
      <c r="AA22" s="327"/>
      <c r="AB22" s="327"/>
      <c r="AC22" s="327"/>
      <c r="AD22" s="327"/>
      <c r="AE22" s="327"/>
      <c r="AF22" s="327"/>
      <c r="AG22" s="327"/>
      <c r="AH22" s="327"/>
      <c r="AI22" s="327"/>
      <c r="AJ22" s="327"/>
      <c r="AK22" s="327"/>
      <c r="AL22" s="327"/>
      <c r="AM22" s="327"/>
      <c r="AN22" s="327"/>
      <c r="AO22" s="327"/>
      <c r="AP22" s="327"/>
      <c r="AQ22" s="327"/>
      <c r="AR22" s="327"/>
      <c r="AS22" s="327"/>
      <c r="AT22" s="327"/>
      <c r="AU22" s="327"/>
      <c r="AV22" s="327"/>
      <c r="AW22" s="327"/>
      <c r="AX22" s="327"/>
      <c r="AY22" s="327"/>
      <c r="AZ22" s="327"/>
    </row>
    <row r="23" spans="1:52">
      <c r="L23" s="325">
        <f t="shared" si="1"/>
        <v>20</v>
      </c>
      <c r="M23" s="328">
        <f t="shared" si="2"/>
        <v>4.1666666666666664E-2</v>
      </c>
      <c r="N23" s="329">
        <f t="shared" si="0"/>
        <v>-0.6923076923076924</v>
      </c>
      <c r="O23" s="327"/>
      <c r="P23" s="327"/>
      <c r="Q23" s="327"/>
      <c r="R23" s="327"/>
      <c r="S23" s="327"/>
      <c r="U23" s="328"/>
      <c r="W23" s="327"/>
      <c r="X23" s="327"/>
      <c r="Y23" s="327"/>
      <c r="Z23" s="327"/>
      <c r="AA23" s="327"/>
      <c r="AB23" s="327"/>
      <c r="AC23" s="327"/>
      <c r="AD23" s="327"/>
      <c r="AE23" s="327"/>
      <c r="AF23" s="327"/>
      <c r="AG23" s="327"/>
      <c r="AH23" s="327"/>
      <c r="AI23" s="327"/>
      <c r="AJ23" s="327"/>
      <c r="AK23" s="327"/>
      <c r="AL23" s="327"/>
      <c r="AM23" s="327"/>
      <c r="AN23" s="327"/>
      <c r="AO23" s="327"/>
      <c r="AP23" s="327"/>
      <c r="AQ23" s="327"/>
      <c r="AR23" s="327"/>
      <c r="AS23" s="327"/>
      <c r="AT23" s="327"/>
      <c r="AU23" s="327"/>
      <c r="AV23" s="327"/>
      <c r="AW23" s="327"/>
      <c r="AX23" s="327"/>
      <c r="AY23" s="327"/>
      <c r="AZ23" s="327"/>
    </row>
    <row r="24" spans="1:52">
      <c r="L24" s="325">
        <f t="shared" si="1"/>
        <v>21</v>
      </c>
      <c r="M24" s="328">
        <f t="shared" si="2"/>
        <v>4.3749999999999997E-2</v>
      </c>
      <c r="N24" s="329">
        <f t="shared" si="0"/>
        <v>-0.6692307692307693</v>
      </c>
      <c r="O24" s="327"/>
      <c r="P24" s="327"/>
      <c r="Q24" s="327"/>
      <c r="R24" s="327"/>
      <c r="S24" s="327"/>
      <c r="U24" s="328"/>
      <c r="W24" s="327"/>
      <c r="X24" s="327"/>
      <c r="Y24" s="327"/>
      <c r="Z24" s="327"/>
      <c r="AA24" s="327"/>
      <c r="AB24" s="327"/>
      <c r="AC24" s="327"/>
      <c r="AD24" s="327"/>
      <c r="AE24" s="327"/>
      <c r="AF24" s="327"/>
      <c r="AG24" s="327"/>
      <c r="AH24" s="327"/>
      <c r="AI24" s="327"/>
      <c r="AJ24" s="327"/>
      <c r="AK24" s="327"/>
      <c r="AL24" s="327"/>
      <c r="AM24" s="327"/>
      <c r="AN24" s="327"/>
      <c r="AO24" s="327"/>
      <c r="AP24" s="327"/>
      <c r="AQ24" s="327"/>
      <c r="AR24" s="327"/>
      <c r="AS24" s="327"/>
      <c r="AT24" s="327"/>
      <c r="AU24" s="327"/>
      <c r="AV24" s="327"/>
      <c r="AW24" s="327"/>
      <c r="AX24" s="327"/>
      <c r="AY24" s="327"/>
      <c r="AZ24" s="327"/>
    </row>
    <row r="25" spans="1:52">
      <c r="A25" s="325" t="s">
        <v>796</v>
      </c>
      <c r="B25" s="325" t="str">
        <f>'DCDC Ref'!J23</f>
        <v>Buck</v>
      </c>
      <c r="L25" s="325">
        <f t="shared" si="1"/>
        <v>22</v>
      </c>
      <c r="M25" s="328">
        <f t="shared" si="2"/>
        <v>4.583333333333333E-2</v>
      </c>
      <c r="N25" s="329">
        <f t="shared" si="0"/>
        <v>-0.64615384615384619</v>
      </c>
      <c r="O25" s="327"/>
      <c r="P25" s="327"/>
      <c r="Q25" s="327"/>
      <c r="R25" s="327"/>
      <c r="S25" s="327"/>
      <c r="U25" s="328"/>
      <c r="W25" s="327"/>
      <c r="X25" s="327"/>
      <c r="Y25" s="327"/>
      <c r="Z25" s="327"/>
      <c r="AA25" s="327"/>
      <c r="AB25" s="327"/>
      <c r="AC25" s="327"/>
      <c r="AD25" s="327"/>
      <c r="AE25" s="327"/>
      <c r="AF25" s="327"/>
      <c r="AG25" s="327"/>
      <c r="AH25" s="327"/>
      <c r="AI25" s="327"/>
      <c r="AJ25" s="327"/>
      <c r="AK25" s="327"/>
      <c r="AL25" s="327"/>
      <c r="AM25" s="327"/>
      <c r="AN25" s="327"/>
      <c r="AO25" s="327"/>
      <c r="AP25" s="327"/>
      <c r="AQ25" s="327"/>
      <c r="AR25" s="327"/>
      <c r="AS25" s="327"/>
      <c r="AT25" s="327"/>
      <c r="AU25" s="327"/>
      <c r="AV25" s="327"/>
      <c r="AW25" s="327"/>
      <c r="AX25" s="327"/>
      <c r="AY25" s="327"/>
      <c r="AZ25" s="327"/>
    </row>
    <row r="26" spans="1:52">
      <c r="A26" s="330" t="s">
        <v>797</v>
      </c>
      <c r="B26" s="325">
        <f>'DCDC Ref'!J21</f>
        <v>12</v>
      </c>
      <c r="C26" s="325" t="s">
        <v>234</v>
      </c>
      <c r="E26" s="330"/>
      <c r="F26" s="327"/>
      <c r="L26" s="325">
        <f t="shared" si="1"/>
        <v>23</v>
      </c>
      <c r="M26" s="328">
        <f t="shared" si="2"/>
        <v>4.7916666666666663E-2</v>
      </c>
      <c r="N26" s="329">
        <f t="shared" si="0"/>
        <v>-0.62307692307692319</v>
      </c>
      <c r="O26" s="327"/>
      <c r="P26" s="327"/>
      <c r="Q26" s="327"/>
      <c r="R26" s="327"/>
      <c r="S26" s="327"/>
      <c r="U26" s="328"/>
      <c r="W26" s="327"/>
      <c r="X26" s="327"/>
      <c r="Y26" s="327"/>
      <c r="Z26" s="327"/>
      <c r="AA26" s="327"/>
      <c r="AB26" s="327"/>
      <c r="AC26" s="327"/>
      <c r="AD26" s="327"/>
      <c r="AE26" s="327"/>
      <c r="AF26" s="327"/>
      <c r="AG26" s="327"/>
      <c r="AH26" s="327"/>
      <c r="AI26" s="327"/>
      <c r="AJ26" s="327"/>
      <c r="AK26" s="327"/>
      <c r="AL26" s="327"/>
      <c r="AM26" s="327"/>
      <c r="AN26" s="327"/>
      <c r="AO26" s="327"/>
      <c r="AP26" s="327"/>
      <c r="AQ26" s="327"/>
      <c r="AR26" s="327"/>
      <c r="AS26" s="327"/>
      <c r="AT26" s="327"/>
      <c r="AU26" s="327"/>
      <c r="AV26" s="327"/>
      <c r="AW26" s="327"/>
      <c r="AX26" s="327"/>
      <c r="AY26" s="327"/>
      <c r="AZ26" s="327"/>
    </row>
    <row r="27" spans="1:52">
      <c r="A27" s="330" t="s">
        <v>798</v>
      </c>
      <c r="B27" s="325">
        <f>'DCDC Ref'!J22</f>
        <v>5</v>
      </c>
      <c r="C27" s="325" t="s">
        <v>234</v>
      </c>
      <c r="E27" s="330"/>
      <c r="F27" s="327"/>
      <c r="L27" s="325">
        <f t="shared" si="1"/>
        <v>24</v>
      </c>
      <c r="M27" s="328">
        <f t="shared" si="2"/>
        <v>4.9999999999999996E-2</v>
      </c>
      <c r="N27" s="329">
        <f t="shared" si="0"/>
        <v>-0.60000000000000009</v>
      </c>
      <c r="O27" s="327"/>
      <c r="P27" s="327"/>
      <c r="Q27" s="327"/>
      <c r="R27" s="327"/>
      <c r="S27" s="327"/>
      <c r="U27" s="328"/>
      <c r="W27" s="327"/>
      <c r="X27" s="327"/>
      <c r="Y27" s="327"/>
      <c r="Z27" s="327"/>
      <c r="AA27" s="327"/>
      <c r="AB27" s="327"/>
      <c r="AC27" s="327"/>
      <c r="AD27" s="327"/>
      <c r="AE27" s="327"/>
      <c r="AF27" s="327"/>
      <c r="AG27" s="327"/>
      <c r="AH27" s="327"/>
      <c r="AI27" s="327"/>
      <c r="AJ27" s="327"/>
      <c r="AK27" s="327"/>
      <c r="AL27" s="327"/>
      <c r="AM27" s="327"/>
      <c r="AN27" s="327"/>
      <c r="AO27" s="327"/>
      <c r="AP27" s="327"/>
      <c r="AQ27" s="327"/>
      <c r="AR27" s="327"/>
      <c r="AS27" s="327"/>
      <c r="AT27" s="327"/>
      <c r="AU27" s="327"/>
      <c r="AV27" s="327"/>
      <c r="AW27" s="327"/>
      <c r="AX27" s="327"/>
      <c r="AY27" s="327"/>
      <c r="AZ27" s="327"/>
    </row>
    <row r="28" spans="1:52">
      <c r="A28" s="330" t="s">
        <v>799</v>
      </c>
      <c r="B28" s="325">
        <f>'DCDC Ref'!J30</f>
        <v>0.63194444444444442</v>
      </c>
      <c r="C28" s="325" t="s">
        <v>800</v>
      </c>
      <c r="E28" s="330"/>
      <c r="F28" s="327"/>
      <c r="L28" s="325">
        <f t="shared" si="1"/>
        <v>25</v>
      </c>
      <c r="M28" s="328">
        <f t="shared" si="2"/>
        <v>5.2083333333333329E-2</v>
      </c>
      <c r="N28" s="329">
        <f t="shared" si="0"/>
        <v>-0.57692307692307698</v>
      </c>
      <c r="O28" s="327"/>
      <c r="P28" s="327"/>
      <c r="Q28" s="327"/>
      <c r="R28" s="327"/>
      <c r="S28" s="327"/>
      <c r="U28" s="328"/>
      <c r="W28" s="327"/>
      <c r="X28" s="327"/>
      <c r="Y28" s="327"/>
      <c r="Z28" s="327"/>
      <c r="AA28" s="327"/>
      <c r="AB28" s="327"/>
      <c r="AC28" s="327"/>
      <c r="AD28" s="327"/>
      <c r="AE28" s="327"/>
      <c r="AF28" s="327"/>
      <c r="AG28" s="327"/>
      <c r="AH28" s="327"/>
      <c r="AI28" s="327"/>
      <c r="AJ28" s="327"/>
      <c r="AK28" s="327"/>
      <c r="AL28" s="327"/>
      <c r="AM28" s="327"/>
      <c r="AN28" s="327"/>
      <c r="AO28" s="327"/>
      <c r="AP28" s="327"/>
      <c r="AQ28" s="327"/>
      <c r="AR28" s="327"/>
      <c r="AS28" s="327"/>
      <c r="AT28" s="327"/>
      <c r="AU28" s="327"/>
      <c r="AV28" s="327"/>
      <c r="AW28" s="327"/>
      <c r="AX28" s="327"/>
      <c r="AY28" s="327"/>
      <c r="AZ28" s="327"/>
    </row>
    <row r="29" spans="1:52">
      <c r="A29" s="330" t="s">
        <v>801</v>
      </c>
      <c r="B29" s="325">
        <f>'DCDC Ref'!J25</f>
        <v>2000</v>
      </c>
      <c r="C29" s="325" t="s">
        <v>802</v>
      </c>
      <c r="L29" s="325">
        <f t="shared" si="1"/>
        <v>26</v>
      </c>
      <c r="M29" s="328">
        <f t="shared" si="2"/>
        <v>5.4166666666666662E-2</v>
      </c>
      <c r="N29" s="329">
        <f t="shared" si="0"/>
        <v>-0.55384615384615399</v>
      </c>
      <c r="O29" s="327"/>
      <c r="P29" s="327"/>
      <c r="Q29" s="327"/>
      <c r="R29" s="327"/>
      <c r="S29" s="327"/>
      <c r="U29" s="328"/>
      <c r="W29" s="327"/>
      <c r="X29" s="327"/>
      <c r="Y29" s="327"/>
      <c r="Z29" s="327"/>
      <c r="AA29" s="327"/>
      <c r="AB29" s="327"/>
      <c r="AC29" s="327"/>
      <c r="AD29" s="327"/>
      <c r="AE29" s="327"/>
      <c r="AF29" s="327"/>
      <c r="AG29" s="327"/>
      <c r="AH29" s="327"/>
      <c r="AI29" s="327"/>
      <c r="AJ29" s="327"/>
      <c r="AK29" s="327"/>
      <c r="AL29" s="327"/>
      <c r="AM29" s="327"/>
      <c r="AN29" s="327"/>
      <c r="AO29" s="327"/>
      <c r="AP29" s="327"/>
      <c r="AQ29" s="327"/>
      <c r="AR29" s="327"/>
      <c r="AS29" s="327"/>
      <c r="AT29" s="327"/>
      <c r="AU29" s="327"/>
      <c r="AV29" s="327"/>
      <c r="AW29" s="327"/>
      <c r="AX29" s="327"/>
      <c r="AY29" s="327"/>
      <c r="AZ29" s="327"/>
    </row>
    <row r="30" spans="1:52">
      <c r="A30" s="330" t="s">
        <v>803</v>
      </c>
      <c r="B30" s="325">
        <f>'DCDC Ref'!J24</f>
        <v>10</v>
      </c>
      <c r="C30" s="325" t="s">
        <v>243</v>
      </c>
      <c r="E30" s="330"/>
      <c r="F30" s="326"/>
      <c r="L30" s="325">
        <f t="shared" si="1"/>
        <v>27</v>
      </c>
      <c r="M30" s="328">
        <f t="shared" si="2"/>
        <v>5.6249999999999994E-2</v>
      </c>
      <c r="N30" s="329">
        <f t="shared" si="0"/>
        <v>-0.53076923076923088</v>
      </c>
      <c r="O30" s="327"/>
      <c r="P30" s="327"/>
      <c r="Q30" s="327"/>
      <c r="R30" s="327"/>
      <c r="S30" s="327"/>
      <c r="U30" s="328"/>
      <c r="W30" s="327"/>
      <c r="X30" s="327"/>
      <c r="Y30" s="327"/>
      <c r="Z30" s="327"/>
      <c r="AA30" s="327"/>
      <c r="AB30" s="327"/>
      <c r="AC30" s="327"/>
      <c r="AD30" s="327"/>
      <c r="AE30" s="327"/>
      <c r="AF30" s="327"/>
      <c r="AG30" s="327"/>
      <c r="AH30" s="327"/>
      <c r="AI30" s="327"/>
      <c r="AJ30" s="327"/>
      <c r="AK30" s="327"/>
      <c r="AL30" s="327"/>
      <c r="AM30" s="327"/>
      <c r="AN30" s="327"/>
      <c r="AO30" s="327"/>
      <c r="AP30" s="327"/>
      <c r="AQ30" s="327"/>
      <c r="AR30" s="327"/>
      <c r="AS30" s="327"/>
      <c r="AT30" s="327"/>
      <c r="AU30" s="327"/>
      <c r="AV30" s="327"/>
      <c r="AW30" s="327"/>
      <c r="AX30" s="327"/>
      <c r="AY30" s="327"/>
      <c r="AZ30" s="327"/>
    </row>
    <row r="31" spans="1:52">
      <c r="A31" s="330"/>
      <c r="E31" s="330"/>
      <c r="F31" s="327"/>
      <c r="L31" s="325">
        <f t="shared" si="1"/>
        <v>28</v>
      </c>
      <c r="M31" s="328">
        <f t="shared" si="2"/>
        <v>5.8333333333333327E-2</v>
      </c>
      <c r="N31" s="329">
        <f t="shared" si="0"/>
        <v>-0.50769230769230778</v>
      </c>
      <c r="O31" s="327"/>
      <c r="P31" s="327"/>
      <c r="Q31" s="327"/>
      <c r="R31" s="327"/>
      <c r="S31" s="327"/>
      <c r="U31" s="328"/>
      <c r="W31" s="327"/>
      <c r="X31" s="327"/>
      <c r="Y31" s="327"/>
      <c r="Z31" s="327"/>
      <c r="AA31" s="327"/>
      <c r="AB31" s="327"/>
      <c r="AC31" s="327"/>
      <c r="AD31" s="327"/>
      <c r="AE31" s="327"/>
      <c r="AF31" s="327"/>
      <c r="AG31" s="327"/>
      <c r="AH31" s="327"/>
      <c r="AI31" s="327"/>
      <c r="AJ31" s="327"/>
      <c r="AK31" s="327"/>
      <c r="AL31" s="327"/>
      <c r="AM31" s="327"/>
      <c r="AN31" s="327"/>
      <c r="AO31" s="327"/>
      <c r="AP31" s="327"/>
      <c r="AQ31" s="327"/>
      <c r="AR31" s="327"/>
      <c r="AS31" s="327"/>
      <c r="AT31" s="327"/>
      <c r="AU31" s="327"/>
      <c r="AV31" s="327"/>
      <c r="AW31" s="327"/>
      <c r="AX31" s="327"/>
      <c r="AY31" s="327"/>
      <c r="AZ31" s="327"/>
    </row>
    <row r="32" spans="1:52">
      <c r="L32" s="325">
        <f t="shared" si="1"/>
        <v>29</v>
      </c>
      <c r="M32" s="328">
        <f t="shared" si="2"/>
        <v>6.041666666666666E-2</v>
      </c>
      <c r="N32" s="329">
        <f t="shared" si="0"/>
        <v>-0.48461538461538467</v>
      </c>
      <c r="O32" s="327"/>
      <c r="P32" s="327"/>
      <c r="Q32" s="327"/>
      <c r="R32" s="327"/>
      <c r="S32" s="327"/>
      <c r="U32" s="328"/>
      <c r="W32" s="327"/>
      <c r="X32" s="327"/>
      <c r="Y32" s="327"/>
      <c r="Z32" s="327"/>
      <c r="AA32" s="327"/>
      <c r="AB32" s="327"/>
      <c r="AC32" s="327"/>
      <c r="AD32" s="327"/>
      <c r="AE32" s="327"/>
      <c r="AF32" s="327"/>
      <c r="AG32" s="327"/>
      <c r="AH32" s="327"/>
      <c r="AI32" s="327"/>
      <c r="AJ32" s="327"/>
      <c r="AK32" s="327"/>
      <c r="AL32" s="327"/>
      <c r="AM32" s="327"/>
      <c r="AN32" s="327"/>
      <c r="AO32" s="327"/>
      <c r="AP32" s="327"/>
      <c r="AQ32" s="327"/>
      <c r="AR32" s="327"/>
      <c r="AS32" s="327"/>
      <c r="AT32" s="327"/>
      <c r="AU32" s="327"/>
      <c r="AV32" s="327"/>
      <c r="AW32" s="327"/>
      <c r="AX32" s="327"/>
      <c r="AY32" s="327"/>
      <c r="AZ32" s="327"/>
    </row>
    <row r="33" spans="1:52">
      <c r="A33" s="330" t="s">
        <v>804</v>
      </c>
      <c r="B33" s="328">
        <f>IF(B25="Buck",B27/B26,(B27-B26)/B27)</f>
        <v>0.41666666666666669</v>
      </c>
      <c r="E33" s="330"/>
      <c r="F33" s="326"/>
      <c r="L33" s="325">
        <f t="shared" si="1"/>
        <v>30</v>
      </c>
      <c r="M33" s="328">
        <f t="shared" si="2"/>
        <v>6.2499999999999993E-2</v>
      </c>
      <c r="N33" s="329">
        <f t="shared" si="0"/>
        <v>-0.46153846153846168</v>
      </c>
      <c r="O33" s="327"/>
      <c r="P33" s="327"/>
      <c r="Q33" s="327"/>
      <c r="R33" s="327"/>
      <c r="S33" s="327"/>
      <c r="U33" s="328"/>
      <c r="W33" s="327"/>
      <c r="X33" s="327"/>
      <c r="Y33" s="327"/>
      <c r="Z33" s="327"/>
      <c r="AA33" s="327"/>
      <c r="AB33" s="327"/>
      <c r="AC33" s="327"/>
      <c r="AD33" s="327"/>
      <c r="AE33" s="327"/>
      <c r="AF33" s="327"/>
      <c r="AG33" s="327"/>
      <c r="AH33" s="327"/>
      <c r="AI33" s="327"/>
      <c r="AJ33" s="327"/>
      <c r="AK33" s="327"/>
      <c r="AL33" s="327"/>
      <c r="AM33" s="327"/>
      <c r="AN33" s="327"/>
      <c r="AO33" s="327"/>
      <c r="AP33" s="327"/>
      <c r="AQ33" s="327"/>
      <c r="AR33" s="327"/>
      <c r="AS33" s="327"/>
      <c r="AT33" s="327"/>
      <c r="AU33" s="327"/>
      <c r="AV33" s="327"/>
      <c r="AW33" s="327"/>
      <c r="AX33" s="327"/>
      <c r="AY33" s="327"/>
      <c r="AZ33" s="327"/>
    </row>
    <row r="34" spans="1:52">
      <c r="A34" s="330" t="s">
        <v>805</v>
      </c>
      <c r="B34" s="326">
        <f>IF(B25="Buck",(B26-B27)*B33/(B28*10^-6*B29*10^3),B26*B33/(B28*10^-6*B29*10^3))</f>
        <v>2.3076923076923079</v>
      </c>
      <c r="C34" s="325" t="s">
        <v>243</v>
      </c>
      <c r="E34" s="330"/>
      <c r="F34" s="326"/>
      <c r="L34" s="325">
        <f t="shared" si="1"/>
        <v>31</v>
      </c>
      <c r="M34" s="328">
        <f t="shared" si="2"/>
        <v>6.4583333333333326E-2</v>
      </c>
      <c r="N34" s="329">
        <f t="shared" si="0"/>
        <v>-0.43846153846153857</v>
      </c>
      <c r="O34" s="327"/>
      <c r="P34" s="327"/>
      <c r="Q34" s="327"/>
      <c r="R34" s="327"/>
      <c r="S34" s="327"/>
      <c r="U34" s="328"/>
      <c r="W34" s="327"/>
      <c r="X34" s="327"/>
      <c r="Y34" s="327"/>
      <c r="Z34" s="327"/>
      <c r="AA34" s="327"/>
      <c r="AB34" s="327"/>
      <c r="AC34" s="327"/>
      <c r="AD34" s="327"/>
      <c r="AE34" s="327"/>
      <c r="AF34" s="327"/>
      <c r="AG34" s="327"/>
      <c r="AH34" s="327"/>
      <c r="AI34" s="327"/>
      <c r="AJ34" s="327"/>
      <c r="AK34" s="327"/>
      <c r="AL34" s="327"/>
      <c r="AM34" s="327"/>
      <c r="AN34" s="327"/>
      <c r="AO34" s="327"/>
      <c r="AP34" s="327"/>
      <c r="AQ34" s="327"/>
      <c r="AR34" s="327"/>
      <c r="AS34" s="327"/>
      <c r="AT34" s="327"/>
      <c r="AU34" s="327"/>
      <c r="AV34" s="327"/>
      <c r="AW34" s="327"/>
      <c r="AX34" s="327"/>
      <c r="AY34" s="327"/>
      <c r="AZ34" s="327"/>
    </row>
    <row r="35" spans="1:52">
      <c r="A35" s="330" t="s">
        <v>806</v>
      </c>
      <c r="B35" s="329">
        <f>1/(B29*10^3)*10^6/2</f>
        <v>0.25</v>
      </c>
      <c r="C35" s="325" t="s">
        <v>807</v>
      </c>
      <c r="L35" s="325">
        <f t="shared" si="1"/>
        <v>32</v>
      </c>
      <c r="M35" s="328">
        <f t="shared" si="2"/>
        <v>6.6666666666666666E-2</v>
      </c>
      <c r="N35" s="329">
        <f t="shared" si="0"/>
        <v>-0.41538461538461546</v>
      </c>
      <c r="O35" s="327"/>
      <c r="P35" s="327"/>
      <c r="Q35" s="327"/>
      <c r="R35" s="327"/>
      <c r="S35" s="327"/>
      <c r="U35" s="328"/>
      <c r="W35" s="327"/>
      <c r="X35" s="327"/>
      <c r="Y35" s="327"/>
      <c r="Z35" s="327"/>
      <c r="AA35" s="327"/>
      <c r="AB35" s="327"/>
      <c r="AC35" s="327"/>
      <c r="AD35" s="327"/>
      <c r="AE35" s="327"/>
      <c r="AF35" s="327"/>
      <c r="AG35" s="327"/>
      <c r="AH35" s="327"/>
      <c r="AI35" s="327"/>
      <c r="AJ35" s="327"/>
      <c r="AK35" s="327"/>
      <c r="AL35" s="327"/>
      <c r="AM35" s="327"/>
      <c r="AN35" s="327"/>
      <c r="AO35" s="327"/>
      <c r="AP35" s="327"/>
      <c r="AQ35" s="327"/>
      <c r="AR35" s="327"/>
      <c r="AS35" s="327"/>
      <c r="AT35" s="327"/>
      <c r="AU35" s="327"/>
      <c r="AV35" s="327"/>
      <c r="AW35" s="327"/>
      <c r="AX35" s="327"/>
      <c r="AY35" s="327"/>
      <c r="AZ35" s="327"/>
    </row>
    <row r="36" spans="1:52">
      <c r="A36" s="330" t="s">
        <v>808</v>
      </c>
      <c r="B36" s="329">
        <f>1/(B29*10^3)*B33*10^6/2</f>
        <v>0.10416666666666667</v>
      </c>
      <c r="C36" s="325" t="s">
        <v>807</v>
      </c>
      <c r="L36" s="325">
        <f t="shared" si="1"/>
        <v>33</v>
      </c>
      <c r="M36" s="328">
        <f t="shared" si="2"/>
        <v>6.8750000000000006E-2</v>
      </c>
      <c r="N36" s="329">
        <f t="shared" si="0"/>
        <v>-0.39230769230769225</v>
      </c>
      <c r="O36" s="327"/>
      <c r="P36" s="327"/>
      <c r="Q36" s="327"/>
      <c r="R36" s="327"/>
      <c r="S36" s="327"/>
      <c r="U36" s="328"/>
      <c r="W36" s="327"/>
      <c r="X36" s="327"/>
      <c r="Y36" s="327"/>
      <c r="Z36" s="327"/>
      <c r="AA36" s="327"/>
      <c r="AB36" s="327"/>
      <c r="AC36" s="327"/>
      <c r="AD36" s="327"/>
      <c r="AE36" s="327"/>
      <c r="AF36" s="327"/>
      <c r="AG36" s="327"/>
      <c r="AH36" s="327"/>
      <c r="AI36" s="327"/>
      <c r="AJ36" s="327"/>
      <c r="AK36" s="327"/>
      <c r="AL36" s="327"/>
      <c r="AM36" s="327"/>
      <c r="AN36" s="327"/>
      <c r="AO36" s="327"/>
      <c r="AP36" s="327"/>
      <c r="AQ36" s="327"/>
      <c r="AR36" s="327"/>
      <c r="AS36" s="327"/>
      <c r="AT36" s="327"/>
      <c r="AU36" s="327"/>
      <c r="AV36" s="327"/>
      <c r="AW36" s="327"/>
      <c r="AX36" s="327"/>
      <c r="AY36" s="327"/>
      <c r="AZ36" s="327"/>
    </row>
    <row r="37" spans="1:52">
      <c r="L37" s="325">
        <f t="shared" si="1"/>
        <v>34</v>
      </c>
      <c r="M37" s="328">
        <f t="shared" si="2"/>
        <v>7.0833333333333345E-2</v>
      </c>
      <c r="N37" s="329">
        <f t="shared" si="0"/>
        <v>-0.36923076923076914</v>
      </c>
      <c r="O37" s="327"/>
      <c r="P37" s="327"/>
      <c r="Q37" s="327"/>
      <c r="R37" s="327"/>
      <c r="S37" s="327"/>
      <c r="U37" s="328"/>
      <c r="W37" s="327"/>
      <c r="X37" s="327"/>
      <c r="Y37" s="327"/>
      <c r="Z37" s="327"/>
      <c r="AA37" s="327"/>
      <c r="AB37" s="327"/>
      <c r="AC37" s="327"/>
      <c r="AD37" s="327"/>
      <c r="AE37" s="327"/>
      <c r="AF37" s="327"/>
      <c r="AG37" s="327"/>
      <c r="AH37" s="327"/>
      <c r="AI37" s="327"/>
      <c r="AJ37" s="327"/>
      <c r="AK37" s="327"/>
      <c r="AL37" s="327"/>
      <c r="AM37" s="327"/>
      <c r="AN37" s="327"/>
      <c r="AO37" s="327"/>
      <c r="AP37" s="327"/>
      <c r="AQ37" s="327"/>
      <c r="AR37" s="327"/>
      <c r="AS37" s="327"/>
      <c r="AT37" s="327"/>
      <c r="AU37" s="327"/>
      <c r="AV37" s="327"/>
      <c r="AW37" s="327"/>
      <c r="AX37" s="327"/>
      <c r="AY37" s="327"/>
      <c r="AZ37" s="327"/>
    </row>
    <row r="38" spans="1:52">
      <c r="L38" s="325">
        <f t="shared" si="1"/>
        <v>35</v>
      </c>
      <c r="M38" s="328">
        <f t="shared" si="2"/>
        <v>7.2916666666666685E-2</v>
      </c>
      <c r="N38" s="329">
        <f t="shared" si="0"/>
        <v>-0.34615384615384592</v>
      </c>
      <c r="O38" s="327"/>
      <c r="P38" s="327"/>
      <c r="Q38" s="327"/>
      <c r="R38" s="327"/>
      <c r="S38" s="327"/>
      <c r="U38" s="328"/>
      <c r="W38" s="327"/>
      <c r="X38" s="327"/>
      <c r="Y38" s="327"/>
      <c r="Z38" s="327"/>
      <c r="AA38" s="327"/>
      <c r="AB38" s="327"/>
      <c r="AC38" s="327"/>
      <c r="AD38" s="327"/>
      <c r="AE38" s="327"/>
      <c r="AF38" s="327"/>
      <c r="AG38" s="327"/>
      <c r="AH38" s="327"/>
      <c r="AI38" s="327"/>
      <c r="AJ38" s="327"/>
      <c r="AK38" s="327"/>
      <c r="AL38" s="327"/>
      <c r="AM38" s="327"/>
      <c r="AN38" s="327"/>
      <c r="AO38" s="327"/>
      <c r="AP38" s="327"/>
      <c r="AQ38" s="327"/>
      <c r="AR38" s="327"/>
      <c r="AS38" s="327"/>
      <c r="AT38" s="327"/>
      <c r="AU38" s="327"/>
      <c r="AV38" s="327"/>
      <c r="AW38" s="327"/>
      <c r="AX38" s="327"/>
      <c r="AY38" s="327"/>
      <c r="AZ38" s="327"/>
    </row>
    <row r="39" spans="1:52">
      <c r="L39" s="325">
        <f t="shared" si="1"/>
        <v>36</v>
      </c>
      <c r="M39" s="328">
        <f t="shared" si="2"/>
        <v>7.5000000000000025E-2</v>
      </c>
      <c r="N39" s="329">
        <f t="shared" si="0"/>
        <v>-0.32307692307692282</v>
      </c>
      <c r="O39" s="327"/>
      <c r="P39" s="327"/>
      <c r="Q39" s="327"/>
      <c r="R39" s="327"/>
      <c r="S39" s="327"/>
      <c r="U39" s="328"/>
      <c r="W39" s="327"/>
      <c r="X39" s="327"/>
      <c r="Y39" s="327"/>
      <c r="Z39" s="327"/>
      <c r="AA39" s="327"/>
      <c r="AB39" s="327"/>
      <c r="AC39" s="327"/>
      <c r="AD39" s="327"/>
      <c r="AE39" s="327"/>
      <c r="AF39" s="327"/>
      <c r="AG39" s="327"/>
      <c r="AH39" s="327"/>
      <c r="AI39" s="327"/>
      <c r="AJ39" s="327"/>
      <c r="AK39" s="327"/>
      <c r="AL39" s="327"/>
      <c r="AM39" s="327"/>
      <c r="AN39" s="327"/>
      <c r="AO39" s="327"/>
      <c r="AP39" s="327"/>
      <c r="AQ39" s="327"/>
      <c r="AR39" s="327"/>
      <c r="AS39" s="327"/>
      <c r="AT39" s="327"/>
      <c r="AU39" s="327"/>
      <c r="AV39" s="327"/>
      <c r="AW39" s="327"/>
      <c r="AX39" s="327"/>
      <c r="AY39" s="327"/>
      <c r="AZ39" s="327"/>
    </row>
    <row r="40" spans="1:52">
      <c r="L40" s="325">
        <f t="shared" si="1"/>
        <v>37</v>
      </c>
      <c r="M40" s="328">
        <f t="shared" si="2"/>
        <v>7.7083333333333365E-2</v>
      </c>
      <c r="N40" s="329">
        <f t="shared" si="0"/>
        <v>-0.2999999999999996</v>
      </c>
      <c r="O40" s="327"/>
      <c r="P40" s="327"/>
      <c r="Q40" s="327"/>
      <c r="R40" s="327"/>
      <c r="S40" s="327"/>
      <c r="U40" s="328"/>
      <c r="W40" s="327"/>
      <c r="X40" s="327"/>
      <c r="Y40" s="327"/>
      <c r="Z40" s="327"/>
      <c r="AA40" s="327"/>
      <c r="AB40" s="327"/>
      <c r="AC40" s="327"/>
      <c r="AD40" s="327"/>
      <c r="AE40" s="327"/>
      <c r="AF40" s="327"/>
      <c r="AG40" s="327"/>
      <c r="AH40" s="327"/>
      <c r="AI40" s="327"/>
      <c r="AJ40" s="327"/>
      <c r="AK40" s="327"/>
      <c r="AL40" s="327"/>
      <c r="AM40" s="327"/>
      <c r="AN40" s="327"/>
      <c r="AO40" s="327"/>
      <c r="AP40" s="327"/>
      <c r="AQ40" s="327"/>
      <c r="AR40" s="327"/>
      <c r="AS40" s="327"/>
      <c r="AT40" s="327"/>
      <c r="AU40" s="327"/>
      <c r="AV40" s="327"/>
      <c r="AW40" s="327"/>
      <c r="AX40" s="327"/>
      <c r="AY40" s="327"/>
      <c r="AZ40" s="327"/>
    </row>
    <row r="41" spans="1:52">
      <c r="L41" s="325">
        <f t="shared" si="1"/>
        <v>38</v>
      </c>
      <c r="M41" s="328">
        <f t="shared" si="2"/>
        <v>7.9166666666666705E-2</v>
      </c>
      <c r="N41" s="329">
        <f t="shared" si="0"/>
        <v>-0.27692307692307649</v>
      </c>
      <c r="O41" s="327"/>
      <c r="P41" s="327"/>
      <c r="Q41" s="327"/>
      <c r="R41" s="327"/>
      <c r="S41" s="327"/>
      <c r="U41" s="328"/>
      <c r="W41" s="327"/>
      <c r="X41" s="327"/>
      <c r="Y41" s="327"/>
      <c r="Z41" s="327"/>
      <c r="AA41" s="327"/>
      <c r="AB41" s="327"/>
      <c r="AC41" s="327"/>
      <c r="AD41" s="327"/>
      <c r="AE41" s="327"/>
      <c r="AF41" s="327"/>
      <c r="AG41" s="327"/>
      <c r="AH41" s="327"/>
      <c r="AI41" s="327"/>
      <c r="AJ41" s="327"/>
      <c r="AK41" s="327"/>
      <c r="AL41" s="327"/>
      <c r="AM41" s="327"/>
      <c r="AN41" s="327"/>
      <c r="AO41" s="327"/>
      <c r="AP41" s="327"/>
      <c r="AQ41" s="327"/>
      <c r="AR41" s="327"/>
      <c r="AS41" s="327"/>
      <c r="AT41" s="327"/>
      <c r="AU41" s="327"/>
      <c r="AV41" s="327"/>
      <c r="AW41" s="327"/>
      <c r="AX41" s="327"/>
      <c r="AY41" s="327"/>
      <c r="AZ41" s="327"/>
    </row>
    <row r="42" spans="1:52" ht="12" customHeight="1">
      <c r="L42" s="325">
        <f t="shared" si="1"/>
        <v>39</v>
      </c>
      <c r="M42" s="328">
        <f t="shared" si="2"/>
        <v>8.1250000000000044E-2</v>
      </c>
      <c r="N42" s="329">
        <f t="shared" si="0"/>
        <v>-0.25384615384615339</v>
      </c>
      <c r="O42" s="327"/>
      <c r="P42" s="327"/>
      <c r="Q42" s="327"/>
      <c r="R42" s="327"/>
      <c r="S42" s="327"/>
      <c r="U42" s="328"/>
      <c r="W42" s="327"/>
      <c r="X42" s="327"/>
      <c r="Y42" s="327"/>
      <c r="Z42" s="327"/>
      <c r="AA42" s="327"/>
      <c r="AB42" s="327"/>
      <c r="AC42" s="327"/>
      <c r="AD42" s="327"/>
      <c r="AE42" s="327"/>
      <c r="AF42" s="327"/>
      <c r="AG42" s="327"/>
      <c r="AH42" s="327"/>
      <c r="AI42" s="327"/>
      <c r="AJ42" s="327"/>
      <c r="AK42" s="327"/>
      <c r="AL42" s="327"/>
      <c r="AM42" s="327"/>
      <c r="AN42" s="327"/>
      <c r="AO42" s="327"/>
      <c r="AP42" s="327"/>
      <c r="AQ42" s="327"/>
      <c r="AR42" s="327"/>
      <c r="AS42" s="327"/>
      <c r="AT42" s="327"/>
      <c r="AU42" s="327"/>
      <c r="AV42" s="327"/>
      <c r="AW42" s="327"/>
      <c r="AX42" s="327"/>
      <c r="AY42" s="327"/>
      <c r="AZ42" s="327"/>
    </row>
    <row r="43" spans="1:52">
      <c r="L43" s="325">
        <f t="shared" si="1"/>
        <v>40</v>
      </c>
      <c r="M43" s="328">
        <f t="shared" si="2"/>
        <v>8.3333333333333384E-2</v>
      </c>
      <c r="N43" s="329">
        <f t="shared" si="0"/>
        <v>-0.23076923076923017</v>
      </c>
      <c r="O43" s="327"/>
      <c r="P43" s="327"/>
      <c r="Q43" s="327"/>
      <c r="R43" s="327"/>
      <c r="S43" s="327"/>
      <c r="U43" s="328"/>
      <c r="W43" s="327"/>
      <c r="X43" s="327"/>
      <c r="Y43" s="327"/>
      <c r="Z43" s="327"/>
      <c r="AA43" s="327"/>
      <c r="AB43" s="327"/>
      <c r="AC43" s="327"/>
      <c r="AD43" s="327"/>
      <c r="AE43" s="327"/>
      <c r="AF43" s="327"/>
      <c r="AG43" s="327"/>
      <c r="AH43" s="327"/>
      <c r="AI43" s="327"/>
      <c r="AJ43" s="327"/>
      <c r="AK43" s="327"/>
      <c r="AL43" s="327"/>
      <c r="AM43" s="327"/>
      <c r="AN43" s="327"/>
      <c r="AO43" s="327"/>
      <c r="AP43" s="327"/>
      <c r="AQ43" s="327"/>
      <c r="AR43" s="327"/>
      <c r="AS43" s="327"/>
      <c r="AT43" s="327"/>
      <c r="AU43" s="327"/>
      <c r="AV43" s="327"/>
      <c r="AW43" s="327"/>
      <c r="AX43" s="327"/>
      <c r="AY43" s="327"/>
      <c r="AZ43" s="327"/>
    </row>
    <row r="44" spans="1:52">
      <c r="L44" s="325">
        <f t="shared" si="1"/>
        <v>41</v>
      </c>
      <c r="M44" s="328">
        <f t="shared" si="2"/>
        <v>8.5416666666666724E-2</v>
      </c>
      <c r="N44" s="329">
        <f t="shared" si="0"/>
        <v>-0.20769230769230707</v>
      </c>
      <c r="O44" s="327"/>
      <c r="P44" s="327"/>
      <c r="Q44" s="327"/>
      <c r="R44" s="327"/>
      <c r="S44" s="327"/>
      <c r="U44" s="328"/>
      <c r="W44" s="327"/>
      <c r="X44" s="327"/>
      <c r="Y44" s="327"/>
      <c r="Z44" s="327"/>
      <c r="AA44" s="327"/>
      <c r="AB44" s="327"/>
      <c r="AC44" s="327"/>
      <c r="AD44" s="327"/>
      <c r="AE44" s="327"/>
      <c r="AF44" s="327"/>
      <c r="AG44" s="327"/>
      <c r="AH44" s="327"/>
      <c r="AI44" s="327"/>
      <c r="AJ44" s="327"/>
      <c r="AK44" s="327"/>
      <c r="AL44" s="327"/>
      <c r="AM44" s="327"/>
      <c r="AN44" s="327"/>
      <c r="AO44" s="327"/>
      <c r="AP44" s="327"/>
      <c r="AQ44" s="327"/>
      <c r="AR44" s="327"/>
      <c r="AS44" s="327"/>
      <c r="AT44" s="327"/>
      <c r="AU44" s="327"/>
      <c r="AV44" s="327"/>
      <c r="AW44" s="327"/>
      <c r="AX44" s="327"/>
      <c r="AY44" s="327"/>
      <c r="AZ44" s="327"/>
    </row>
    <row r="45" spans="1:52">
      <c r="L45" s="325">
        <f t="shared" si="1"/>
        <v>42</v>
      </c>
      <c r="M45" s="328">
        <f t="shared" si="2"/>
        <v>8.7500000000000064E-2</v>
      </c>
      <c r="N45" s="329">
        <f t="shared" si="0"/>
        <v>-0.18461538461538385</v>
      </c>
      <c r="O45" s="327"/>
      <c r="P45" s="327"/>
      <c r="Q45" s="327"/>
      <c r="R45" s="327"/>
      <c r="S45" s="327"/>
      <c r="U45" s="328"/>
      <c r="W45" s="327"/>
      <c r="X45" s="327"/>
      <c r="Y45" s="327"/>
      <c r="Z45" s="327"/>
      <c r="AA45" s="327"/>
      <c r="AB45" s="327"/>
      <c r="AC45" s="327"/>
      <c r="AD45" s="327"/>
      <c r="AE45" s="327"/>
      <c r="AF45" s="327"/>
      <c r="AG45" s="327"/>
      <c r="AH45" s="327"/>
      <c r="AI45" s="327"/>
      <c r="AJ45" s="327"/>
      <c r="AK45" s="327"/>
      <c r="AL45" s="327"/>
      <c r="AM45" s="327"/>
      <c r="AN45" s="327"/>
      <c r="AO45" s="327"/>
      <c r="AP45" s="327"/>
      <c r="AQ45" s="327"/>
      <c r="AR45" s="327"/>
      <c r="AS45" s="327"/>
      <c r="AT45" s="327"/>
      <c r="AU45" s="327"/>
      <c r="AV45" s="327"/>
      <c r="AW45" s="327"/>
      <c r="AX45" s="327"/>
      <c r="AY45" s="327"/>
      <c r="AZ45" s="327"/>
    </row>
    <row r="46" spans="1:52">
      <c r="L46" s="325">
        <f t="shared" si="1"/>
        <v>43</v>
      </c>
      <c r="M46" s="328">
        <f t="shared" si="2"/>
        <v>8.9583333333333404E-2</v>
      </c>
      <c r="N46" s="329">
        <f t="shared" si="0"/>
        <v>-0.16153846153846074</v>
      </c>
      <c r="O46" s="327"/>
      <c r="P46" s="327"/>
      <c r="Q46" s="327"/>
      <c r="R46" s="327"/>
      <c r="S46" s="327"/>
      <c r="U46" s="328"/>
      <c r="W46" s="327"/>
      <c r="X46" s="327"/>
      <c r="Y46" s="327"/>
      <c r="Z46" s="327"/>
      <c r="AA46" s="327"/>
      <c r="AB46" s="327"/>
      <c r="AC46" s="327"/>
      <c r="AD46" s="327"/>
      <c r="AE46" s="327"/>
      <c r="AF46" s="327"/>
      <c r="AG46" s="327"/>
      <c r="AH46" s="327"/>
      <c r="AI46" s="327"/>
      <c r="AJ46" s="327"/>
      <c r="AK46" s="327"/>
      <c r="AL46" s="327"/>
      <c r="AM46" s="327"/>
      <c r="AN46" s="327"/>
      <c r="AO46" s="327"/>
      <c r="AP46" s="327"/>
      <c r="AQ46" s="327"/>
      <c r="AR46" s="327"/>
      <c r="AS46" s="327"/>
      <c r="AT46" s="327"/>
      <c r="AU46" s="327"/>
      <c r="AV46" s="327"/>
      <c r="AW46" s="327"/>
      <c r="AX46" s="327"/>
      <c r="AY46" s="327"/>
      <c r="AZ46" s="327"/>
    </row>
    <row r="47" spans="1:52">
      <c r="L47" s="325">
        <f t="shared" si="1"/>
        <v>44</v>
      </c>
      <c r="M47" s="328">
        <f t="shared" si="2"/>
        <v>9.1666666666666743E-2</v>
      </c>
      <c r="N47" s="329">
        <f t="shared" si="0"/>
        <v>-0.13846153846153753</v>
      </c>
      <c r="O47" s="327"/>
      <c r="P47" s="327"/>
      <c r="Q47" s="327"/>
      <c r="R47" s="327"/>
      <c r="S47" s="327"/>
      <c r="U47" s="328"/>
      <c r="W47" s="327"/>
      <c r="X47" s="327"/>
      <c r="Y47" s="327"/>
      <c r="Z47" s="327"/>
      <c r="AA47" s="327"/>
      <c r="AB47" s="327"/>
      <c r="AC47" s="327"/>
      <c r="AD47" s="327"/>
      <c r="AE47" s="327"/>
      <c r="AF47" s="327"/>
      <c r="AG47" s="327"/>
      <c r="AH47" s="327"/>
      <c r="AI47" s="327"/>
      <c r="AJ47" s="327"/>
      <c r="AK47" s="327"/>
      <c r="AL47" s="327"/>
      <c r="AM47" s="327"/>
      <c r="AN47" s="327"/>
      <c r="AO47" s="327"/>
      <c r="AP47" s="327"/>
      <c r="AQ47" s="327"/>
      <c r="AR47" s="327"/>
      <c r="AS47" s="327"/>
      <c r="AT47" s="327"/>
      <c r="AU47" s="327"/>
      <c r="AV47" s="327"/>
      <c r="AW47" s="327"/>
      <c r="AX47" s="327"/>
      <c r="AY47" s="327"/>
      <c r="AZ47" s="327"/>
    </row>
    <row r="48" spans="1:52">
      <c r="L48" s="325">
        <f t="shared" si="1"/>
        <v>45</v>
      </c>
      <c r="M48" s="328">
        <f t="shared" si="2"/>
        <v>9.3750000000000083E-2</v>
      </c>
      <c r="N48" s="329">
        <f t="shared" si="0"/>
        <v>-0.11538461538461453</v>
      </c>
      <c r="O48" s="327"/>
      <c r="P48" s="327"/>
      <c r="Q48" s="327"/>
      <c r="R48" s="327"/>
      <c r="S48" s="327"/>
      <c r="U48" s="328"/>
      <c r="W48" s="327"/>
      <c r="X48" s="327"/>
      <c r="Y48" s="327"/>
      <c r="Z48" s="327"/>
      <c r="AA48" s="327"/>
      <c r="AB48" s="327"/>
      <c r="AC48" s="327"/>
      <c r="AD48" s="327"/>
      <c r="AE48" s="327"/>
      <c r="AF48" s="327"/>
      <c r="AG48" s="327"/>
      <c r="AH48" s="327"/>
      <c r="AI48" s="327"/>
      <c r="AJ48" s="327"/>
      <c r="AK48" s="327"/>
      <c r="AL48" s="327"/>
      <c r="AM48" s="327"/>
      <c r="AN48" s="327"/>
      <c r="AO48" s="327"/>
      <c r="AP48" s="327"/>
      <c r="AQ48" s="327"/>
      <c r="AR48" s="327"/>
      <c r="AS48" s="327"/>
      <c r="AT48" s="327"/>
      <c r="AU48" s="327"/>
      <c r="AV48" s="327"/>
      <c r="AW48" s="327"/>
      <c r="AX48" s="327"/>
      <c r="AY48" s="327"/>
      <c r="AZ48" s="327"/>
    </row>
    <row r="49" spans="11:52">
      <c r="L49" s="325">
        <f t="shared" si="1"/>
        <v>46</v>
      </c>
      <c r="M49" s="328">
        <f t="shared" si="2"/>
        <v>9.5833333333333423E-2</v>
      </c>
      <c r="N49" s="329">
        <f t="shared" si="0"/>
        <v>-9.2307692307691314E-2</v>
      </c>
      <c r="O49" s="327"/>
      <c r="P49" s="327"/>
      <c r="Q49" s="327"/>
      <c r="R49" s="327"/>
      <c r="S49" s="327"/>
      <c r="U49" s="328"/>
      <c r="W49" s="327"/>
      <c r="X49" s="327"/>
      <c r="Y49" s="327"/>
      <c r="Z49" s="327"/>
      <c r="AA49" s="327"/>
      <c r="AB49" s="327"/>
      <c r="AC49" s="327"/>
      <c r="AD49" s="327"/>
      <c r="AE49" s="327"/>
      <c r="AF49" s="327"/>
      <c r="AG49" s="327"/>
      <c r="AH49" s="327"/>
      <c r="AI49" s="327"/>
      <c r="AJ49" s="327"/>
      <c r="AK49" s="327"/>
      <c r="AL49" s="327"/>
      <c r="AM49" s="327"/>
      <c r="AN49" s="327"/>
      <c r="AO49" s="327"/>
      <c r="AP49" s="327"/>
      <c r="AQ49" s="327"/>
      <c r="AR49" s="327"/>
      <c r="AS49" s="327"/>
      <c r="AT49" s="327"/>
      <c r="AU49" s="327"/>
      <c r="AV49" s="327"/>
      <c r="AW49" s="327"/>
      <c r="AX49" s="327"/>
      <c r="AY49" s="327"/>
      <c r="AZ49" s="327"/>
    </row>
    <row r="50" spans="11:52">
      <c r="L50" s="325">
        <f t="shared" si="1"/>
        <v>47</v>
      </c>
      <c r="M50" s="328">
        <f t="shared" si="2"/>
        <v>9.7916666666666763E-2</v>
      </c>
      <c r="N50" s="329">
        <f t="shared" si="0"/>
        <v>-6.9230769230768097E-2</v>
      </c>
      <c r="O50" s="327"/>
      <c r="P50" s="327"/>
      <c r="Q50" s="327"/>
      <c r="R50" s="327"/>
      <c r="S50" s="327"/>
      <c r="U50" s="328"/>
      <c r="W50" s="327"/>
      <c r="X50" s="327"/>
      <c r="Y50" s="327"/>
      <c r="Z50" s="327"/>
      <c r="AA50" s="327"/>
      <c r="AB50" s="327"/>
      <c r="AC50" s="327"/>
      <c r="AD50" s="327"/>
      <c r="AE50" s="327"/>
      <c r="AF50" s="327"/>
      <c r="AG50" s="327"/>
      <c r="AH50" s="327"/>
      <c r="AI50" s="327"/>
      <c r="AJ50" s="327"/>
      <c r="AK50" s="327"/>
      <c r="AL50" s="327"/>
      <c r="AM50" s="327"/>
      <c r="AN50" s="327"/>
      <c r="AO50" s="327"/>
      <c r="AP50" s="327"/>
      <c r="AQ50" s="327"/>
      <c r="AR50" s="327"/>
      <c r="AS50" s="327"/>
      <c r="AT50" s="327"/>
      <c r="AU50" s="327"/>
      <c r="AV50" s="327"/>
      <c r="AW50" s="327"/>
      <c r="AX50" s="327"/>
      <c r="AY50" s="327"/>
      <c r="AZ50" s="327"/>
    </row>
    <row r="51" spans="11:52">
      <c r="L51" s="325">
        <f t="shared" si="1"/>
        <v>48</v>
      </c>
      <c r="M51" s="328">
        <f t="shared" si="2"/>
        <v>0.1000000000000001</v>
      </c>
      <c r="N51" s="329">
        <f t="shared" si="0"/>
        <v>-4.615384615384488E-2</v>
      </c>
      <c r="O51" s="327"/>
      <c r="P51" s="327"/>
      <c r="Q51" s="327"/>
      <c r="R51" s="327"/>
      <c r="S51" s="327"/>
      <c r="U51" s="328"/>
      <c r="W51" s="327"/>
      <c r="X51" s="327"/>
      <c r="Y51" s="327"/>
      <c r="Z51" s="327"/>
      <c r="AA51" s="327"/>
      <c r="AB51" s="327"/>
      <c r="AC51" s="327"/>
      <c r="AD51" s="327"/>
      <c r="AE51" s="327"/>
      <c r="AF51" s="327"/>
      <c r="AG51" s="327"/>
      <c r="AH51" s="327"/>
      <c r="AI51" s="327"/>
      <c r="AJ51" s="327"/>
      <c r="AK51" s="327"/>
      <c r="AL51" s="327"/>
      <c r="AM51" s="327"/>
      <c r="AN51" s="327"/>
      <c r="AO51" s="327"/>
      <c r="AP51" s="327"/>
      <c r="AQ51" s="327"/>
      <c r="AR51" s="327"/>
      <c r="AS51" s="327"/>
      <c r="AT51" s="327"/>
      <c r="AU51" s="327"/>
      <c r="AV51" s="327"/>
      <c r="AW51" s="327"/>
      <c r="AX51" s="327"/>
      <c r="AY51" s="327"/>
      <c r="AZ51" s="327"/>
    </row>
    <row r="52" spans="11:52">
      <c r="L52" s="325">
        <f t="shared" si="1"/>
        <v>49</v>
      </c>
      <c r="M52" s="328">
        <f t="shared" si="2"/>
        <v>0.10208333333333344</v>
      </c>
      <c r="N52" s="329">
        <f t="shared" si="0"/>
        <v>-2.3076923076921885E-2</v>
      </c>
      <c r="O52" s="327"/>
      <c r="P52" s="327"/>
      <c r="Q52" s="327"/>
      <c r="R52" s="327"/>
      <c r="S52" s="327"/>
      <c r="U52" s="328"/>
      <c r="W52" s="327"/>
      <c r="X52" s="327"/>
      <c r="Y52" s="327"/>
      <c r="Z52" s="327"/>
      <c r="AA52" s="327"/>
      <c r="AB52" s="327"/>
      <c r="AC52" s="327"/>
      <c r="AD52" s="327"/>
      <c r="AE52" s="327"/>
      <c r="AF52" s="327"/>
      <c r="AG52" s="327"/>
      <c r="AH52" s="327"/>
      <c r="AI52" s="327"/>
      <c r="AJ52" s="327"/>
      <c r="AK52" s="327"/>
      <c r="AL52" s="327"/>
      <c r="AM52" s="327"/>
      <c r="AN52" s="327"/>
      <c r="AO52" s="327"/>
      <c r="AP52" s="327"/>
      <c r="AQ52" s="327"/>
      <c r="AR52" s="327"/>
      <c r="AS52" s="327"/>
      <c r="AT52" s="327"/>
      <c r="AU52" s="327"/>
      <c r="AV52" s="327"/>
      <c r="AW52" s="327"/>
      <c r="AX52" s="327"/>
      <c r="AY52" s="327"/>
      <c r="AZ52" s="327"/>
    </row>
    <row r="53" spans="11:52">
      <c r="L53" s="325">
        <f t="shared" si="1"/>
        <v>50</v>
      </c>
      <c r="M53" s="328">
        <f t="shared" si="2"/>
        <v>0.10416666666666678</v>
      </c>
      <c r="N53" s="329">
        <f t="shared" si="0"/>
        <v>1.3322676295501878E-15</v>
      </c>
      <c r="O53" s="327"/>
      <c r="P53" s="327"/>
      <c r="Q53" s="327"/>
      <c r="R53" s="327"/>
      <c r="S53" s="327"/>
      <c r="U53" s="328"/>
      <c r="W53" s="327"/>
      <c r="X53" s="327"/>
      <c r="Y53" s="327"/>
      <c r="Z53" s="327"/>
      <c r="AA53" s="327"/>
      <c r="AB53" s="327"/>
      <c r="AC53" s="327"/>
      <c r="AD53" s="327"/>
      <c r="AE53" s="327"/>
      <c r="AF53" s="327"/>
      <c r="AG53" s="327"/>
      <c r="AH53" s="327"/>
      <c r="AI53" s="327"/>
      <c r="AJ53" s="327"/>
      <c r="AK53" s="327"/>
      <c r="AL53" s="327"/>
      <c r="AM53" s="327"/>
      <c r="AN53" s="327"/>
      <c r="AO53" s="327"/>
      <c r="AP53" s="327"/>
      <c r="AQ53" s="327"/>
      <c r="AR53" s="327"/>
      <c r="AS53" s="327"/>
      <c r="AT53" s="327"/>
      <c r="AU53" s="327"/>
      <c r="AV53" s="327"/>
      <c r="AW53" s="327"/>
      <c r="AX53" s="327"/>
      <c r="AY53" s="327"/>
      <c r="AZ53" s="327"/>
    </row>
    <row r="54" spans="11:52">
      <c r="K54" s="325">
        <f>IF($B$25="Buck",-$B$34/(($B$35-$B$36)*2)*M54+$B$34/(($B$35-$B$36)*2)*$B$36+$B$34/2,$B$34/(($B$35-$B$36)*2)*M54-$B$34/(($B$35-$B$36)*2)*$B$36-$B$34/2)</f>
        <v>1.1373626373626364</v>
      </c>
      <c r="L54" s="325">
        <f t="shared" si="1"/>
        <v>51</v>
      </c>
      <c r="M54" s="328">
        <f t="shared" si="2"/>
        <v>0.10625000000000012</v>
      </c>
      <c r="N54" s="329">
        <f t="shared" si="0"/>
        <v>2.3076923076924549E-2</v>
      </c>
      <c r="O54" s="327"/>
      <c r="P54" s="327"/>
      <c r="Q54" s="327"/>
      <c r="R54" s="327"/>
      <c r="S54" s="327"/>
      <c r="U54" s="328"/>
      <c r="W54" s="327"/>
      <c r="X54" s="327"/>
      <c r="Y54" s="327"/>
      <c r="Z54" s="327"/>
      <c r="AA54" s="327"/>
      <c r="AB54" s="327"/>
      <c r="AC54" s="327"/>
      <c r="AD54" s="327"/>
      <c r="AE54" s="327"/>
      <c r="AF54" s="327"/>
      <c r="AG54" s="327"/>
      <c r="AH54" s="327"/>
      <c r="AI54" s="327"/>
      <c r="AJ54" s="327"/>
      <c r="AK54" s="327"/>
      <c r="AL54" s="327"/>
      <c r="AM54" s="327"/>
      <c r="AN54" s="327"/>
      <c r="AO54" s="327"/>
      <c r="AP54" s="327"/>
      <c r="AQ54" s="327"/>
      <c r="AR54" s="327"/>
      <c r="AS54" s="327"/>
      <c r="AT54" s="327"/>
      <c r="AU54" s="327"/>
      <c r="AV54" s="327"/>
      <c r="AW54" s="327"/>
      <c r="AX54" s="327"/>
      <c r="AY54" s="327"/>
      <c r="AZ54" s="327"/>
    </row>
    <row r="55" spans="11:52">
      <c r="L55" s="325">
        <f t="shared" si="1"/>
        <v>52</v>
      </c>
      <c r="M55" s="328">
        <f t="shared" si="2"/>
        <v>0.10833333333333346</v>
      </c>
      <c r="N55" s="329">
        <f t="shared" si="0"/>
        <v>4.6153846153847544E-2</v>
      </c>
      <c r="O55" s="327"/>
      <c r="P55" s="327"/>
      <c r="Q55" s="327"/>
      <c r="R55" s="327"/>
      <c r="S55" s="327"/>
      <c r="U55" s="328"/>
      <c r="W55" s="327"/>
      <c r="X55" s="327"/>
      <c r="Y55" s="327"/>
      <c r="Z55" s="327"/>
      <c r="AA55" s="327"/>
      <c r="AB55" s="327"/>
      <c r="AC55" s="327"/>
      <c r="AD55" s="327"/>
      <c r="AE55" s="327"/>
      <c r="AF55" s="327"/>
      <c r="AG55" s="327"/>
      <c r="AH55" s="327"/>
      <c r="AI55" s="327"/>
      <c r="AJ55" s="327"/>
      <c r="AK55" s="327"/>
      <c r="AL55" s="327"/>
      <c r="AM55" s="327"/>
      <c r="AN55" s="327"/>
      <c r="AO55" s="327"/>
      <c r="AP55" s="327"/>
      <c r="AQ55" s="327"/>
      <c r="AR55" s="327"/>
      <c r="AS55" s="327"/>
      <c r="AT55" s="327"/>
      <c r="AU55" s="327"/>
      <c r="AV55" s="327"/>
      <c r="AW55" s="327"/>
      <c r="AX55" s="327"/>
      <c r="AY55" s="327"/>
      <c r="AZ55" s="327"/>
    </row>
    <row r="56" spans="11:52">
      <c r="L56" s="325">
        <f t="shared" si="1"/>
        <v>53</v>
      </c>
      <c r="M56" s="328">
        <f t="shared" si="2"/>
        <v>0.1104166666666668</v>
      </c>
      <c r="N56" s="329">
        <f t="shared" si="0"/>
        <v>6.9230769230770761E-2</v>
      </c>
      <c r="O56" s="327"/>
      <c r="P56" s="327"/>
      <c r="Q56" s="327"/>
      <c r="R56" s="327"/>
      <c r="S56" s="327"/>
      <c r="U56" s="328"/>
      <c r="W56" s="327"/>
      <c r="X56" s="327"/>
      <c r="Y56" s="327"/>
      <c r="Z56" s="327"/>
      <c r="AA56" s="327"/>
      <c r="AB56" s="327"/>
      <c r="AC56" s="327"/>
      <c r="AD56" s="327"/>
      <c r="AE56" s="327"/>
      <c r="AF56" s="327"/>
      <c r="AG56" s="327"/>
      <c r="AH56" s="327"/>
      <c r="AI56" s="327"/>
      <c r="AJ56" s="327"/>
      <c r="AK56" s="327"/>
      <c r="AL56" s="327"/>
      <c r="AM56" s="327"/>
      <c r="AN56" s="327"/>
      <c r="AO56" s="327"/>
      <c r="AP56" s="327"/>
      <c r="AQ56" s="327"/>
      <c r="AR56" s="327"/>
      <c r="AS56" s="327"/>
      <c r="AT56" s="327"/>
      <c r="AU56" s="327"/>
      <c r="AV56" s="327"/>
      <c r="AW56" s="327"/>
      <c r="AX56" s="327"/>
      <c r="AY56" s="327"/>
      <c r="AZ56" s="327"/>
    </row>
    <row r="57" spans="11:52">
      <c r="L57" s="325">
        <f t="shared" si="1"/>
        <v>54</v>
      </c>
      <c r="M57" s="328">
        <f t="shared" si="2"/>
        <v>0.11250000000000014</v>
      </c>
      <c r="N57" s="329">
        <f t="shared" si="0"/>
        <v>9.2307692307693978E-2</v>
      </c>
      <c r="O57" s="327"/>
      <c r="P57" s="327"/>
      <c r="Q57" s="327"/>
      <c r="R57" s="327"/>
      <c r="S57" s="327"/>
      <c r="U57" s="328"/>
      <c r="W57" s="327"/>
      <c r="X57" s="327"/>
      <c r="Y57" s="327"/>
      <c r="Z57" s="327"/>
      <c r="AA57" s="327"/>
      <c r="AB57" s="327"/>
      <c r="AC57" s="327"/>
      <c r="AD57" s="327"/>
      <c r="AE57" s="327"/>
      <c r="AF57" s="327"/>
      <c r="AG57" s="327"/>
      <c r="AH57" s="327"/>
      <c r="AI57" s="327"/>
      <c r="AJ57" s="327"/>
      <c r="AK57" s="327"/>
      <c r="AL57" s="327"/>
      <c r="AM57" s="327"/>
      <c r="AN57" s="327"/>
      <c r="AO57" s="327"/>
      <c r="AP57" s="327"/>
      <c r="AQ57" s="327"/>
      <c r="AR57" s="327"/>
      <c r="AS57" s="327"/>
      <c r="AT57" s="327"/>
      <c r="AU57" s="327"/>
      <c r="AV57" s="327"/>
      <c r="AW57" s="327"/>
      <c r="AX57" s="327"/>
      <c r="AY57" s="327"/>
      <c r="AZ57" s="327"/>
    </row>
    <row r="58" spans="11:52">
      <c r="L58" s="325">
        <f t="shared" si="1"/>
        <v>55</v>
      </c>
      <c r="M58" s="328">
        <f t="shared" si="2"/>
        <v>0.11458333333333348</v>
      </c>
      <c r="N58" s="329">
        <f t="shared" si="0"/>
        <v>0.11538461538461697</v>
      </c>
      <c r="O58" s="327"/>
      <c r="P58" s="327"/>
      <c r="Q58" s="327"/>
      <c r="R58" s="327"/>
      <c r="S58" s="327"/>
      <c r="U58" s="328"/>
      <c r="W58" s="327"/>
      <c r="X58" s="327"/>
      <c r="Y58" s="327"/>
      <c r="Z58" s="327"/>
      <c r="AA58" s="327"/>
      <c r="AB58" s="327"/>
      <c r="AC58" s="327"/>
      <c r="AD58" s="327"/>
      <c r="AE58" s="327"/>
      <c r="AF58" s="327"/>
      <c r="AG58" s="327"/>
      <c r="AH58" s="327"/>
      <c r="AI58" s="327"/>
      <c r="AJ58" s="327"/>
      <c r="AK58" s="327"/>
      <c r="AL58" s="327"/>
      <c r="AM58" s="327"/>
      <c r="AN58" s="327"/>
      <c r="AO58" s="327"/>
      <c r="AP58" s="327"/>
      <c r="AQ58" s="327"/>
      <c r="AR58" s="327"/>
      <c r="AS58" s="327"/>
      <c r="AT58" s="327"/>
      <c r="AU58" s="327"/>
      <c r="AV58" s="327"/>
      <c r="AW58" s="327"/>
      <c r="AX58" s="327"/>
      <c r="AY58" s="327"/>
      <c r="AZ58" s="327"/>
    </row>
    <row r="59" spans="11:52">
      <c r="L59" s="325">
        <f t="shared" si="1"/>
        <v>56</v>
      </c>
      <c r="M59" s="328">
        <f t="shared" si="2"/>
        <v>0.11666666666666682</v>
      </c>
      <c r="N59" s="329">
        <f t="shared" si="0"/>
        <v>0.13846153846154019</v>
      </c>
      <c r="O59" s="327"/>
      <c r="P59" s="327"/>
      <c r="Q59" s="327"/>
      <c r="R59" s="327"/>
      <c r="S59" s="327"/>
      <c r="U59" s="328"/>
      <c r="W59" s="327"/>
      <c r="X59" s="327"/>
      <c r="Y59" s="327"/>
      <c r="Z59" s="327"/>
      <c r="AA59" s="327"/>
      <c r="AB59" s="327"/>
      <c r="AC59" s="327"/>
      <c r="AD59" s="327"/>
      <c r="AE59" s="327"/>
      <c r="AF59" s="327"/>
      <c r="AG59" s="327"/>
      <c r="AH59" s="327"/>
      <c r="AI59" s="327"/>
      <c r="AJ59" s="327"/>
      <c r="AK59" s="327"/>
      <c r="AL59" s="327"/>
      <c r="AM59" s="327"/>
      <c r="AN59" s="327"/>
      <c r="AO59" s="327"/>
      <c r="AP59" s="327"/>
      <c r="AQ59" s="327"/>
      <c r="AR59" s="327"/>
      <c r="AS59" s="327"/>
      <c r="AT59" s="327"/>
      <c r="AU59" s="327"/>
      <c r="AV59" s="327"/>
      <c r="AW59" s="327"/>
      <c r="AX59" s="327"/>
      <c r="AY59" s="327"/>
      <c r="AZ59" s="327"/>
    </row>
    <row r="60" spans="11:52">
      <c r="L60" s="325">
        <f t="shared" si="1"/>
        <v>57</v>
      </c>
      <c r="M60" s="328">
        <f t="shared" si="2"/>
        <v>0.11875000000000016</v>
      </c>
      <c r="N60" s="329">
        <f t="shared" si="0"/>
        <v>0.16153846153846341</v>
      </c>
      <c r="O60" s="327"/>
      <c r="P60" s="327"/>
      <c r="Q60" s="327"/>
      <c r="R60" s="327"/>
      <c r="S60" s="327"/>
      <c r="U60" s="328"/>
      <c r="W60" s="327"/>
      <c r="X60" s="327"/>
      <c r="Y60" s="327"/>
      <c r="Z60" s="327"/>
      <c r="AA60" s="327"/>
      <c r="AB60" s="327"/>
      <c r="AC60" s="327"/>
      <c r="AD60" s="327"/>
      <c r="AE60" s="327"/>
      <c r="AF60" s="327"/>
      <c r="AG60" s="327"/>
      <c r="AH60" s="327"/>
      <c r="AI60" s="327"/>
      <c r="AJ60" s="327"/>
      <c r="AK60" s="327"/>
      <c r="AL60" s="327"/>
      <c r="AM60" s="327"/>
      <c r="AN60" s="327"/>
      <c r="AO60" s="327"/>
      <c r="AP60" s="327"/>
      <c r="AQ60" s="327"/>
      <c r="AR60" s="327"/>
      <c r="AS60" s="327"/>
      <c r="AT60" s="327"/>
      <c r="AU60" s="327"/>
      <c r="AV60" s="327"/>
      <c r="AW60" s="327"/>
      <c r="AX60" s="327"/>
      <c r="AY60" s="327"/>
      <c r="AZ60" s="327"/>
    </row>
    <row r="61" spans="11:52">
      <c r="L61" s="325">
        <f t="shared" si="1"/>
        <v>58</v>
      </c>
      <c r="M61" s="328">
        <f t="shared" si="2"/>
        <v>0.1208333333333335</v>
      </c>
      <c r="N61" s="329">
        <f t="shared" si="0"/>
        <v>0.18461538461538662</v>
      </c>
      <c r="O61" s="327"/>
      <c r="P61" s="327"/>
      <c r="Q61" s="327"/>
      <c r="R61" s="327"/>
      <c r="S61" s="327"/>
      <c r="U61" s="328"/>
      <c r="W61" s="327"/>
      <c r="X61" s="327"/>
      <c r="Y61" s="327"/>
      <c r="Z61" s="327"/>
      <c r="AA61" s="327"/>
      <c r="AB61" s="327"/>
      <c r="AC61" s="327"/>
      <c r="AD61" s="327"/>
      <c r="AE61" s="327"/>
      <c r="AF61" s="327"/>
      <c r="AG61" s="327"/>
      <c r="AH61" s="327"/>
      <c r="AI61" s="327"/>
      <c r="AJ61" s="327"/>
      <c r="AK61" s="327"/>
      <c r="AL61" s="327"/>
      <c r="AM61" s="327"/>
      <c r="AN61" s="327"/>
      <c r="AO61" s="327"/>
      <c r="AP61" s="327"/>
      <c r="AQ61" s="327"/>
      <c r="AR61" s="327"/>
      <c r="AS61" s="327"/>
      <c r="AT61" s="327"/>
      <c r="AU61" s="327"/>
      <c r="AV61" s="327"/>
      <c r="AW61" s="327"/>
      <c r="AX61" s="327"/>
      <c r="AY61" s="327"/>
      <c r="AZ61" s="327"/>
    </row>
    <row r="62" spans="11:52">
      <c r="L62" s="325">
        <f t="shared" si="1"/>
        <v>59</v>
      </c>
      <c r="M62" s="328">
        <f t="shared" si="2"/>
        <v>0.12291666666666684</v>
      </c>
      <c r="N62" s="329">
        <f t="shared" si="0"/>
        <v>0.20769230769230962</v>
      </c>
      <c r="O62" s="327"/>
      <c r="P62" s="327"/>
      <c r="Q62" s="327"/>
      <c r="R62" s="327"/>
      <c r="S62" s="327"/>
      <c r="U62" s="328"/>
      <c r="W62" s="327"/>
      <c r="X62" s="327"/>
      <c r="Y62" s="327"/>
      <c r="Z62" s="327"/>
      <c r="AA62" s="327"/>
      <c r="AB62" s="327"/>
      <c r="AC62" s="327"/>
      <c r="AD62" s="327"/>
      <c r="AE62" s="327"/>
      <c r="AF62" s="327"/>
      <c r="AG62" s="327"/>
      <c r="AH62" s="327"/>
      <c r="AI62" s="327"/>
      <c r="AJ62" s="327"/>
      <c r="AK62" s="327"/>
      <c r="AL62" s="327"/>
      <c r="AM62" s="327"/>
      <c r="AN62" s="327"/>
      <c r="AO62" s="327"/>
      <c r="AP62" s="327"/>
      <c r="AQ62" s="327"/>
      <c r="AR62" s="327"/>
      <c r="AS62" s="327"/>
      <c r="AT62" s="327"/>
      <c r="AU62" s="327"/>
      <c r="AV62" s="327"/>
      <c r="AW62" s="327"/>
      <c r="AX62" s="327"/>
      <c r="AY62" s="327"/>
      <c r="AZ62" s="327"/>
    </row>
    <row r="63" spans="11:52">
      <c r="L63" s="325">
        <f t="shared" si="1"/>
        <v>60</v>
      </c>
      <c r="M63" s="328">
        <f t="shared" si="2"/>
        <v>0.12500000000000017</v>
      </c>
      <c r="N63" s="329">
        <f t="shared" si="0"/>
        <v>0.23076923076923261</v>
      </c>
      <c r="O63" s="327"/>
      <c r="P63" s="327"/>
      <c r="Q63" s="327"/>
      <c r="R63" s="327"/>
      <c r="S63" s="327"/>
      <c r="U63" s="328"/>
      <c r="W63" s="327"/>
      <c r="X63" s="327"/>
      <c r="Y63" s="327"/>
      <c r="Z63" s="327"/>
      <c r="AA63" s="327"/>
      <c r="AB63" s="327"/>
      <c r="AC63" s="327"/>
      <c r="AD63" s="327"/>
      <c r="AE63" s="327"/>
      <c r="AF63" s="327"/>
      <c r="AG63" s="327"/>
      <c r="AH63" s="327"/>
      <c r="AI63" s="327"/>
      <c r="AJ63" s="327"/>
      <c r="AK63" s="327"/>
      <c r="AL63" s="327"/>
      <c r="AM63" s="327"/>
      <c r="AN63" s="327"/>
      <c r="AO63" s="327"/>
      <c r="AP63" s="327"/>
      <c r="AQ63" s="327"/>
      <c r="AR63" s="327"/>
      <c r="AS63" s="327"/>
      <c r="AT63" s="327"/>
      <c r="AU63" s="327"/>
      <c r="AV63" s="327"/>
      <c r="AW63" s="327"/>
      <c r="AX63" s="327"/>
      <c r="AY63" s="327"/>
      <c r="AZ63" s="327"/>
    </row>
    <row r="64" spans="11:52">
      <c r="L64" s="325">
        <f t="shared" si="1"/>
        <v>61</v>
      </c>
      <c r="M64" s="328">
        <f t="shared" si="2"/>
        <v>0.12708333333333349</v>
      </c>
      <c r="N64" s="329">
        <f t="shared" si="0"/>
        <v>0.25384615384615561</v>
      </c>
      <c r="O64" s="327"/>
      <c r="P64" s="327"/>
      <c r="Q64" s="327"/>
      <c r="R64" s="327"/>
      <c r="S64" s="327"/>
      <c r="U64" s="328"/>
      <c r="W64" s="327"/>
      <c r="X64" s="327"/>
      <c r="Y64" s="327"/>
      <c r="Z64" s="327"/>
      <c r="AA64" s="327"/>
      <c r="AB64" s="327"/>
      <c r="AC64" s="327"/>
      <c r="AD64" s="327"/>
      <c r="AE64" s="327"/>
      <c r="AF64" s="327"/>
      <c r="AG64" s="327"/>
      <c r="AH64" s="327"/>
      <c r="AI64" s="327"/>
      <c r="AJ64" s="327"/>
      <c r="AK64" s="327"/>
      <c r="AL64" s="327"/>
      <c r="AM64" s="327"/>
      <c r="AN64" s="327"/>
      <c r="AO64" s="327"/>
      <c r="AP64" s="327"/>
      <c r="AQ64" s="327"/>
      <c r="AR64" s="327"/>
      <c r="AS64" s="327"/>
      <c r="AT64" s="327"/>
      <c r="AU64" s="327"/>
      <c r="AV64" s="327"/>
      <c r="AW64" s="327"/>
      <c r="AX64" s="327"/>
      <c r="AY64" s="327"/>
      <c r="AZ64" s="327"/>
    </row>
    <row r="65" spans="1:52">
      <c r="C65" s="327"/>
      <c r="L65" s="325">
        <f t="shared" si="1"/>
        <v>62</v>
      </c>
      <c r="M65" s="328">
        <f t="shared" si="2"/>
        <v>0.12916666666666682</v>
      </c>
      <c r="N65" s="329">
        <f t="shared" si="0"/>
        <v>0.2769230769230786</v>
      </c>
      <c r="O65" s="327"/>
      <c r="P65" s="327"/>
      <c r="Q65" s="327"/>
      <c r="R65" s="327"/>
      <c r="S65" s="327"/>
      <c r="U65" s="328"/>
      <c r="W65" s="327"/>
      <c r="X65" s="327"/>
      <c r="Y65" s="327"/>
      <c r="Z65" s="327"/>
      <c r="AA65" s="327"/>
      <c r="AB65" s="327"/>
      <c r="AC65" s="327"/>
      <c r="AD65" s="327"/>
      <c r="AE65" s="327"/>
      <c r="AF65" s="327"/>
      <c r="AG65" s="327"/>
      <c r="AH65" s="327"/>
      <c r="AI65" s="327"/>
      <c r="AJ65" s="327"/>
      <c r="AK65" s="327"/>
      <c r="AL65" s="327"/>
      <c r="AM65" s="327"/>
      <c r="AN65" s="327"/>
      <c r="AO65" s="327"/>
      <c r="AP65" s="327"/>
      <c r="AQ65" s="327"/>
      <c r="AR65" s="327"/>
      <c r="AS65" s="327"/>
      <c r="AT65" s="327"/>
      <c r="AU65" s="327"/>
      <c r="AV65" s="327"/>
      <c r="AW65" s="327"/>
      <c r="AX65" s="327"/>
      <c r="AY65" s="327"/>
      <c r="AZ65" s="327"/>
    </row>
    <row r="66" spans="1:52">
      <c r="C66" s="327"/>
      <c r="L66" s="325">
        <f t="shared" si="1"/>
        <v>63</v>
      </c>
      <c r="M66" s="328">
        <f t="shared" si="2"/>
        <v>0.13125000000000014</v>
      </c>
      <c r="N66" s="329">
        <f t="shared" si="0"/>
        <v>0.3000000000000016</v>
      </c>
      <c r="O66" s="327"/>
      <c r="P66" s="327"/>
      <c r="Q66" s="327"/>
      <c r="R66" s="327"/>
      <c r="S66" s="327"/>
      <c r="U66" s="328"/>
      <c r="W66" s="327"/>
      <c r="X66" s="327"/>
      <c r="Y66" s="327"/>
      <c r="Z66" s="327"/>
      <c r="AA66" s="327"/>
      <c r="AB66" s="327"/>
      <c r="AC66" s="327"/>
      <c r="AD66" s="327"/>
      <c r="AE66" s="327"/>
      <c r="AF66" s="327"/>
      <c r="AG66" s="327"/>
      <c r="AH66" s="327"/>
      <c r="AI66" s="327"/>
      <c r="AJ66" s="327"/>
      <c r="AK66" s="327"/>
      <c r="AL66" s="327"/>
      <c r="AM66" s="327"/>
      <c r="AN66" s="327"/>
      <c r="AO66" s="327"/>
      <c r="AP66" s="327"/>
      <c r="AQ66" s="327"/>
      <c r="AR66" s="327"/>
      <c r="AS66" s="327"/>
      <c r="AT66" s="327"/>
      <c r="AU66" s="327"/>
      <c r="AV66" s="327"/>
      <c r="AW66" s="327"/>
      <c r="AX66" s="327"/>
      <c r="AY66" s="327"/>
      <c r="AZ66" s="327"/>
    </row>
    <row r="67" spans="1:52">
      <c r="C67" s="327"/>
      <c r="L67" s="325">
        <f t="shared" si="1"/>
        <v>64</v>
      </c>
      <c r="M67" s="328">
        <f t="shared" si="2"/>
        <v>0.13333333333333347</v>
      </c>
      <c r="N67" s="329">
        <f t="shared" si="0"/>
        <v>0.32307692307692459</v>
      </c>
      <c r="O67" s="327"/>
      <c r="P67" s="327"/>
      <c r="Q67" s="327"/>
      <c r="R67" s="327"/>
      <c r="S67" s="327"/>
      <c r="U67" s="328"/>
      <c r="W67" s="327"/>
      <c r="X67" s="327"/>
      <c r="Y67" s="327"/>
      <c r="Z67" s="327"/>
      <c r="AA67" s="327"/>
      <c r="AB67" s="327"/>
      <c r="AC67" s="327"/>
      <c r="AD67" s="327"/>
      <c r="AE67" s="327"/>
      <c r="AF67" s="327"/>
      <c r="AG67" s="327"/>
      <c r="AH67" s="327"/>
      <c r="AI67" s="327"/>
      <c r="AJ67" s="327"/>
      <c r="AK67" s="327"/>
      <c r="AL67" s="327"/>
      <c r="AM67" s="327"/>
      <c r="AN67" s="327"/>
      <c r="AO67" s="327"/>
      <c r="AP67" s="327"/>
      <c r="AQ67" s="327"/>
      <c r="AR67" s="327"/>
      <c r="AS67" s="327"/>
      <c r="AT67" s="327"/>
      <c r="AU67" s="327"/>
      <c r="AV67" s="327"/>
      <c r="AW67" s="327"/>
      <c r="AX67" s="327"/>
      <c r="AY67" s="327"/>
      <c r="AZ67" s="327"/>
    </row>
    <row r="68" spans="1:52">
      <c r="A68" s="330"/>
      <c r="L68" s="325">
        <f t="shared" si="1"/>
        <v>65</v>
      </c>
      <c r="M68" s="328">
        <f t="shared" si="2"/>
        <v>0.1354166666666668</v>
      </c>
      <c r="N68" s="329">
        <f t="shared" ref="N68:N103" si="3">IF($B$25="Buck",$B$34/($B$33/($B$29*10^3)*10^6)*M68-$B$34/2,-$B$34/($B$33/($B$29*10^3)*10^6)*M68+$B$34/2)</f>
        <v>0.34615384615384759</v>
      </c>
      <c r="O68" s="327"/>
      <c r="P68" s="327"/>
      <c r="Q68" s="327"/>
      <c r="R68" s="327"/>
      <c r="S68" s="327"/>
      <c r="U68" s="328"/>
      <c r="W68" s="327"/>
      <c r="X68" s="327"/>
      <c r="Y68" s="327"/>
      <c r="Z68" s="327"/>
      <c r="AA68" s="327"/>
      <c r="AB68" s="327"/>
      <c r="AC68" s="327"/>
      <c r="AD68" s="327"/>
      <c r="AE68" s="327"/>
      <c r="AF68" s="327"/>
      <c r="AG68" s="327"/>
      <c r="AH68" s="327"/>
      <c r="AI68" s="327"/>
      <c r="AJ68" s="327"/>
      <c r="AK68" s="327"/>
      <c r="AL68" s="327"/>
      <c r="AM68" s="327"/>
      <c r="AN68" s="327"/>
      <c r="AO68" s="327"/>
      <c r="AP68" s="327"/>
      <c r="AQ68" s="327"/>
      <c r="AR68" s="327"/>
      <c r="AS68" s="327"/>
      <c r="AT68" s="327"/>
      <c r="AU68" s="327"/>
      <c r="AV68" s="327"/>
      <c r="AW68" s="327"/>
      <c r="AX68" s="327"/>
      <c r="AY68" s="327"/>
      <c r="AZ68" s="327"/>
    </row>
    <row r="69" spans="1:52">
      <c r="L69" s="325">
        <f t="shared" ref="L69:L132" si="4">L68+1</f>
        <v>66</v>
      </c>
      <c r="M69" s="328">
        <f t="shared" ref="M69:M103" si="5">$B$33/($B$29*10^3)*10^6/100+M68</f>
        <v>0.13750000000000012</v>
      </c>
      <c r="N69" s="329">
        <f t="shared" si="3"/>
        <v>0.36923076923077058</v>
      </c>
      <c r="O69" s="327"/>
      <c r="P69" s="327"/>
      <c r="Q69" s="327"/>
      <c r="R69" s="327"/>
      <c r="S69" s="327"/>
      <c r="U69" s="328"/>
      <c r="W69" s="327"/>
      <c r="X69" s="327"/>
      <c r="Y69" s="327"/>
      <c r="Z69" s="327"/>
      <c r="AA69" s="327"/>
      <c r="AB69" s="327"/>
      <c r="AC69" s="327"/>
      <c r="AD69" s="327"/>
      <c r="AE69" s="327"/>
      <c r="AF69" s="327"/>
      <c r="AG69" s="327"/>
      <c r="AH69" s="327"/>
      <c r="AI69" s="327"/>
      <c r="AJ69" s="327"/>
      <c r="AK69" s="327"/>
      <c r="AL69" s="327"/>
      <c r="AM69" s="327"/>
      <c r="AN69" s="327"/>
      <c r="AO69" s="327"/>
      <c r="AP69" s="327"/>
      <c r="AQ69" s="327"/>
      <c r="AR69" s="327"/>
      <c r="AS69" s="327"/>
      <c r="AT69" s="327"/>
      <c r="AU69" s="327"/>
      <c r="AV69" s="327"/>
      <c r="AW69" s="327"/>
      <c r="AX69" s="327"/>
      <c r="AY69" s="327"/>
      <c r="AZ69" s="327"/>
    </row>
    <row r="70" spans="1:52">
      <c r="L70" s="325">
        <f t="shared" si="4"/>
        <v>67</v>
      </c>
      <c r="M70" s="328">
        <f t="shared" si="5"/>
        <v>0.13958333333333345</v>
      </c>
      <c r="N70" s="329">
        <f t="shared" si="3"/>
        <v>0.39230769230769358</v>
      </c>
      <c r="O70" s="327"/>
      <c r="P70" s="327"/>
      <c r="Q70" s="327"/>
      <c r="R70" s="327"/>
      <c r="S70" s="327"/>
      <c r="U70" s="328"/>
      <c r="W70" s="327"/>
      <c r="X70" s="327"/>
      <c r="Y70" s="327"/>
      <c r="Z70" s="327"/>
      <c r="AA70" s="327"/>
      <c r="AB70" s="327"/>
      <c r="AC70" s="327"/>
      <c r="AD70" s="327"/>
      <c r="AE70" s="327"/>
      <c r="AF70" s="327"/>
      <c r="AG70" s="327"/>
      <c r="AH70" s="327"/>
      <c r="AI70" s="327"/>
      <c r="AJ70" s="327"/>
      <c r="AK70" s="327"/>
      <c r="AL70" s="327"/>
      <c r="AM70" s="327"/>
      <c r="AN70" s="327"/>
      <c r="AO70" s="327"/>
      <c r="AP70" s="327"/>
      <c r="AQ70" s="327"/>
      <c r="AR70" s="327"/>
      <c r="AS70" s="327"/>
      <c r="AT70" s="327"/>
      <c r="AU70" s="327"/>
      <c r="AV70" s="327"/>
      <c r="AW70" s="327"/>
      <c r="AX70" s="327"/>
      <c r="AY70" s="327"/>
      <c r="AZ70" s="327"/>
    </row>
    <row r="71" spans="1:52">
      <c r="L71" s="325">
        <f t="shared" si="4"/>
        <v>68</v>
      </c>
      <c r="M71" s="328">
        <f t="shared" si="5"/>
        <v>0.14166666666666677</v>
      </c>
      <c r="N71" s="329">
        <f t="shared" si="3"/>
        <v>0.41538461538461657</v>
      </c>
      <c r="O71" s="327"/>
      <c r="P71" s="327"/>
      <c r="Q71" s="327"/>
      <c r="R71" s="327"/>
      <c r="S71" s="327"/>
      <c r="U71" s="328"/>
      <c r="W71" s="327"/>
      <c r="X71" s="327"/>
      <c r="Y71" s="327"/>
      <c r="Z71" s="327"/>
      <c r="AA71" s="327"/>
      <c r="AB71" s="327"/>
      <c r="AC71" s="327"/>
      <c r="AD71" s="327"/>
      <c r="AE71" s="327"/>
      <c r="AF71" s="327"/>
      <c r="AG71" s="327"/>
      <c r="AH71" s="327"/>
      <c r="AI71" s="327"/>
      <c r="AJ71" s="327"/>
      <c r="AK71" s="327"/>
      <c r="AL71" s="327"/>
      <c r="AM71" s="327"/>
      <c r="AN71" s="327"/>
      <c r="AO71" s="327"/>
      <c r="AP71" s="327"/>
      <c r="AQ71" s="327"/>
      <c r="AR71" s="327"/>
      <c r="AS71" s="327"/>
      <c r="AT71" s="327"/>
      <c r="AU71" s="327"/>
      <c r="AV71" s="327"/>
      <c r="AW71" s="327"/>
      <c r="AX71" s="327"/>
      <c r="AY71" s="327"/>
      <c r="AZ71" s="327"/>
    </row>
    <row r="72" spans="1:52">
      <c r="L72" s="325">
        <f t="shared" si="4"/>
        <v>69</v>
      </c>
      <c r="M72" s="328">
        <f t="shared" si="5"/>
        <v>0.1437500000000001</v>
      </c>
      <c r="N72" s="329">
        <f t="shared" si="3"/>
        <v>0.43846153846153957</v>
      </c>
      <c r="O72" s="327"/>
      <c r="P72" s="327"/>
      <c r="Q72" s="327"/>
      <c r="R72" s="327"/>
      <c r="S72" s="327"/>
      <c r="U72" s="328"/>
      <c r="W72" s="327"/>
      <c r="X72" s="327"/>
      <c r="Y72" s="327"/>
      <c r="Z72" s="327"/>
      <c r="AA72" s="327"/>
      <c r="AB72" s="327"/>
      <c r="AC72" s="327"/>
      <c r="AD72" s="327"/>
      <c r="AE72" s="327"/>
      <c r="AF72" s="327"/>
      <c r="AG72" s="327"/>
      <c r="AH72" s="327"/>
      <c r="AI72" s="327"/>
      <c r="AJ72" s="327"/>
      <c r="AK72" s="327"/>
      <c r="AL72" s="327"/>
      <c r="AM72" s="327"/>
      <c r="AN72" s="327"/>
      <c r="AO72" s="327"/>
      <c r="AP72" s="327"/>
      <c r="AQ72" s="327"/>
      <c r="AR72" s="327"/>
      <c r="AS72" s="327"/>
      <c r="AT72" s="327"/>
      <c r="AU72" s="327"/>
      <c r="AV72" s="327"/>
      <c r="AW72" s="327"/>
      <c r="AX72" s="327"/>
      <c r="AY72" s="327"/>
      <c r="AZ72" s="327"/>
    </row>
    <row r="73" spans="1:52">
      <c r="L73" s="325">
        <f t="shared" si="4"/>
        <v>70</v>
      </c>
      <c r="M73" s="328">
        <f t="shared" si="5"/>
        <v>0.14583333333333343</v>
      </c>
      <c r="N73" s="329">
        <f t="shared" si="3"/>
        <v>0.46153846153846256</v>
      </c>
      <c r="O73" s="327"/>
      <c r="P73" s="327"/>
      <c r="Q73" s="327"/>
      <c r="R73" s="327"/>
      <c r="S73" s="327"/>
      <c r="U73" s="328"/>
      <c r="W73" s="327"/>
      <c r="X73" s="327"/>
      <c r="Y73" s="327"/>
      <c r="Z73" s="327"/>
      <c r="AA73" s="327"/>
      <c r="AB73" s="327"/>
      <c r="AC73" s="327"/>
      <c r="AD73" s="327"/>
      <c r="AE73" s="327"/>
      <c r="AF73" s="327"/>
      <c r="AG73" s="327"/>
      <c r="AH73" s="327"/>
      <c r="AI73" s="327"/>
      <c r="AJ73" s="327"/>
      <c r="AK73" s="327"/>
      <c r="AL73" s="327"/>
      <c r="AM73" s="327"/>
      <c r="AN73" s="327"/>
      <c r="AO73" s="327"/>
      <c r="AP73" s="327"/>
      <c r="AQ73" s="327"/>
      <c r="AR73" s="327"/>
      <c r="AS73" s="327"/>
      <c r="AT73" s="327"/>
      <c r="AU73" s="327"/>
      <c r="AV73" s="327"/>
      <c r="AW73" s="327"/>
      <c r="AX73" s="327"/>
      <c r="AY73" s="327"/>
      <c r="AZ73" s="327"/>
    </row>
    <row r="74" spans="1:52">
      <c r="L74" s="325">
        <f t="shared" si="4"/>
        <v>71</v>
      </c>
      <c r="M74" s="328">
        <f t="shared" si="5"/>
        <v>0.14791666666666675</v>
      </c>
      <c r="N74" s="329">
        <f t="shared" si="3"/>
        <v>0.48461538461538556</v>
      </c>
      <c r="O74" s="327"/>
      <c r="P74" s="327"/>
      <c r="Q74" s="327"/>
      <c r="R74" s="327"/>
      <c r="S74" s="327"/>
      <c r="U74" s="328"/>
      <c r="W74" s="327"/>
      <c r="X74" s="327"/>
      <c r="Y74" s="327"/>
      <c r="Z74" s="327"/>
      <c r="AA74" s="327"/>
      <c r="AB74" s="327"/>
      <c r="AC74" s="327"/>
      <c r="AD74" s="327"/>
      <c r="AE74" s="327"/>
      <c r="AF74" s="327"/>
      <c r="AG74" s="327"/>
      <c r="AH74" s="327"/>
      <c r="AI74" s="327"/>
      <c r="AJ74" s="327"/>
      <c r="AK74" s="327"/>
      <c r="AL74" s="327"/>
      <c r="AM74" s="327"/>
      <c r="AN74" s="327"/>
      <c r="AO74" s="327"/>
      <c r="AP74" s="327"/>
      <c r="AQ74" s="327"/>
      <c r="AR74" s="327"/>
      <c r="AS74" s="327"/>
      <c r="AT74" s="327"/>
      <c r="AU74" s="327"/>
      <c r="AV74" s="327"/>
      <c r="AW74" s="327"/>
      <c r="AX74" s="327"/>
      <c r="AY74" s="327"/>
      <c r="AZ74" s="327"/>
    </row>
    <row r="75" spans="1:52">
      <c r="B75" s="327"/>
      <c r="C75" s="327"/>
      <c r="D75" s="327"/>
      <c r="F75" s="327"/>
      <c r="G75" s="327"/>
      <c r="H75" s="326"/>
      <c r="I75" s="327"/>
      <c r="L75" s="325">
        <f t="shared" si="4"/>
        <v>72</v>
      </c>
      <c r="M75" s="328">
        <f t="shared" si="5"/>
        <v>0.15000000000000008</v>
      </c>
      <c r="N75" s="329">
        <f t="shared" si="3"/>
        <v>0.50769230769230855</v>
      </c>
      <c r="O75" s="327"/>
      <c r="P75" s="327"/>
      <c r="Q75" s="327"/>
      <c r="R75" s="327"/>
      <c r="S75" s="327"/>
      <c r="U75" s="328"/>
      <c r="W75" s="327"/>
      <c r="X75" s="327"/>
      <c r="Y75" s="327"/>
      <c r="Z75" s="327"/>
      <c r="AA75" s="327"/>
      <c r="AB75" s="327"/>
      <c r="AC75" s="327"/>
      <c r="AD75" s="327"/>
      <c r="AE75" s="327"/>
      <c r="AF75" s="327"/>
      <c r="AG75" s="327"/>
      <c r="AH75" s="327"/>
      <c r="AI75" s="327"/>
      <c r="AJ75" s="327"/>
      <c r="AK75" s="327"/>
      <c r="AL75" s="327"/>
      <c r="AM75" s="327"/>
      <c r="AN75" s="327"/>
      <c r="AO75" s="327"/>
      <c r="AP75" s="327"/>
      <c r="AQ75" s="327"/>
      <c r="AR75" s="327"/>
      <c r="AS75" s="327"/>
      <c r="AT75" s="327"/>
      <c r="AU75" s="327"/>
      <c r="AV75" s="327"/>
      <c r="AW75" s="327"/>
      <c r="AX75" s="327"/>
      <c r="AY75" s="327"/>
      <c r="AZ75" s="327"/>
    </row>
    <row r="76" spans="1:52">
      <c r="B76" s="327"/>
      <c r="C76" s="327"/>
      <c r="D76" s="327"/>
      <c r="F76" s="327"/>
      <c r="G76" s="327"/>
      <c r="H76" s="326"/>
      <c r="I76" s="327"/>
      <c r="L76" s="325">
        <f t="shared" si="4"/>
        <v>73</v>
      </c>
      <c r="M76" s="328">
        <f t="shared" si="5"/>
        <v>0.1520833333333334</v>
      </c>
      <c r="N76" s="329">
        <f t="shared" si="3"/>
        <v>0.53076923076923155</v>
      </c>
      <c r="O76" s="327"/>
      <c r="P76" s="327"/>
      <c r="Q76" s="327"/>
      <c r="R76" s="327"/>
      <c r="S76" s="327"/>
      <c r="U76" s="328"/>
      <c r="W76" s="327"/>
      <c r="X76" s="327"/>
      <c r="Y76" s="327"/>
      <c r="Z76" s="327"/>
      <c r="AA76" s="327"/>
      <c r="AB76" s="327"/>
      <c r="AC76" s="327"/>
      <c r="AD76" s="327"/>
      <c r="AE76" s="327"/>
      <c r="AF76" s="327"/>
      <c r="AG76" s="327"/>
      <c r="AH76" s="327"/>
      <c r="AI76" s="327"/>
      <c r="AJ76" s="327"/>
      <c r="AK76" s="327"/>
      <c r="AL76" s="327"/>
      <c r="AM76" s="327"/>
      <c r="AN76" s="327"/>
      <c r="AO76" s="327"/>
      <c r="AP76" s="327"/>
      <c r="AQ76" s="327"/>
      <c r="AR76" s="327"/>
      <c r="AS76" s="327"/>
      <c r="AT76" s="327"/>
      <c r="AU76" s="327"/>
      <c r="AV76" s="327"/>
      <c r="AW76" s="327"/>
      <c r="AX76" s="327"/>
      <c r="AY76" s="327"/>
      <c r="AZ76" s="327"/>
    </row>
    <row r="77" spans="1:52">
      <c r="B77" s="327"/>
      <c r="C77" s="327"/>
      <c r="D77" s="327"/>
      <c r="F77" s="327"/>
      <c r="G77" s="327"/>
      <c r="H77" s="326"/>
      <c r="I77" s="327"/>
      <c r="L77" s="325">
        <f t="shared" si="4"/>
        <v>74</v>
      </c>
      <c r="M77" s="328">
        <f t="shared" si="5"/>
        <v>0.15416666666666673</v>
      </c>
      <c r="N77" s="329">
        <f t="shared" si="3"/>
        <v>0.55384615384615477</v>
      </c>
      <c r="O77" s="327"/>
      <c r="P77" s="327"/>
      <c r="Q77" s="327"/>
      <c r="R77" s="327"/>
      <c r="S77" s="327"/>
      <c r="U77" s="328"/>
      <c r="W77" s="327"/>
      <c r="X77" s="327"/>
      <c r="Y77" s="327"/>
      <c r="Z77" s="327"/>
      <c r="AA77" s="327"/>
      <c r="AB77" s="327"/>
      <c r="AC77" s="327"/>
      <c r="AD77" s="327"/>
      <c r="AE77" s="327"/>
      <c r="AF77" s="327"/>
      <c r="AG77" s="327"/>
      <c r="AH77" s="327"/>
      <c r="AI77" s="327"/>
      <c r="AJ77" s="327"/>
      <c r="AK77" s="327"/>
      <c r="AL77" s="327"/>
      <c r="AM77" s="327"/>
      <c r="AN77" s="327"/>
      <c r="AO77" s="327"/>
      <c r="AP77" s="327"/>
      <c r="AQ77" s="327"/>
      <c r="AR77" s="327"/>
      <c r="AS77" s="327"/>
      <c r="AT77" s="327"/>
      <c r="AU77" s="327"/>
      <c r="AV77" s="327"/>
      <c r="AW77" s="327"/>
      <c r="AX77" s="327"/>
      <c r="AY77" s="327"/>
      <c r="AZ77" s="327"/>
    </row>
    <row r="78" spans="1:52">
      <c r="B78" s="327"/>
      <c r="C78" s="327"/>
      <c r="D78" s="327"/>
      <c r="F78" s="327"/>
      <c r="G78" s="327"/>
      <c r="H78" s="326"/>
      <c r="I78" s="327"/>
      <c r="L78" s="325">
        <f t="shared" si="4"/>
        <v>75</v>
      </c>
      <c r="M78" s="328">
        <f t="shared" si="5"/>
        <v>0.15625000000000006</v>
      </c>
      <c r="N78" s="329">
        <f t="shared" si="3"/>
        <v>0.57692307692307776</v>
      </c>
      <c r="O78" s="327"/>
      <c r="P78" s="327"/>
      <c r="Q78" s="327"/>
      <c r="R78" s="327"/>
      <c r="S78" s="327"/>
      <c r="U78" s="328"/>
      <c r="W78" s="327"/>
      <c r="X78" s="327"/>
      <c r="Y78" s="327"/>
      <c r="Z78" s="327"/>
      <c r="AA78" s="327"/>
      <c r="AB78" s="327"/>
      <c r="AC78" s="327"/>
      <c r="AD78" s="327"/>
      <c r="AE78" s="327"/>
      <c r="AF78" s="327"/>
      <c r="AG78" s="327"/>
      <c r="AH78" s="327"/>
      <c r="AI78" s="327"/>
      <c r="AJ78" s="327"/>
      <c r="AK78" s="327"/>
      <c r="AL78" s="327"/>
      <c r="AM78" s="327"/>
      <c r="AN78" s="327"/>
      <c r="AO78" s="327"/>
      <c r="AP78" s="327"/>
      <c r="AQ78" s="327"/>
      <c r="AR78" s="327"/>
      <c r="AS78" s="327"/>
      <c r="AT78" s="327"/>
      <c r="AU78" s="327"/>
      <c r="AV78" s="327"/>
      <c r="AW78" s="327"/>
      <c r="AX78" s="327"/>
      <c r="AY78" s="327"/>
      <c r="AZ78" s="327"/>
    </row>
    <row r="79" spans="1:52">
      <c r="B79" s="327"/>
      <c r="C79" s="327"/>
      <c r="D79" s="327"/>
      <c r="F79" s="327"/>
      <c r="G79" s="327"/>
      <c r="H79" s="326"/>
      <c r="I79" s="327"/>
      <c r="L79" s="325">
        <f t="shared" si="4"/>
        <v>76</v>
      </c>
      <c r="M79" s="328">
        <f t="shared" si="5"/>
        <v>0.15833333333333338</v>
      </c>
      <c r="N79" s="329">
        <f t="shared" si="3"/>
        <v>0.60000000000000075</v>
      </c>
      <c r="O79" s="327"/>
      <c r="P79" s="327"/>
      <c r="Q79" s="327"/>
      <c r="R79" s="327"/>
      <c r="S79" s="327"/>
      <c r="U79" s="328"/>
      <c r="W79" s="327"/>
      <c r="X79" s="327"/>
      <c r="Y79" s="327"/>
      <c r="Z79" s="327"/>
      <c r="AA79" s="327"/>
      <c r="AB79" s="327"/>
      <c r="AC79" s="327"/>
      <c r="AD79" s="327"/>
      <c r="AE79" s="327"/>
      <c r="AF79" s="327"/>
      <c r="AG79" s="327"/>
      <c r="AH79" s="327"/>
      <c r="AI79" s="327"/>
      <c r="AJ79" s="327"/>
      <c r="AK79" s="327"/>
      <c r="AL79" s="327"/>
      <c r="AM79" s="327"/>
      <c r="AN79" s="327"/>
      <c r="AO79" s="327"/>
      <c r="AP79" s="327"/>
      <c r="AQ79" s="327"/>
      <c r="AR79" s="327"/>
      <c r="AS79" s="327"/>
      <c r="AT79" s="327"/>
      <c r="AU79" s="327"/>
      <c r="AV79" s="327"/>
      <c r="AW79" s="327"/>
      <c r="AX79" s="327"/>
      <c r="AY79" s="327"/>
      <c r="AZ79" s="327"/>
    </row>
    <row r="80" spans="1:52">
      <c r="B80" s="327"/>
      <c r="C80" s="327"/>
      <c r="D80" s="327"/>
      <c r="F80" s="327"/>
      <c r="G80" s="327"/>
      <c r="H80" s="326"/>
      <c r="I80" s="327"/>
      <c r="L80" s="325">
        <f t="shared" si="4"/>
        <v>77</v>
      </c>
      <c r="M80" s="328">
        <f t="shared" si="5"/>
        <v>0.16041666666666671</v>
      </c>
      <c r="N80" s="329">
        <f t="shared" si="3"/>
        <v>0.62307692307692375</v>
      </c>
      <c r="O80" s="327"/>
      <c r="P80" s="327"/>
      <c r="Q80" s="327"/>
      <c r="R80" s="327"/>
      <c r="S80" s="327"/>
      <c r="U80" s="328"/>
      <c r="W80" s="327"/>
      <c r="X80" s="327"/>
      <c r="Y80" s="327"/>
      <c r="Z80" s="327"/>
      <c r="AA80" s="327"/>
      <c r="AB80" s="327"/>
      <c r="AC80" s="327"/>
      <c r="AD80" s="327"/>
      <c r="AE80" s="327"/>
      <c r="AF80" s="327"/>
      <c r="AG80" s="327"/>
      <c r="AH80" s="327"/>
      <c r="AI80" s="327"/>
      <c r="AJ80" s="327"/>
      <c r="AK80" s="327"/>
      <c r="AL80" s="327"/>
      <c r="AM80" s="327"/>
      <c r="AN80" s="327"/>
      <c r="AO80" s="327"/>
      <c r="AP80" s="327"/>
      <c r="AQ80" s="327"/>
      <c r="AR80" s="327"/>
      <c r="AS80" s="327"/>
      <c r="AT80" s="327"/>
      <c r="AU80" s="327"/>
      <c r="AV80" s="327"/>
      <c r="AW80" s="327"/>
      <c r="AX80" s="327"/>
      <c r="AY80" s="327"/>
      <c r="AZ80" s="327"/>
    </row>
    <row r="81" spans="2:52">
      <c r="B81" s="327"/>
      <c r="C81" s="327"/>
      <c r="D81" s="327"/>
      <c r="F81" s="327"/>
      <c r="G81" s="327"/>
      <c r="H81" s="326"/>
      <c r="I81" s="327"/>
      <c r="L81" s="325">
        <f t="shared" si="4"/>
        <v>78</v>
      </c>
      <c r="M81" s="328">
        <f t="shared" si="5"/>
        <v>0.16250000000000003</v>
      </c>
      <c r="N81" s="329">
        <f t="shared" si="3"/>
        <v>0.64615384615384674</v>
      </c>
      <c r="O81" s="327"/>
      <c r="P81" s="327"/>
      <c r="Q81" s="327"/>
      <c r="R81" s="327"/>
      <c r="S81" s="327"/>
      <c r="U81" s="328"/>
      <c r="W81" s="327"/>
      <c r="X81" s="327"/>
      <c r="Y81" s="327"/>
      <c r="Z81" s="327"/>
      <c r="AA81" s="327"/>
      <c r="AB81" s="327"/>
      <c r="AC81" s="327"/>
      <c r="AD81" s="327"/>
      <c r="AE81" s="327"/>
      <c r="AF81" s="327"/>
      <c r="AG81" s="327"/>
      <c r="AH81" s="327"/>
      <c r="AI81" s="327"/>
      <c r="AJ81" s="327"/>
      <c r="AK81" s="327"/>
      <c r="AL81" s="327"/>
      <c r="AM81" s="327"/>
      <c r="AN81" s="327"/>
      <c r="AO81" s="327"/>
      <c r="AP81" s="327"/>
      <c r="AQ81" s="327"/>
      <c r="AR81" s="327"/>
      <c r="AS81" s="327"/>
      <c r="AT81" s="327"/>
      <c r="AU81" s="327"/>
      <c r="AV81" s="327"/>
      <c r="AW81" s="327"/>
      <c r="AX81" s="327"/>
      <c r="AY81" s="327"/>
      <c r="AZ81" s="327"/>
    </row>
    <row r="82" spans="2:52">
      <c r="B82" s="327"/>
      <c r="C82" s="327"/>
      <c r="D82" s="327"/>
      <c r="F82" s="327"/>
      <c r="G82" s="327"/>
      <c r="H82" s="326"/>
      <c r="I82" s="327"/>
      <c r="L82" s="325">
        <f t="shared" si="4"/>
        <v>79</v>
      </c>
      <c r="M82" s="328">
        <f t="shared" si="5"/>
        <v>0.16458333333333336</v>
      </c>
      <c r="N82" s="329">
        <f t="shared" si="3"/>
        <v>0.66923076923076974</v>
      </c>
      <c r="O82" s="327"/>
      <c r="P82" s="327"/>
      <c r="Q82" s="327"/>
      <c r="R82" s="327"/>
      <c r="S82" s="327"/>
      <c r="U82" s="328"/>
      <c r="W82" s="327"/>
      <c r="X82" s="327"/>
      <c r="Y82" s="327"/>
      <c r="Z82" s="327"/>
      <c r="AA82" s="327"/>
      <c r="AB82" s="327"/>
      <c r="AC82" s="327"/>
      <c r="AD82" s="327"/>
      <c r="AE82" s="327"/>
      <c r="AF82" s="327"/>
      <c r="AG82" s="327"/>
      <c r="AH82" s="327"/>
      <c r="AI82" s="327"/>
      <c r="AJ82" s="327"/>
      <c r="AK82" s="327"/>
      <c r="AL82" s="327"/>
      <c r="AM82" s="327"/>
      <c r="AN82" s="327"/>
      <c r="AO82" s="327"/>
      <c r="AP82" s="327"/>
      <c r="AQ82" s="327"/>
      <c r="AR82" s="327"/>
      <c r="AS82" s="327"/>
      <c r="AT82" s="327"/>
      <c r="AU82" s="327"/>
      <c r="AV82" s="327"/>
      <c r="AW82" s="327"/>
      <c r="AX82" s="327"/>
      <c r="AY82" s="327"/>
      <c r="AZ82" s="327"/>
    </row>
    <row r="83" spans="2:52">
      <c r="B83" s="327"/>
      <c r="C83" s="327"/>
      <c r="D83" s="327"/>
      <c r="F83" s="327"/>
      <c r="G83" s="327"/>
      <c r="H83" s="326"/>
      <c r="I83" s="327"/>
      <c r="L83" s="325">
        <f t="shared" si="4"/>
        <v>80</v>
      </c>
      <c r="M83" s="328">
        <f t="shared" si="5"/>
        <v>0.16666666666666669</v>
      </c>
      <c r="N83" s="329">
        <f t="shared" si="3"/>
        <v>0.69230769230769273</v>
      </c>
      <c r="O83" s="327"/>
      <c r="P83" s="327"/>
      <c r="Q83" s="327"/>
      <c r="R83" s="327"/>
      <c r="S83" s="327"/>
      <c r="U83" s="328"/>
      <c r="W83" s="327"/>
      <c r="X83" s="327"/>
      <c r="Y83" s="327"/>
      <c r="Z83" s="327"/>
      <c r="AA83" s="327"/>
      <c r="AB83" s="327"/>
      <c r="AC83" s="327"/>
      <c r="AD83" s="327"/>
      <c r="AE83" s="327"/>
      <c r="AF83" s="327"/>
      <c r="AG83" s="327"/>
      <c r="AH83" s="327"/>
      <c r="AI83" s="327"/>
      <c r="AJ83" s="327"/>
      <c r="AK83" s="327"/>
      <c r="AL83" s="327"/>
      <c r="AM83" s="327"/>
      <c r="AN83" s="327"/>
      <c r="AO83" s="327"/>
      <c r="AP83" s="327"/>
      <c r="AQ83" s="327"/>
      <c r="AR83" s="327"/>
      <c r="AS83" s="327"/>
      <c r="AT83" s="327"/>
      <c r="AU83" s="327"/>
      <c r="AV83" s="327"/>
      <c r="AW83" s="327"/>
      <c r="AX83" s="327"/>
      <c r="AY83" s="327"/>
      <c r="AZ83" s="327"/>
    </row>
    <row r="84" spans="2:52">
      <c r="B84" s="327"/>
      <c r="C84" s="327"/>
      <c r="D84" s="327"/>
      <c r="F84" s="326"/>
      <c r="G84" s="327"/>
      <c r="H84" s="326"/>
      <c r="I84" s="327"/>
      <c r="L84" s="325">
        <f t="shared" si="4"/>
        <v>81</v>
      </c>
      <c r="M84" s="328">
        <f t="shared" si="5"/>
        <v>0.16875000000000001</v>
      </c>
      <c r="N84" s="329">
        <f t="shared" si="3"/>
        <v>0.71538461538461573</v>
      </c>
      <c r="O84" s="327"/>
      <c r="P84" s="327"/>
      <c r="Q84" s="327"/>
      <c r="R84" s="327"/>
      <c r="S84" s="327"/>
      <c r="U84" s="328"/>
      <c r="W84" s="327"/>
      <c r="X84" s="327"/>
      <c r="Y84" s="327"/>
      <c r="Z84" s="327"/>
      <c r="AA84" s="327"/>
      <c r="AB84" s="327"/>
      <c r="AC84" s="327"/>
      <c r="AD84" s="327"/>
      <c r="AE84" s="327"/>
      <c r="AF84" s="327"/>
      <c r="AG84" s="327"/>
      <c r="AH84" s="327"/>
      <c r="AI84" s="327"/>
      <c r="AJ84" s="327"/>
      <c r="AK84" s="327"/>
      <c r="AL84" s="327"/>
      <c r="AM84" s="327"/>
      <c r="AN84" s="327"/>
      <c r="AO84" s="327"/>
      <c r="AP84" s="327"/>
      <c r="AQ84" s="327"/>
      <c r="AR84" s="327"/>
      <c r="AS84" s="327"/>
      <c r="AT84" s="327"/>
      <c r="AU84" s="327"/>
      <c r="AV84" s="327"/>
      <c r="AW84" s="327"/>
      <c r="AX84" s="327"/>
      <c r="AY84" s="327"/>
      <c r="AZ84" s="327"/>
    </row>
    <row r="85" spans="2:52">
      <c r="B85" s="327"/>
      <c r="C85" s="327"/>
      <c r="D85" s="327"/>
      <c r="F85" s="327"/>
      <c r="G85" s="327"/>
      <c r="H85" s="326"/>
      <c r="I85" s="327"/>
      <c r="L85" s="325">
        <f t="shared" si="4"/>
        <v>82</v>
      </c>
      <c r="M85" s="328">
        <f t="shared" si="5"/>
        <v>0.17083333333333334</v>
      </c>
      <c r="N85" s="329">
        <f t="shared" si="3"/>
        <v>0.73846153846153872</v>
      </c>
      <c r="O85" s="327"/>
      <c r="P85" s="327"/>
      <c r="Q85" s="327"/>
      <c r="R85" s="327"/>
      <c r="S85" s="327"/>
      <c r="U85" s="328"/>
      <c r="W85" s="327"/>
      <c r="X85" s="327"/>
      <c r="Y85" s="327"/>
      <c r="Z85" s="327"/>
      <c r="AA85" s="327"/>
      <c r="AB85" s="327"/>
      <c r="AC85" s="327"/>
      <c r="AD85" s="327"/>
      <c r="AE85" s="327"/>
      <c r="AF85" s="327"/>
      <c r="AG85" s="327"/>
      <c r="AH85" s="327"/>
      <c r="AI85" s="327"/>
      <c r="AJ85" s="327"/>
      <c r="AK85" s="327"/>
      <c r="AL85" s="327"/>
      <c r="AM85" s="327"/>
      <c r="AN85" s="327"/>
      <c r="AO85" s="327"/>
      <c r="AP85" s="327"/>
      <c r="AQ85" s="327"/>
      <c r="AR85" s="327"/>
      <c r="AS85" s="327"/>
      <c r="AT85" s="327"/>
      <c r="AU85" s="327"/>
      <c r="AV85" s="327"/>
      <c r="AW85" s="327"/>
      <c r="AX85" s="327"/>
      <c r="AY85" s="327"/>
      <c r="AZ85" s="327"/>
    </row>
    <row r="86" spans="2:52">
      <c r="B86" s="327"/>
      <c r="C86" s="327"/>
      <c r="D86" s="327"/>
      <c r="E86" s="327"/>
      <c r="L86" s="325">
        <f t="shared" si="4"/>
        <v>83</v>
      </c>
      <c r="M86" s="328">
        <f t="shared" si="5"/>
        <v>0.17291666666666666</v>
      </c>
      <c r="N86" s="329">
        <f t="shared" si="3"/>
        <v>0.76153846153846172</v>
      </c>
      <c r="O86" s="327"/>
      <c r="P86" s="327"/>
      <c r="Q86" s="327"/>
      <c r="R86" s="327"/>
      <c r="S86" s="327"/>
      <c r="U86" s="328"/>
      <c r="W86" s="327"/>
      <c r="X86" s="327"/>
      <c r="Y86" s="327"/>
      <c r="Z86" s="327"/>
      <c r="AA86" s="327"/>
      <c r="AB86" s="327"/>
      <c r="AC86" s="327"/>
      <c r="AD86" s="327"/>
      <c r="AE86" s="327"/>
      <c r="AF86" s="327"/>
      <c r="AG86" s="327"/>
      <c r="AH86" s="327"/>
      <c r="AI86" s="327"/>
      <c r="AJ86" s="327"/>
      <c r="AK86" s="327"/>
      <c r="AL86" s="327"/>
      <c r="AM86" s="327"/>
      <c r="AN86" s="327"/>
      <c r="AO86" s="327"/>
      <c r="AP86" s="327"/>
      <c r="AQ86" s="327"/>
      <c r="AR86" s="327"/>
      <c r="AS86" s="327"/>
      <c r="AT86" s="327"/>
      <c r="AU86" s="327"/>
      <c r="AV86" s="327"/>
      <c r="AW86" s="327"/>
      <c r="AX86" s="327"/>
      <c r="AY86" s="327"/>
      <c r="AZ86" s="327"/>
    </row>
    <row r="87" spans="2:52">
      <c r="B87" s="326"/>
      <c r="C87" s="326"/>
      <c r="D87" s="327"/>
      <c r="E87" s="327"/>
      <c r="I87" s="327"/>
      <c r="L87" s="325">
        <f t="shared" si="4"/>
        <v>84</v>
      </c>
      <c r="M87" s="328">
        <f t="shared" si="5"/>
        <v>0.17499999999999999</v>
      </c>
      <c r="N87" s="329">
        <f t="shared" si="3"/>
        <v>0.78461538461538471</v>
      </c>
      <c r="O87" s="327"/>
      <c r="P87" s="327"/>
      <c r="Q87" s="327"/>
      <c r="R87" s="327"/>
      <c r="S87" s="327"/>
      <c r="U87" s="328"/>
      <c r="W87" s="327"/>
      <c r="X87" s="327"/>
      <c r="Y87" s="327"/>
      <c r="Z87" s="327"/>
      <c r="AA87" s="327"/>
      <c r="AB87" s="327"/>
      <c r="AC87" s="327"/>
      <c r="AD87" s="327"/>
      <c r="AE87" s="327"/>
      <c r="AF87" s="327"/>
      <c r="AG87" s="327"/>
      <c r="AH87" s="327"/>
      <c r="AI87" s="327"/>
      <c r="AJ87" s="327"/>
      <c r="AK87" s="327"/>
      <c r="AL87" s="327"/>
      <c r="AM87" s="327"/>
      <c r="AN87" s="327"/>
      <c r="AO87" s="327"/>
      <c r="AP87" s="327"/>
      <c r="AQ87" s="327"/>
      <c r="AR87" s="327"/>
      <c r="AS87" s="327"/>
      <c r="AT87" s="327"/>
      <c r="AU87" s="327"/>
      <c r="AV87" s="327"/>
      <c r="AW87" s="327"/>
      <c r="AX87" s="327"/>
      <c r="AY87" s="327"/>
      <c r="AZ87" s="327"/>
    </row>
    <row r="88" spans="2:52">
      <c r="C88" s="326"/>
      <c r="D88" s="327"/>
      <c r="E88" s="327"/>
      <c r="I88" s="327"/>
      <c r="L88" s="325">
        <f t="shared" si="4"/>
        <v>85</v>
      </c>
      <c r="M88" s="328">
        <f t="shared" si="5"/>
        <v>0.17708333333333331</v>
      </c>
      <c r="N88" s="329">
        <f t="shared" si="3"/>
        <v>0.80769230769230771</v>
      </c>
      <c r="O88" s="327"/>
      <c r="P88" s="327"/>
      <c r="Q88" s="327"/>
      <c r="R88" s="327"/>
      <c r="S88" s="327"/>
      <c r="U88" s="328"/>
      <c r="W88" s="327"/>
      <c r="X88" s="327"/>
      <c r="Y88" s="327"/>
      <c r="Z88" s="327"/>
      <c r="AA88" s="327"/>
      <c r="AB88" s="327"/>
      <c r="AC88" s="327"/>
      <c r="AD88" s="327"/>
      <c r="AE88" s="327"/>
      <c r="AF88" s="327"/>
      <c r="AG88" s="327"/>
      <c r="AH88" s="327"/>
      <c r="AI88" s="327"/>
      <c r="AJ88" s="327"/>
      <c r="AK88" s="327"/>
      <c r="AL88" s="327"/>
      <c r="AM88" s="327"/>
      <c r="AN88" s="327"/>
      <c r="AO88" s="327"/>
      <c r="AP88" s="327"/>
      <c r="AQ88" s="327"/>
      <c r="AR88" s="327"/>
      <c r="AS88" s="327"/>
      <c r="AT88" s="327"/>
      <c r="AU88" s="327"/>
      <c r="AV88" s="327"/>
      <c r="AW88" s="327"/>
      <c r="AX88" s="327"/>
      <c r="AY88" s="327"/>
      <c r="AZ88" s="327"/>
    </row>
    <row r="89" spans="2:52">
      <c r="D89" s="327"/>
      <c r="L89" s="325">
        <f t="shared" si="4"/>
        <v>86</v>
      </c>
      <c r="M89" s="328">
        <f t="shared" si="5"/>
        <v>0.17916666666666664</v>
      </c>
      <c r="N89" s="329">
        <f t="shared" si="3"/>
        <v>0.8307692307692307</v>
      </c>
      <c r="O89" s="327"/>
      <c r="P89" s="327"/>
      <c r="Q89" s="327"/>
      <c r="R89" s="327"/>
      <c r="S89" s="327"/>
      <c r="U89" s="328"/>
      <c r="W89" s="327"/>
      <c r="X89" s="327"/>
      <c r="Y89" s="327"/>
      <c r="Z89" s="327"/>
      <c r="AA89" s="327"/>
      <c r="AB89" s="327"/>
      <c r="AC89" s="327"/>
      <c r="AD89" s="327"/>
      <c r="AE89" s="327"/>
      <c r="AF89" s="327"/>
      <c r="AG89" s="327"/>
      <c r="AH89" s="327"/>
      <c r="AI89" s="327"/>
      <c r="AJ89" s="327"/>
      <c r="AK89" s="327"/>
      <c r="AL89" s="327"/>
      <c r="AM89" s="327"/>
      <c r="AN89" s="327"/>
      <c r="AO89" s="327"/>
      <c r="AP89" s="327"/>
      <c r="AQ89" s="327"/>
      <c r="AR89" s="327"/>
      <c r="AS89" s="327"/>
      <c r="AT89" s="327"/>
      <c r="AU89" s="327"/>
      <c r="AV89" s="327"/>
      <c r="AW89" s="327"/>
      <c r="AX89" s="327"/>
      <c r="AY89" s="327"/>
      <c r="AZ89" s="327"/>
    </row>
    <row r="90" spans="2:52">
      <c r="B90" s="327"/>
      <c r="C90" s="327"/>
      <c r="D90" s="327"/>
      <c r="L90" s="325">
        <f t="shared" si="4"/>
        <v>87</v>
      </c>
      <c r="M90" s="328">
        <f t="shared" si="5"/>
        <v>0.18124999999999997</v>
      </c>
      <c r="N90" s="329">
        <f t="shared" si="3"/>
        <v>0.8538461538461537</v>
      </c>
      <c r="O90" s="327"/>
      <c r="P90" s="327"/>
      <c r="Q90" s="327"/>
      <c r="R90" s="327"/>
      <c r="S90" s="327"/>
      <c r="U90" s="328"/>
      <c r="W90" s="327"/>
      <c r="X90" s="327"/>
      <c r="Y90" s="327"/>
      <c r="Z90" s="327"/>
      <c r="AA90" s="327"/>
      <c r="AB90" s="327"/>
      <c r="AC90" s="327"/>
      <c r="AD90" s="327"/>
      <c r="AE90" s="327"/>
      <c r="AF90" s="327"/>
      <c r="AG90" s="327"/>
      <c r="AH90" s="327"/>
      <c r="AI90" s="327"/>
      <c r="AJ90" s="327"/>
      <c r="AK90" s="327"/>
      <c r="AL90" s="327"/>
      <c r="AM90" s="327"/>
      <c r="AN90" s="327"/>
      <c r="AO90" s="327"/>
      <c r="AP90" s="327"/>
      <c r="AQ90" s="327"/>
      <c r="AR90" s="327"/>
      <c r="AS90" s="327"/>
      <c r="AT90" s="327"/>
      <c r="AU90" s="327"/>
      <c r="AV90" s="327"/>
      <c r="AW90" s="327"/>
      <c r="AX90" s="327"/>
      <c r="AY90" s="327"/>
      <c r="AZ90" s="327"/>
    </row>
    <row r="91" spans="2:52">
      <c r="B91" s="327"/>
      <c r="C91" s="327"/>
      <c r="D91" s="327"/>
      <c r="E91" s="330"/>
      <c r="L91" s="325">
        <f t="shared" si="4"/>
        <v>88</v>
      </c>
      <c r="M91" s="328">
        <f t="shared" si="5"/>
        <v>0.18333333333333329</v>
      </c>
      <c r="N91" s="329">
        <f t="shared" si="3"/>
        <v>0.87692307692307669</v>
      </c>
      <c r="O91" s="327"/>
      <c r="P91" s="327"/>
      <c r="Q91" s="327"/>
      <c r="R91" s="327"/>
      <c r="S91" s="327"/>
      <c r="U91" s="328"/>
      <c r="W91" s="327"/>
      <c r="X91" s="327"/>
      <c r="Y91" s="327"/>
      <c r="Z91" s="327"/>
      <c r="AA91" s="327"/>
      <c r="AB91" s="327"/>
      <c r="AC91" s="327"/>
      <c r="AD91" s="327"/>
      <c r="AE91" s="327"/>
      <c r="AF91" s="327"/>
      <c r="AG91" s="327"/>
      <c r="AH91" s="327"/>
      <c r="AI91" s="327"/>
      <c r="AJ91" s="327"/>
      <c r="AK91" s="327"/>
      <c r="AL91" s="327"/>
      <c r="AM91" s="327"/>
      <c r="AN91" s="327"/>
      <c r="AO91" s="327"/>
      <c r="AP91" s="327"/>
      <c r="AQ91" s="327"/>
      <c r="AR91" s="327"/>
      <c r="AS91" s="327"/>
      <c r="AT91" s="327"/>
      <c r="AU91" s="327"/>
      <c r="AV91" s="327"/>
      <c r="AW91" s="327"/>
      <c r="AX91" s="327"/>
      <c r="AY91" s="327"/>
      <c r="AZ91" s="327"/>
    </row>
    <row r="92" spans="2:52">
      <c r="B92" s="327"/>
      <c r="C92" s="327"/>
      <c r="D92" s="327"/>
      <c r="L92" s="325">
        <f t="shared" si="4"/>
        <v>89</v>
      </c>
      <c r="M92" s="328">
        <f t="shared" si="5"/>
        <v>0.18541666666666662</v>
      </c>
      <c r="N92" s="329">
        <f t="shared" si="3"/>
        <v>0.89999999999999969</v>
      </c>
      <c r="O92" s="327"/>
      <c r="P92" s="327"/>
      <c r="Q92" s="327"/>
      <c r="R92" s="327"/>
      <c r="S92" s="327"/>
      <c r="U92" s="328"/>
      <c r="W92" s="327"/>
      <c r="X92" s="327"/>
      <c r="Y92" s="327"/>
      <c r="Z92" s="327"/>
      <c r="AA92" s="327"/>
      <c r="AB92" s="327"/>
      <c r="AC92" s="327"/>
      <c r="AD92" s="327"/>
      <c r="AE92" s="327"/>
      <c r="AF92" s="327"/>
      <c r="AG92" s="327"/>
      <c r="AH92" s="327"/>
      <c r="AI92" s="327"/>
      <c r="AJ92" s="327"/>
      <c r="AK92" s="327"/>
      <c r="AL92" s="327"/>
      <c r="AM92" s="327"/>
      <c r="AN92" s="327"/>
      <c r="AO92" s="327"/>
      <c r="AP92" s="327"/>
      <c r="AQ92" s="327"/>
      <c r="AR92" s="327"/>
      <c r="AS92" s="327"/>
      <c r="AT92" s="327"/>
      <c r="AU92" s="327"/>
      <c r="AV92" s="327"/>
      <c r="AW92" s="327"/>
      <c r="AX92" s="327"/>
      <c r="AY92" s="327"/>
      <c r="AZ92" s="327"/>
    </row>
    <row r="93" spans="2:52">
      <c r="B93" s="327"/>
      <c r="C93" s="327"/>
      <c r="D93" s="327"/>
      <c r="L93" s="325">
        <f t="shared" si="4"/>
        <v>90</v>
      </c>
      <c r="M93" s="328">
        <f t="shared" si="5"/>
        <v>0.18749999999999994</v>
      </c>
      <c r="N93" s="329">
        <f t="shared" si="3"/>
        <v>0.92307692307692268</v>
      </c>
      <c r="O93" s="327"/>
      <c r="P93" s="327"/>
      <c r="Q93" s="327"/>
      <c r="R93" s="327"/>
      <c r="S93" s="327"/>
      <c r="U93" s="328"/>
      <c r="W93" s="327"/>
      <c r="X93" s="327"/>
      <c r="Y93" s="327"/>
      <c r="Z93" s="327"/>
      <c r="AA93" s="327"/>
      <c r="AB93" s="327"/>
      <c r="AC93" s="327"/>
      <c r="AD93" s="327"/>
      <c r="AE93" s="327"/>
      <c r="AF93" s="327"/>
      <c r="AG93" s="327"/>
      <c r="AH93" s="327"/>
      <c r="AI93" s="327"/>
      <c r="AJ93" s="327"/>
      <c r="AK93" s="327"/>
      <c r="AL93" s="327"/>
      <c r="AM93" s="327"/>
      <c r="AN93" s="327"/>
      <c r="AO93" s="327"/>
      <c r="AP93" s="327"/>
      <c r="AQ93" s="327"/>
      <c r="AR93" s="327"/>
      <c r="AS93" s="327"/>
      <c r="AT93" s="327"/>
      <c r="AU93" s="327"/>
      <c r="AV93" s="327"/>
      <c r="AW93" s="327"/>
      <c r="AX93" s="327"/>
      <c r="AY93" s="327"/>
      <c r="AZ93" s="327"/>
    </row>
    <row r="94" spans="2:52">
      <c r="B94" s="327"/>
      <c r="C94" s="327"/>
      <c r="D94" s="327"/>
      <c r="L94" s="325">
        <f t="shared" si="4"/>
        <v>91</v>
      </c>
      <c r="M94" s="328">
        <f t="shared" si="5"/>
        <v>0.18958333333333327</v>
      </c>
      <c r="N94" s="329">
        <f t="shared" si="3"/>
        <v>0.94615384615384568</v>
      </c>
      <c r="O94" s="327"/>
      <c r="P94" s="327"/>
      <c r="Q94" s="327"/>
      <c r="R94" s="327"/>
      <c r="S94" s="327"/>
      <c r="U94" s="328"/>
      <c r="W94" s="327"/>
      <c r="X94" s="327"/>
      <c r="Y94" s="327"/>
      <c r="Z94" s="327"/>
      <c r="AA94" s="327"/>
      <c r="AB94" s="327"/>
      <c r="AC94" s="327"/>
      <c r="AD94" s="327"/>
      <c r="AE94" s="327"/>
      <c r="AF94" s="327"/>
      <c r="AG94" s="327"/>
      <c r="AH94" s="327"/>
      <c r="AI94" s="327"/>
      <c r="AJ94" s="327"/>
      <c r="AK94" s="327"/>
      <c r="AL94" s="327"/>
      <c r="AM94" s="327"/>
      <c r="AN94" s="327"/>
      <c r="AO94" s="327"/>
      <c r="AP94" s="327"/>
      <c r="AQ94" s="327"/>
      <c r="AR94" s="327"/>
      <c r="AS94" s="327"/>
      <c r="AT94" s="327"/>
      <c r="AU94" s="327"/>
      <c r="AV94" s="327"/>
      <c r="AW94" s="327"/>
      <c r="AX94" s="327"/>
      <c r="AY94" s="327"/>
      <c r="AZ94" s="327"/>
    </row>
    <row r="95" spans="2:52">
      <c r="B95" s="327"/>
      <c r="C95" s="327"/>
      <c r="D95" s="327"/>
      <c r="L95" s="325">
        <f t="shared" si="4"/>
        <v>92</v>
      </c>
      <c r="M95" s="328">
        <f t="shared" si="5"/>
        <v>0.1916666666666666</v>
      </c>
      <c r="N95" s="329">
        <f t="shared" si="3"/>
        <v>0.96923076923076867</v>
      </c>
      <c r="O95" s="327"/>
      <c r="P95" s="327"/>
      <c r="Q95" s="327"/>
      <c r="R95" s="327"/>
      <c r="S95" s="327"/>
      <c r="U95" s="328"/>
      <c r="W95" s="327"/>
      <c r="X95" s="327"/>
      <c r="Y95" s="327"/>
      <c r="Z95" s="327"/>
      <c r="AA95" s="327"/>
      <c r="AB95" s="327"/>
      <c r="AC95" s="327"/>
      <c r="AD95" s="327"/>
      <c r="AE95" s="327"/>
      <c r="AF95" s="327"/>
      <c r="AG95" s="327"/>
      <c r="AH95" s="327"/>
      <c r="AI95" s="327"/>
      <c r="AJ95" s="327"/>
      <c r="AK95" s="327"/>
      <c r="AL95" s="327"/>
      <c r="AM95" s="327"/>
      <c r="AN95" s="327"/>
      <c r="AO95" s="327"/>
      <c r="AP95" s="327"/>
      <c r="AQ95" s="327"/>
      <c r="AR95" s="327"/>
      <c r="AS95" s="327"/>
      <c r="AT95" s="327"/>
      <c r="AU95" s="327"/>
      <c r="AV95" s="327"/>
      <c r="AW95" s="327"/>
      <c r="AX95" s="327"/>
      <c r="AY95" s="327"/>
      <c r="AZ95" s="327"/>
    </row>
    <row r="96" spans="2:52">
      <c r="B96" s="327"/>
      <c r="C96" s="327"/>
      <c r="D96" s="327"/>
      <c r="L96" s="325">
        <f t="shared" si="4"/>
        <v>93</v>
      </c>
      <c r="M96" s="328">
        <f t="shared" si="5"/>
        <v>0.19374999999999992</v>
      </c>
      <c r="N96" s="329">
        <f t="shared" si="3"/>
        <v>0.99230769230769167</v>
      </c>
      <c r="O96" s="327"/>
      <c r="P96" s="327"/>
      <c r="Q96" s="327"/>
      <c r="R96" s="327"/>
      <c r="S96" s="327"/>
      <c r="U96" s="328"/>
      <c r="W96" s="327"/>
      <c r="X96" s="327"/>
      <c r="Y96" s="327"/>
      <c r="Z96" s="327"/>
      <c r="AA96" s="327"/>
      <c r="AB96" s="327"/>
      <c r="AC96" s="327"/>
      <c r="AD96" s="327"/>
      <c r="AE96" s="327"/>
      <c r="AF96" s="327"/>
      <c r="AG96" s="327"/>
      <c r="AH96" s="327"/>
      <c r="AI96" s="327"/>
      <c r="AJ96" s="327"/>
      <c r="AK96" s="327"/>
      <c r="AL96" s="327"/>
      <c r="AM96" s="327"/>
      <c r="AN96" s="327"/>
      <c r="AO96" s="327"/>
      <c r="AP96" s="327"/>
      <c r="AQ96" s="327"/>
      <c r="AR96" s="327"/>
      <c r="AS96" s="327"/>
      <c r="AT96" s="327"/>
      <c r="AU96" s="327"/>
      <c r="AV96" s="327"/>
      <c r="AW96" s="327"/>
      <c r="AX96" s="327"/>
      <c r="AY96" s="327"/>
      <c r="AZ96" s="327"/>
    </row>
    <row r="97" spans="2:52">
      <c r="B97" s="327"/>
      <c r="C97" s="327"/>
      <c r="D97" s="327"/>
      <c r="L97" s="325">
        <f t="shared" si="4"/>
        <v>94</v>
      </c>
      <c r="M97" s="328">
        <f t="shared" si="5"/>
        <v>0.19583333333333325</v>
      </c>
      <c r="N97" s="329">
        <f t="shared" si="3"/>
        <v>1.0153846153846147</v>
      </c>
      <c r="O97" s="327"/>
      <c r="P97" s="327"/>
      <c r="Q97" s="327"/>
      <c r="R97" s="327"/>
      <c r="S97" s="327"/>
      <c r="U97" s="328"/>
      <c r="W97" s="327"/>
      <c r="X97" s="327"/>
      <c r="Y97" s="327"/>
      <c r="Z97" s="327"/>
      <c r="AA97" s="327"/>
      <c r="AB97" s="327"/>
      <c r="AC97" s="327"/>
      <c r="AD97" s="327"/>
      <c r="AE97" s="327"/>
      <c r="AF97" s="327"/>
      <c r="AG97" s="327"/>
      <c r="AH97" s="327"/>
      <c r="AI97" s="327"/>
      <c r="AJ97" s="327"/>
      <c r="AK97" s="327"/>
      <c r="AL97" s="327"/>
      <c r="AM97" s="327"/>
      <c r="AN97" s="327"/>
      <c r="AO97" s="327"/>
      <c r="AP97" s="327"/>
      <c r="AQ97" s="327"/>
      <c r="AR97" s="327"/>
      <c r="AS97" s="327"/>
      <c r="AT97" s="327"/>
      <c r="AU97" s="327"/>
      <c r="AV97" s="327"/>
      <c r="AW97" s="327"/>
      <c r="AX97" s="327"/>
      <c r="AY97" s="327"/>
      <c r="AZ97" s="327"/>
    </row>
    <row r="98" spans="2:52">
      <c r="B98" s="327"/>
      <c r="C98" s="327"/>
      <c r="D98" s="327"/>
      <c r="L98" s="325">
        <f t="shared" si="4"/>
        <v>95</v>
      </c>
      <c r="M98" s="328">
        <f t="shared" si="5"/>
        <v>0.19791666666666657</v>
      </c>
      <c r="N98" s="329">
        <f t="shared" si="3"/>
        <v>1.0384615384615377</v>
      </c>
      <c r="O98" s="327"/>
      <c r="P98" s="327"/>
      <c r="Q98" s="327"/>
      <c r="R98" s="327"/>
      <c r="S98" s="327"/>
      <c r="U98" s="328"/>
      <c r="W98" s="327"/>
      <c r="X98" s="327"/>
      <c r="Y98" s="327"/>
      <c r="Z98" s="327"/>
      <c r="AA98" s="327"/>
      <c r="AB98" s="327"/>
      <c r="AC98" s="327"/>
      <c r="AD98" s="327"/>
      <c r="AE98" s="327"/>
      <c r="AF98" s="327"/>
      <c r="AG98" s="327"/>
      <c r="AH98" s="327"/>
      <c r="AI98" s="327"/>
      <c r="AJ98" s="327"/>
      <c r="AK98" s="327"/>
      <c r="AL98" s="327"/>
      <c r="AM98" s="327"/>
      <c r="AN98" s="327"/>
      <c r="AO98" s="327"/>
      <c r="AP98" s="327"/>
      <c r="AQ98" s="327"/>
      <c r="AR98" s="327"/>
      <c r="AS98" s="327"/>
      <c r="AT98" s="327"/>
      <c r="AU98" s="327"/>
      <c r="AV98" s="327"/>
      <c r="AW98" s="327"/>
      <c r="AX98" s="327"/>
      <c r="AY98" s="327"/>
      <c r="AZ98" s="327"/>
    </row>
    <row r="99" spans="2:52">
      <c r="B99" s="327"/>
      <c r="C99" s="327"/>
      <c r="D99" s="327"/>
      <c r="L99" s="325">
        <f t="shared" si="4"/>
        <v>96</v>
      </c>
      <c r="M99" s="328">
        <f t="shared" si="5"/>
        <v>0.1999999999999999</v>
      </c>
      <c r="N99" s="329">
        <f t="shared" si="3"/>
        <v>1.0615384615384607</v>
      </c>
      <c r="O99" s="327"/>
      <c r="P99" s="327"/>
      <c r="Q99" s="327"/>
      <c r="R99" s="327"/>
      <c r="S99" s="327"/>
      <c r="U99" s="328"/>
      <c r="W99" s="327"/>
      <c r="X99" s="327"/>
      <c r="Y99" s="327"/>
      <c r="Z99" s="327"/>
      <c r="AA99" s="327"/>
      <c r="AB99" s="327"/>
      <c r="AC99" s="327"/>
      <c r="AD99" s="327"/>
      <c r="AE99" s="327"/>
      <c r="AF99" s="327"/>
      <c r="AG99" s="327"/>
      <c r="AH99" s="327"/>
      <c r="AI99" s="327"/>
      <c r="AJ99" s="327"/>
      <c r="AK99" s="327"/>
      <c r="AL99" s="327"/>
      <c r="AM99" s="327"/>
      <c r="AN99" s="327"/>
      <c r="AO99" s="327"/>
      <c r="AP99" s="327"/>
      <c r="AQ99" s="327"/>
      <c r="AR99" s="327"/>
      <c r="AS99" s="327"/>
      <c r="AT99" s="327"/>
      <c r="AU99" s="327"/>
      <c r="AV99" s="327"/>
      <c r="AW99" s="327"/>
      <c r="AX99" s="327"/>
      <c r="AY99" s="327"/>
      <c r="AZ99" s="327"/>
    </row>
    <row r="100" spans="2:52">
      <c r="L100" s="325">
        <f t="shared" si="4"/>
        <v>97</v>
      </c>
      <c r="M100" s="328">
        <f t="shared" si="5"/>
        <v>0.20208333333333323</v>
      </c>
      <c r="N100" s="329">
        <f t="shared" si="3"/>
        <v>1.0846153846153836</v>
      </c>
      <c r="O100" s="327"/>
      <c r="P100" s="327"/>
      <c r="Q100" s="327"/>
      <c r="R100" s="327"/>
      <c r="S100" s="327"/>
      <c r="U100" s="328"/>
      <c r="W100" s="327"/>
      <c r="X100" s="327"/>
      <c r="Y100" s="327"/>
      <c r="Z100" s="327"/>
      <c r="AA100" s="327"/>
      <c r="AB100" s="327"/>
      <c r="AC100" s="327"/>
      <c r="AD100" s="327"/>
      <c r="AE100" s="327"/>
      <c r="AF100" s="327"/>
      <c r="AG100" s="327"/>
      <c r="AH100" s="327"/>
      <c r="AI100" s="327"/>
      <c r="AJ100" s="327"/>
      <c r="AK100" s="327"/>
      <c r="AL100" s="327"/>
      <c r="AM100" s="327"/>
      <c r="AN100" s="327"/>
      <c r="AO100" s="327"/>
      <c r="AP100" s="327"/>
      <c r="AQ100" s="327"/>
      <c r="AR100" s="327"/>
      <c r="AS100" s="327"/>
      <c r="AT100" s="327"/>
      <c r="AU100" s="327"/>
      <c r="AV100" s="327"/>
      <c r="AW100" s="327"/>
      <c r="AX100" s="327"/>
      <c r="AY100" s="327"/>
      <c r="AZ100" s="327"/>
    </row>
    <row r="101" spans="2:52">
      <c r="L101" s="325">
        <f t="shared" si="4"/>
        <v>98</v>
      </c>
      <c r="M101" s="328">
        <f t="shared" si="5"/>
        <v>0.20416666666666655</v>
      </c>
      <c r="N101" s="329">
        <f t="shared" si="3"/>
        <v>1.1076923076923066</v>
      </c>
      <c r="O101" s="327"/>
      <c r="P101" s="327"/>
      <c r="Q101" s="327"/>
      <c r="R101" s="327"/>
      <c r="S101" s="327"/>
      <c r="U101" s="328"/>
      <c r="W101" s="327"/>
      <c r="X101" s="327"/>
      <c r="Y101" s="327"/>
      <c r="Z101" s="327"/>
      <c r="AA101" s="327"/>
      <c r="AB101" s="327"/>
      <c r="AC101" s="327"/>
      <c r="AD101" s="327"/>
      <c r="AE101" s="327"/>
      <c r="AF101" s="327"/>
      <c r="AG101" s="327"/>
      <c r="AH101" s="327"/>
      <c r="AI101" s="327"/>
      <c r="AJ101" s="327"/>
      <c r="AK101" s="327"/>
      <c r="AL101" s="327"/>
      <c r="AM101" s="327"/>
      <c r="AN101" s="327"/>
      <c r="AO101" s="327"/>
      <c r="AP101" s="327"/>
      <c r="AQ101" s="327"/>
      <c r="AR101" s="327"/>
      <c r="AS101" s="327"/>
      <c r="AT101" s="327"/>
      <c r="AU101" s="327"/>
      <c r="AV101" s="327"/>
      <c r="AW101" s="327"/>
      <c r="AX101" s="327"/>
      <c r="AY101" s="327"/>
      <c r="AZ101" s="327"/>
    </row>
    <row r="102" spans="2:52">
      <c r="L102" s="325">
        <f t="shared" si="4"/>
        <v>99</v>
      </c>
      <c r="M102" s="328">
        <f t="shared" si="5"/>
        <v>0.20624999999999988</v>
      </c>
      <c r="N102" s="329">
        <f t="shared" si="3"/>
        <v>1.1307692307692296</v>
      </c>
      <c r="O102" s="327"/>
      <c r="P102" s="327"/>
      <c r="Q102" s="327"/>
      <c r="R102" s="327"/>
      <c r="S102" s="327"/>
      <c r="U102" s="328"/>
      <c r="W102" s="327"/>
      <c r="X102" s="327"/>
      <c r="Y102" s="327"/>
      <c r="Z102" s="327"/>
      <c r="AA102" s="327"/>
      <c r="AB102" s="327"/>
      <c r="AC102" s="327"/>
      <c r="AD102" s="327"/>
      <c r="AE102" s="327"/>
      <c r="AF102" s="327"/>
      <c r="AG102" s="327"/>
      <c r="AH102" s="327"/>
      <c r="AI102" s="327"/>
      <c r="AJ102" s="327"/>
      <c r="AK102" s="327"/>
      <c r="AL102" s="327"/>
      <c r="AM102" s="327"/>
      <c r="AN102" s="327"/>
      <c r="AO102" s="327"/>
      <c r="AP102" s="327"/>
      <c r="AQ102" s="327"/>
      <c r="AR102" s="327"/>
      <c r="AS102" s="327"/>
      <c r="AT102" s="327"/>
      <c r="AU102" s="327"/>
      <c r="AV102" s="327"/>
      <c r="AW102" s="327"/>
      <c r="AX102" s="327"/>
      <c r="AY102" s="327"/>
      <c r="AZ102" s="327"/>
    </row>
    <row r="103" spans="2:52">
      <c r="L103" s="325">
        <f t="shared" si="4"/>
        <v>100</v>
      </c>
      <c r="M103" s="328">
        <f t="shared" si="5"/>
        <v>0.2083333333333332</v>
      </c>
      <c r="N103" s="329">
        <f t="shared" si="3"/>
        <v>1.1538461538461526</v>
      </c>
      <c r="O103" s="327"/>
      <c r="P103" s="327"/>
      <c r="Q103" s="327"/>
      <c r="R103" s="327"/>
      <c r="S103" s="327"/>
      <c r="U103" s="328"/>
      <c r="W103" s="327"/>
      <c r="X103" s="327"/>
      <c r="Y103" s="327"/>
      <c r="Z103" s="327"/>
      <c r="AA103" s="327"/>
      <c r="AB103" s="327"/>
      <c r="AC103" s="327"/>
      <c r="AD103" s="327"/>
      <c r="AE103" s="327"/>
      <c r="AF103" s="327"/>
      <c r="AG103" s="327"/>
      <c r="AH103" s="327"/>
      <c r="AI103" s="327"/>
      <c r="AJ103" s="327"/>
      <c r="AK103" s="327"/>
      <c r="AL103" s="327"/>
      <c r="AM103" s="327"/>
      <c r="AN103" s="327"/>
      <c r="AO103" s="327"/>
      <c r="AP103" s="327"/>
      <c r="AQ103" s="327"/>
      <c r="AR103" s="327"/>
      <c r="AS103" s="327"/>
      <c r="AT103" s="327"/>
      <c r="AU103" s="327"/>
      <c r="AV103" s="327"/>
      <c r="AW103" s="327"/>
      <c r="AX103" s="327"/>
      <c r="AY103" s="327"/>
      <c r="AZ103" s="327"/>
    </row>
    <row r="104" spans="2:52">
      <c r="L104" s="325">
        <f t="shared" si="4"/>
        <v>101</v>
      </c>
      <c r="M104" s="328">
        <f>(1-$B$33)/($B$29*10^3)*10^6/100+M103</f>
        <v>0.21124999999999988</v>
      </c>
      <c r="N104" s="329">
        <f>IF($B$25="Buck",-$B$34/((1-$B$33)/($B$29*10^3)*10^6)*(M104-$M$103)+$B$34/2,$B$34/((1-$B$33)/($B$29*10^3)*10^6)*(M104-$M$103)-$B$34/2)</f>
        <v>1.1307692307692307</v>
      </c>
      <c r="O104" s="327"/>
      <c r="P104" s="327"/>
      <c r="Q104" s="327"/>
      <c r="R104" s="327"/>
      <c r="S104" s="327"/>
      <c r="U104" s="328"/>
      <c r="W104" s="327"/>
      <c r="X104" s="327"/>
      <c r="Y104" s="327"/>
      <c r="Z104" s="327"/>
      <c r="AA104" s="327"/>
      <c r="AB104" s="327"/>
      <c r="AC104" s="327"/>
      <c r="AD104" s="327"/>
      <c r="AE104" s="327"/>
      <c r="AF104" s="327"/>
      <c r="AG104" s="327"/>
      <c r="AH104" s="327"/>
      <c r="AI104" s="327"/>
      <c r="AJ104" s="327"/>
      <c r="AK104" s="327"/>
      <c r="AL104" s="327"/>
      <c r="AM104" s="327"/>
      <c r="AN104" s="327"/>
      <c r="AO104" s="327"/>
      <c r="AP104" s="327"/>
      <c r="AQ104" s="327"/>
      <c r="AR104" s="327"/>
      <c r="AS104" s="327"/>
      <c r="AT104" s="327"/>
      <c r="AU104" s="327"/>
      <c r="AV104" s="327"/>
      <c r="AW104" s="327"/>
      <c r="AX104" s="327"/>
      <c r="AY104" s="327"/>
      <c r="AZ104" s="327"/>
    </row>
    <row r="105" spans="2:52">
      <c r="L105" s="325">
        <f t="shared" si="4"/>
        <v>102</v>
      </c>
      <c r="M105" s="328">
        <f t="shared" ref="M105:M168" si="6">(1-$B$33)/($B$29*10^3)*10^6/100+M104</f>
        <v>0.21416666666666656</v>
      </c>
      <c r="N105" s="329">
        <f t="shared" ref="N105:N168" si="7">IF($B$25="Buck",-$B$34/((1-$B$33)/($B$29*10^3)*10^6)*(M105-$M$103)+$B$34/2,$B$34/((1-$B$33)/($B$29*10^3)*10^6)*(M105-$M$103)-$B$34/2)</f>
        <v>1.1076923076923075</v>
      </c>
      <c r="O105" s="327"/>
      <c r="P105" s="327"/>
      <c r="Q105" s="327"/>
      <c r="R105" s="327"/>
      <c r="S105" s="327"/>
      <c r="U105" s="328"/>
      <c r="W105" s="327"/>
      <c r="X105" s="327"/>
      <c r="Y105" s="327"/>
      <c r="Z105" s="327"/>
      <c r="AA105" s="327"/>
      <c r="AB105" s="327"/>
      <c r="AC105" s="327"/>
      <c r="AD105" s="327"/>
      <c r="AE105" s="327"/>
      <c r="AF105" s="327"/>
      <c r="AG105" s="327"/>
      <c r="AH105" s="327"/>
      <c r="AI105" s="327"/>
      <c r="AJ105" s="327"/>
      <c r="AK105" s="327"/>
      <c r="AL105" s="327"/>
      <c r="AM105" s="327"/>
      <c r="AN105" s="327"/>
      <c r="AO105" s="327"/>
      <c r="AP105" s="327"/>
      <c r="AQ105" s="327"/>
      <c r="AR105" s="327"/>
      <c r="AS105" s="327"/>
      <c r="AT105" s="327"/>
      <c r="AU105" s="327"/>
      <c r="AV105" s="327"/>
      <c r="AW105" s="327"/>
      <c r="AX105" s="327"/>
      <c r="AY105" s="327"/>
      <c r="AZ105" s="327"/>
    </row>
    <row r="106" spans="2:52">
      <c r="L106" s="325">
        <f t="shared" si="4"/>
        <v>103</v>
      </c>
      <c r="M106" s="328">
        <f t="shared" si="6"/>
        <v>0.21708333333333324</v>
      </c>
      <c r="N106" s="329">
        <f t="shared" si="7"/>
        <v>1.0846153846153845</v>
      </c>
      <c r="O106" s="327"/>
      <c r="P106" s="327"/>
      <c r="Q106" s="327"/>
      <c r="R106" s="327"/>
      <c r="S106" s="327"/>
      <c r="U106" s="328"/>
      <c r="W106" s="327"/>
      <c r="X106" s="327"/>
      <c r="Y106" s="327"/>
      <c r="Z106" s="327"/>
      <c r="AA106" s="327"/>
      <c r="AB106" s="327"/>
      <c r="AC106" s="327"/>
      <c r="AD106" s="327"/>
      <c r="AE106" s="327"/>
      <c r="AF106" s="327"/>
      <c r="AG106" s="327"/>
      <c r="AH106" s="327"/>
      <c r="AI106" s="327"/>
      <c r="AJ106" s="327"/>
      <c r="AK106" s="327"/>
      <c r="AL106" s="327"/>
      <c r="AM106" s="327"/>
      <c r="AN106" s="327"/>
      <c r="AO106" s="327"/>
      <c r="AP106" s="327"/>
      <c r="AQ106" s="327"/>
      <c r="AR106" s="327"/>
      <c r="AS106" s="327"/>
      <c r="AT106" s="327"/>
      <c r="AU106" s="327"/>
      <c r="AV106" s="327"/>
      <c r="AW106" s="327"/>
      <c r="AX106" s="327"/>
      <c r="AY106" s="327"/>
      <c r="AZ106" s="327"/>
    </row>
    <row r="107" spans="2:52">
      <c r="L107" s="325">
        <f t="shared" si="4"/>
        <v>104</v>
      </c>
      <c r="M107" s="328">
        <f t="shared" si="6"/>
        <v>0.21999999999999992</v>
      </c>
      <c r="N107" s="329">
        <f t="shared" si="7"/>
        <v>1.0615384615384613</v>
      </c>
      <c r="O107" s="327"/>
      <c r="P107" s="327"/>
      <c r="Q107" s="327"/>
      <c r="R107" s="327"/>
      <c r="S107" s="327"/>
      <c r="U107" s="328"/>
      <c r="W107" s="327"/>
      <c r="X107" s="327"/>
      <c r="Y107" s="327"/>
      <c r="Z107" s="327"/>
      <c r="AA107" s="327"/>
      <c r="AB107" s="327"/>
      <c r="AC107" s="327"/>
      <c r="AD107" s="327"/>
      <c r="AE107" s="327"/>
      <c r="AF107" s="327"/>
      <c r="AG107" s="327"/>
      <c r="AH107" s="327"/>
      <c r="AI107" s="327"/>
      <c r="AJ107" s="327"/>
      <c r="AK107" s="327"/>
      <c r="AL107" s="327"/>
      <c r="AM107" s="327"/>
      <c r="AN107" s="327"/>
      <c r="AO107" s="327"/>
      <c r="AP107" s="327"/>
      <c r="AQ107" s="327"/>
      <c r="AR107" s="327"/>
      <c r="AS107" s="327"/>
      <c r="AT107" s="327"/>
      <c r="AU107" s="327"/>
      <c r="AV107" s="327"/>
      <c r="AW107" s="327"/>
      <c r="AX107" s="327"/>
      <c r="AY107" s="327"/>
      <c r="AZ107" s="327"/>
    </row>
    <row r="108" spans="2:52">
      <c r="L108" s="325">
        <f t="shared" si="4"/>
        <v>105</v>
      </c>
      <c r="M108" s="328">
        <f t="shared" si="6"/>
        <v>0.2229166666666666</v>
      </c>
      <c r="N108" s="329">
        <f t="shared" si="7"/>
        <v>1.0384615384615381</v>
      </c>
      <c r="O108" s="327"/>
      <c r="P108" s="327"/>
      <c r="Q108" s="327"/>
      <c r="R108" s="327"/>
      <c r="S108" s="327"/>
      <c r="U108" s="328"/>
      <c r="W108" s="327"/>
      <c r="X108" s="327"/>
      <c r="Y108" s="327"/>
      <c r="Z108" s="327"/>
      <c r="AA108" s="327"/>
      <c r="AB108" s="327"/>
      <c r="AC108" s="327"/>
      <c r="AD108" s="327"/>
      <c r="AE108" s="327"/>
      <c r="AF108" s="327"/>
      <c r="AG108" s="327"/>
      <c r="AH108" s="327"/>
      <c r="AI108" s="327"/>
      <c r="AJ108" s="327"/>
      <c r="AK108" s="327"/>
      <c r="AL108" s="327"/>
      <c r="AM108" s="327"/>
      <c r="AN108" s="327"/>
      <c r="AO108" s="327"/>
      <c r="AP108" s="327"/>
      <c r="AQ108" s="327"/>
      <c r="AR108" s="327"/>
      <c r="AS108" s="327"/>
      <c r="AT108" s="327"/>
      <c r="AU108" s="327"/>
      <c r="AV108" s="327"/>
      <c r="AW108" s="327"/>
      <c r="AX108" s="327"/>
      <c r="AY108" s="327"/>
      <c r="AZ108" s="327"/>
    </row>
    <row r="109" spans="2:52">
      <c r="L109" s="325">
        <f t="shared" si="4"/>
        <v>106</v>
      </c>
      <c r="M109" s="328">
        <f t="shared" si="6"/>
        <v>0.22583333333333327</v>
      </c>
      <c r="N109" s="329">
        <f t="shared" si="7"/>
        <v>1.0153846153846149</v>
      </c>
      <c r="O109" s="327"/>
      <c r="P109" s="327"/>
      <c r="Q109" s="327"/>
      <c r="R109" s="327"/>
      <c r="S109" s="327"/>
      <c r="U109" s="328"/>
      <c r="W109" s="327"/>
      <c r="X109" s="327"/>
      <c r="Y109" s="327"/>
      <c r="Z109" s="327"/>
      <c r="AA109" s="327"/>
      <c r="AB109" s="327"/>
      <c r="AC109" s="327"/>
      <c r="AD109" s="327"/>
      <c r="AE109" s="327"/>
      <c r="AF109" s="327"/>
      <c r="AG109" s="327"/>
      <c r="AH109" s="327"/>
      <c r="AI109" s="327"/>
      <c r="AJ109" s="327"/>
      <c r="AK109" s="327"/>
      <c r="AL109" s="327"/>
      <c r="AM109" s="327"/>
      <c r="AN109" s="327"/>
      <c r="AO109" s="327"/>
      <c r="AP109" s="327"/>
      <c r="AQ109" s="327"/>
      <c r="AR109" s="327"/>
      <c r="AS109" s="327"/>
      <c r="AT109" s="327"/>
      <c r="AU109" s="327"/>
      <c r="AV109" s="327"/>
      <c r="AW109" s="327"/>
      <c r="AX109" s="327"/>
      <c r="AY109" s="327"/>
      <c r="AZ109" s="327"/>
    </row>
    <row r="110" spans="2:52">
      <c r="L110" s="325">
        <f t="shared" si="4"/>
        <v>107</v>
      </c>
      <c r="M110" s="328">
        <f t="shared" si="6"/>
        <v>0.22874999999999995</v>
      </c>
      <c r="N110" s="329">
        <f t="shared" si="7"/>
        <v>0.99230769230769167</v>
      </c>
      <c r="O110" s="327"/>
      <c r="P110" s="327"/>
      <c r="Q110" s="327"/>
      <c r="R110" s="327"/>
      <c r="S110" s="327"/>
      <c r="U110" s="328"/>
      <c r="W110" s="327"/>
      <c r="X110" s="327"/>
      <c r="Y110" s="327"/>
      <c r="Z110" s="327"/>
      <c r="AA110" s="327"/>
      <c r="AB110" s="327"/>
      <c r="AC110" s="327"/>
      <c r="AD110" s="327"/>
      <c r="AE110" s="327"/>
      <c r="AF110" s="327"/>
      <c r="AG110" s="327"/>
      <c r="AH110" s="327"/>
      <c r="AI110" s="327"/>
      <c r="AJ110" s="327"/>
      <c r="AK110" s="327"/>
      <c r="AL110" s="327"/>
      <c r="AM110" s="327"/>
      <c r="AN110" s="327"/>
      <c r="AO110" s="327"/>
      <c r="AP110" s="327"/>
      <c r="AQ110" s="327"/>
      <c r="AR110" s="327"/>
      <c r="AS110" s="327"/>
      <c r="AT110" s="327"/>
      <c r="AU110" s="327"/>
      <c r="AV110" s="327"/>
      <c r="AW110" s="327"/>
      <c r="AX110" s="327"/>
      <c r="AY110" s="327"/>
      <c r="AZ110" s="327"/>
    </row>
    <row r="111" spans="2:52">
      <c r="L111" s="325">
        <f t="shared" si="4"/>
        <v>108</v>
      </c>
      <c r="M111" s="328">
        <f t="shared" si="6"/>
        <v>0.23166666666666663</v>
      </c>
      <c r="N111" s="329">
        <f t="shared" si="7"/>
        <v>0.96923076923076856</v>
      </c>
      <c r="O111" s="327"/>
      <c r="P111" s="327"/>
      <c r="Q111" s="327"/>
      <c r="R111" s="327"/>
      <c r="S111" s="327"/>
      <c r="U111" s="328"/>
      <c r="W111" s="327"/>
      <c r="X111" s="327"/>
      <c r="Y111" s="327"/>
      <c r="Z111" s="327"/>
      <c r="AA111" s="327"/>
      <c r="AB111" s="327"/>
      <c r="AC111" s="327"/>
      <c r="AD111" s="327"/>
      <c r="AE111" s="327"/>
      <c r="AF111" s="327"/>
      <c r="AG111" s="327"/>
      <c r="AH111" s="327"/>
      <c r="AI111" s="327"/>
      <c r="AJ111" s="327"/>
      <c r="AK111" s="327"/>
      <c r="AL111" s="327"/>
      <c r="AM111" s="327"/>
      <c r="AN111" s="327"/>
      <c r="AO111" s="327"/>
      <c r="AP111" s="327"/>
      <c r="AQ111" s="327"/>
      <c r="AR111" s="327"/>
      <c r="AS111" s="327"/>
      <c r="AT111" s="327"/>
      <c r="AU111" s="327"/>
      <c r="AV111" s="327"/>
      <c r="AW111" s="327"/>
      <c r="AX111" s="327"/>
      <c r="AY111" s="327"/>
      <c r="AZ111" s="327"/>
    </row>
    <row r="112" spans="2:52">
      <c r="L112" s="325">
        <f t="shared" si="4"/>
        <v>109</v>
      </c>
      <c r="M112" s="328">
        <f t="shared" si="6"/>
        <v>0.23458333333333331</v>
      </c>
      <c r="N112" s="329">
        <f t="shared" si="7"/>
        <v>0.94615384615384535</v>
      </c>
      <c r="O112" s="327"/>
      <c r="P112" s="327"/>
      <c r="Q112" s="327"/>
      <c r="R112" s="327"/>
      <c r="S112" s="327"/>
      <c r="U112" s="328"/>
      <c r="W112" s="327"/>
      <c r="X112" s="327"/>
      <c r="Y112" s="327"/>
      <c r="Z112" s="327"/>
      <c r="AA112" s="327"/>
      <c r="AB112" s="327"/>
      <c r="AC112" s="327"/>
      <c r="AD112" s="327"/>
      <c r="AE112" s="327"/>
      <c r="AF112" s="327"/>
      <c r="AG112" s="327"/>
      <c r="AH112" s="327"/>
      <c r="AI112" s="327"/>
      <c r="AJ112" s="327"/>
      <c r="AK112" s="327"/>
      <c r="AL112" s="327"/>
      <c r="AM112" s="327"/>
      <c r="AN112" s="327"/>
      <c r="AO112" s="327"/>
      <c r="AP112" s="327"/>
      <c r="AQ112" s="327"/>
      <c r="AR112" s="327"/>
      <c r="AS112" s="327"/>
      <c r="AT112" s="327"/>
      <c r="AU112" s="327"/>
      <c r="AV112" s="327"/>
      <c r="AW112" s="327"/>
      <c r="AX112" s="327"/>
      <c r="AY112" s="327"/>
      <c r="AZ112" s="327"/>
    </row>
    <row r="113" spans="12:52">
      <c r="L113" s="325">
        <f t="shared" si="4"/>
        <v>110</v>
      </c>
      <c r="M113" s="328">
        <f t="shared" si="6"/>
        <v>0.23749999999999999</v>
      </c>
      <c r="N113" s="329">
        <f t="shared" si="7"/>
        <v>0.92307692307692224</v>
      </c>
      <c r="O113" s="327"/>
      <c r="P113" s="327"/>
      <c r="Q113" s="327"/>
      <c r="R113" s="327"/>
      <c r="S113" s="327"/>
      <c r="U113" s="328"/>
      <c r="W113" s="327"/>
      <c r="X113" s="327"/>
      <c r="Y113" s="327"/>
      <c r="Z113" s="327"/>
      <c r="AA113" s="327"/>
      <c r="AB113" s="327"/>
      <c r="AC113" s="327"/>
      <c r="AD113" s="327"/>
      <c r="AE113" s="327"/>
      <c r="AF113" s="327"/>
      <c r="AG113" s="327"/>
      <c r="AH113" s="327"/>
      <c r="AI113" s="327"/>
      <c r="AJ113" s="327"/>
      <c r="AK113" s="327"/>
      <c r="AL113" s="327"/>
      <c r="AM113" s="327"/>
      <c r="AN113" s="327"/>
      <c r="AO113" s="327"/>
      <c r="AP113" s="327"/>
      <c r="AQ113" s="327"/>
      <c r="AR113" s="327"/>
      <c r="AS113" s="327"/>
      <c r="AT113" s="327"/>
      <c r="AU113" s="327"/>
      <c r="AV113" s="327"/>
      <c r="AW113" s="327"/>
      <c r="AX113" s="327"/>
      <c r="AY113" s="327"/>
      <c r="AZ113" s="327"/>
    </row>
    <row r="114" spans="12:52">
      <c r="L114" s="325">
        <f t="shared" si="4"/>
        <v>111</v>
      </c>
      <c r="M114" s="328">
        <f t="shared" si="6"/>
        <v>0.24041666666666667</v>
      </c>
      <c r="N114" s="329">
        <f t="shared" si="7"/>
        <v>0.89999999999999902</v>
      </c>
      <c r="O114" s="327"/>
      <c r="P114" s="327"/>
      <c r="Q114" s="327"/>
      <c r="R114" s="327"/>
      <c r="S114" s="327"/>
      <c r="U114" s="328"/>
      <c r="W114" s="327"/>
      <c r="X114" s="327"/>
      <c r="Y114" s="327"/>
      <c r="Z114" s="327"/>
      <c r="AA114" s="327"/>
      <c r="AB114" s="327"/>
      <c r="AC114" s="327"/>
      <c r="AD114" s="327"/>
      <c r="AE114" s="327"/>
      <c r="AF114" s="327"/>
      <c r="AG114" s="327"/>
      <c r="AH114" s="327"/>
      <c r="AI114" s="327"/>
      <c r="AJ114" s="327"/>
      <c r="AK114" s="327"/>
      <c r="AL114" s="327"/>
      <c r="AM114" s="327"/>
      <c r="AN114" s="327"/>
      <c r="AO114" s="327"/>
      <c r="AP114" s="327"/>
      <c r="AQ114" s="327"/>
      <c r="AR114" s="327"/>
      <c r="AS114" s="327"/>
      <c r="AT114" s="327"/>
      <c r="AU114" s="327"/>
      <c r="AV114" s="327"/>
      <c r="AW114" s="327"/>
      <c r="AX114" s="327"/>
      <c r="AY114" s="327"/>
      <c r="AZ114" s="327"/>
    </row>
    <row r="115" spans="12:52">
      <c r="L115" s="325">
        <f t="shared" si="4"/>
        <v>112</v>
      </c>
      <c r="M115" s="328">
        <f t="shared" si="6"/>
        <v>0.24333333333333335</v>
      </c>
      <c r="N115" s="329">
        <f t="shared" si="7"/>
        <v>0.87692307692307581</v>
      </c>
      <c r="O115" s="327"/>
      <c r="P115" s="327"/>
      <c r="Q115" s="327"/>
      <c r="R115" s="327"/>
      <c r="S115" s="327"/>
      <c r="U115" s="328"/>
      <c r="W115" s="327"/>
      <c r="X115" s="327"/>
      <c r="Y115" s="327"/>
      <c r="Z115" s="327"/>
      <c r="AA115" s="327"/>
      <c r="AB115" s="327"/>
      <c r="AC115" s="327"/>
      <c r="AD115" s="327"/>
      <c r="AE115" s="327"/>
      <c r="AF115" s="327"/>
      <c r="AG115" s="327"/>
      <c r="AH115" s="327"/>
      <c r="AI115" s="327"/>
      <c r="AJ115" s="327"/>
      <c r="AK115" s="327"/>
      <c r="AL115" s="327"/>
      <c r="AM115" s="327"/>
      <c r="AN115" s="327"/>
      <c r="AO115" s="327"/>
      <c r="AP115" s="327"/>
      <c r="AQ115" s="327"/>
      <c r="AR115" s="327"/>
      <c r="AS115" s="327"/>
      <c r="AT115" s="327"/>
      <c r="AU115" s="327"/>
      <c r="AV115" s="327"/>
      <c r="AW115" s="327"/>
      <c r="AX115" s="327"/>
      <c r="AY115" s="327"/>
      <c r="AZ115" s="327"/>
    </row>
    <row r="116" spans="12:52">
      <c r="L116" s="325">
        <f t="shared" si="4"/>
        <v>113</v>
      </c>
      <c r="M116" s="328">
        <f t="shared" si="6"/>
        <v>0.24625000000000002</v>
      </c>
      <c r="N116" s="329">
        <f t="shared" si="7"/>
        <v>0.85384615384615259</v>
      </c>
      <c r="O116" s="327"/>
      <c r="P116" s="327"/>
      <c r="Q116" s="327"/>
      <c r="R116" s="327"/>
      <c r="S116" s="327"/>
      <c r="U116" s="328"/>
      <c r="W116" s="327"/>
      <c r="X116" s="327"/>
      <c r="Y116" s="327"/>
      <c r="Z116" s="327"/>
      <c r="AA116" s="327"/>
      <c r="AB116" s="327"/>
      <c r="AC116" s="327"/>
      <c r="AD116" s="327"/>
      <c r="AE116" s="327"/>
      <c r="AF116" s="327"/>
      <c r="AG116" s="327"/>
      <c r="AH116" s="327"/>
      <c r="AI116" s="327"/>
      <c r="AJ116" s="327"/>
      <c r="AK116" s="327"/>
      <c r="AL116" s="327"/>
      <c r="AM116" s="327"/>
      <c r="AN116" s="327"/>
      <c r="AO116" s="327"/>
      <c r="AP116" s="327"/>
      <c r="AQ116" s="327"/>
      <c r="AR116" s="327"/>
      <c r="AS116" s="327"/>
      <c r="AT116" s="327"/>
      <c r="AU116" s="327"/>
      <c r="AV116" s="327"/>
      <c r="AW116" s="327"/>
      <c r="AX116" s="327"/>
      <c r="AY116" s="327"/>
      <c r="AZ116" s="327"/>
    </row>
    <row r="117" spans="12:52">
      <c r="L117" s="325">
        <f t="shared" si="4"/>
        <v>114</v>
      </c>
      <c r="M117" s="328">
        <f t="shared" si="6"/>
        <v>0.2491666666666667</v>
      </c>
      <c r="N117" s="329">
        <f t="shared" si="7"/>
        <v>0.83076923076922948</v>
      </c>
      <c r="O117" s="327"/>
      <c r="P117" s="327"/>
      <c r="Q117" s="327"/>
      <c r="R117" s="327"/>
      <c r="S117" s="327"/>
      <c r="U117" s="328"/>
      <c r="W117" s="327"/>
      <c r="X117" s="327"/>
      <c r="Y117" s="327"/>
      <c r="Z117" s="327"/>
      <c r="AA117" s="327"/>
      <c r="AB117" s="327"/>
      <c r="AC117" s="327"/>
      <c r="AD117" s="327"/>
      <c r="AE117" s="327"/>
      <c r="AF117" s="327"/>
      <c r="AG117" s="327"/>
      <c r="AH117" s="327"/>
      <c r="AI117" s="327"/>
      <c r="AJ117" s="327"/>
      <c r="AK117" s="327"/>
      <c r="AL117" s="327"/>
      <c r="AM117" s="327"/>
      <c r="AN117" s="327"/>
      <c r="AO117" s="327"/>
      <c r="AP117" s="327"/>
      <c r="AQ117" s="327"/>
      <c r="AR117" s="327"/>
      <c r="AS117" s="327"/>
      <c r="AT117" s="327"/>
      <c r="AU117" s="327"/>
      <c r="AV117" s="327"/>
      <c r="AW117" s="327"/>
      <c r="AX117" s="327"/>
      <c r="AY117" s="327"/>
      <c r="AZ117" s="327"/>
    </row>
    <row r="118" spans="12:52">
      <c r="L118" s="325">
        <f t="shared" si="4"/>
        <v>115</v>
      </c>
      <c r="M118" s="328">
        <f t="shared" si="6"/>
        <v>0.25208333333333338</v>
      </c>
      <c r="N118" s="329">
        <f t="shared" si="7"/>
        <v>0.80769230769230638</v>
      </c>
      <c r="O118" s="327"/>
      <c r="P118" s="327"/>
      <c r="Q118" s="327"/>
      <c r="R118" s="327"/>
      <c r="S118" s="327"/>
      <c r="U118" s="328"/>
      <c r="W118" s="327"/>
      <c r="X118" s="327"/>
      <c r="Y118" s="327"/>
      <c r="Z118" s="327"/>
      <c r="AA118" s="327"/>
      <c r="AB118" s="327"/>
      <c r="AC118" s="327"/>
      <c r="AD118" s="327"/>
      <c r="AE118" s="327"/>
      <c r="AF118" s="327"/>
      <c r="AG118" s="327"/>
      <c r="AH118" s="327"/>
      <c r="AI118" s="327"/>
      <c r="AJ118" s="327"/>
      <c r="AK118" s="327"/>
      <c r="AL118" s="327"/>
      <c r="AM118" s="327"/>
      <c r="AN118" s="327"/>
      <c r="AO118" s="327"/>
      <c r="AP118" s="327"/>
      <c r="AQ118" s="327"/>
      <c r="AR118" s="327"/>
      <c r="AS118" s="327"/>
      <c r="AT118" s="327"/>
      <c r="AU118" s="327"/>
      <c r="AV118" s="327"/>
      <c r="AW118" s="327"/>
      <c r="AX118" s="327"/>
      <c r="AY118" s="327"/>
      <c r="AZ118" s="327"/>
    </row>
    <row r="119" spans="12:52">
      <c r="L119" s="325">
        <f t="shared" si="4"/>
        <v>116</v>
      </c>
      <c r="M119" s="328">
        <f t="shared" si="6"/>
        <v>0.25500000000000006</v>
      </c>
      <c r="N119" s="329">
        <f t="shared" si="7"/>
        <v>0.78461538461538316</v>
      </c>
      <c r="O119" s="327"/>
      <c r="P119" s="327"/>
      <c r="Q119" s="327"/>
      <c r="R119" s="327"/>
      <c r="S119" s="327"/>
      <c r="U119" s="328"/>
      <c r="W119" s="327"/>
      <c r="X119" s="327"/>
      <c r="Y119" s="327"/>
      <c r="Z119" s="327"/>
      <c r="AA119" s="327"/>
      <c r="AB119" s="327"/>
      <c r="AC119" s="327"/>
      <c r="AD119" s="327"/>
      <c r="AE119" s="327"/>
      <c r="AF119" s="327"/>
      <c r="AG119" s="327"/>
      <c r="AH119" s="327"/>
      <c r="AI119" s="327"/>
      <c r="AJ119" s="327"/>
      <c r="AK119" s="327"/>
      <c r="AL119" s="327"/>
      <c r="AM119" s="327"/>
      <c r="AN119" s="327"/>
      <c r="AO119" s="327"/>
      <c r="AP119" s="327"/>
      <c r="AQ119" s="327"/>
      <c r="AR119" s="327"/>
      <c r="AS119" s="327"/>
      <c r="AT119" s="327"/>
      <c r="AU119" s="327"/>
      <c r="AV119" s="327"/>
      <c r="AW119" s="327"/>
      <c r="AX119" s="327"/>
      <c r="AY119" s="327"/>
      <c r="AZ119" s="327"/>
    </row>
    <row r="120" spans="12:52">
      <c r="L120" s="325">
        <f t="shared" si="4"/>
        <v>117</v>
      </c>
      <c r="M120" s="328">
        <f t="shared" si="6"/>
        <v>0.25791666666666674</v>
      </c>
      <c r="N120" s="329">
        <f t="shared" si="7"/>
        <v>0.76153846153845994</v>
      </c>
      <c r="O120" s="327"/>
      <c r="P120" s="327"/>
      <c r="Q120" s="327"/>
      <c r="R120" s="327"/>
      <c r="S120" s="327"/>
      <c r="U120" s="328"/>
      <c r="W120" s="327"/>
      <c r="X120" s="327"/>
      <c r="Y120" s="327"/>
      <c r="Z120" s="327"/>
      <c r="AA120" s="327"/>
      <c r="AB120" s="327"/>
      <c r="AC120" s="327"/>
      <c r="AD120" s="327"/>
      <c r="AE120" s="327"/>
      <c r="AF120" s="327"/>
      <c r="AG120" s="327"/>
      <c r="AH120" s="327"/>
      <c r="AI120" s="327"/>
      <c r="AJ120" s="327"/>
      <c r="AK120" s="327"/>
      <c r="AL120" s="327"/>
      <c r="AM120" s="327"/>
      <c r="AN120" s="327"/>
      <c r="AO120" s="327"/>
      <c r="AP120" s="327"/>
      <c r="AQ120" s="327"/>
      <c r="AR120" s="327"/>
      <c r="AS120" s="327"/>
      <c r="AT120" s="327"/>
      <c r="AU120" s="327"/>
      <c r="AV120" s="327"/>
      <c r="AW120" s="327"/>
      <c r="AX120" s="327"/>
      <c r="AY120" s="327"/>
      <c r="AZ120" s="327"/>
    </row>
    <row r="121" spans="12:52">
      <c r="L121" s="325">
        <f t="shared" si="4"/>
        <v>118</v>
      </c>
      <c r="M121" s="328">
        <f t="shared" si="6"/>
        <v>0.26083333333333342</v>
      </c>
      <c r="N121" s="329">
        <f t="shared" si="7"/>
        <v>0.73846153846153673</v>
      </c>
      <c r="O121" s="327"/>
      <c r="P121" s="327"/>
      <c r="Q121" s="327"/>
      <c r="R121" s="327"/>
      <c r="S121" s="327"/>
      <c r="U121" s="328"/>
      <c r="W121" s="327"/>
      <c r="X121" s="327"/>
      <c r="Y121" s="327"/>
      <c r="Z121" s="327"/>
      <c r="AA121" s="327"/>
      <c r="AB121" s="327"/>
      <c r="AC121" s="327"/>
      <c r="AD121" s="327"/>
      <c r="AE121" s="327"/>
      <c r="AF121" s="327"/>
      <c r="AG121" s="327"/>
      <c r="AH121" s="327"/>
      <c r="AI121" s="327"/>
      <c r="AJ121" s="327"/>
      <c r="AK121" s="327"/>
      <c r="AL121" s="327"/>
      <c r="AM121" s="327"/>
      <c r="AN121" s="327"/>
      <c r="AO121" s="327"/>
      <c r="AP121" s="327"/>
      <c r="AQ121" s="327"/>
      <c r="AR121" s="327"/>
      <c r="AS121" s="327"/>
      <c r="AT121" s="327"/>
      <c r="AU121" s="327"/>
      <c r="AV121" s="327"/>
      <c r="AW121" s="327"/>
      <c r="AX121" s="327"/>
      <c r="AY121" s="327"/>
      <c r="AZ121" s="327"/>
    </row>
    <row r="122" spans="12:52">
      <c r="L122" s="325">
        <f t="shared" si="4"/>
        <v>119</v>
      </c>
      <c r="M122" s="328">
        <f t="shared" si="6"/>
        <v>0.2637500000000001</v>
      </c>
      <c r="N122" s="329">
        <f t="shared" si="7"/>
        <v>0.71538461538461362</v>
      </c>
      <c r="O122" s="327"/>
      <c r="P122" s="327"/>
      <c r="Q122" s="327"/>
      <c r="R122" s="327"/>
      <c r="S122" s="327"/>
      <c r="U122" s="328"/>
      <c r="W122" s="327"/>
      <c r="X122" s="327"/>
      <c r="Y122" s="327"/>
      <c r="Z122" s="327"/>
      <c r="AA122" s="327"/>
      <c r="AB122" s="327"/>
      <c r="AC122" s="327"/>
      <c r="AD122" s="327"/>
      <c r="AE122" s="327"/>
      <c r="AF122" s="327"/>
      <c r="AG122" s="327"/>
      <c r="AH122" s="327"/>
      <c r="AI122" s="327"/>
      <c r="AJ122" s="327"/>
      <c r="AK122" s="327"/>
      <c r="AL122" s="327"/>
      <c r="AM122" s="327"/>
      <c r="AN122" s="327"/>
      <c r="AO122" s="327"/>
      <c r="AP122" s="327"/>
      <c r="AQ122" s="327"/>
      <c r="AR122" s="327"/>
      <c r="AS122" s="327"/>
      <c r="AT122" s="327"/>
      <c r="AU122" s="327"/>
      <c r="AV122" s="327"/>
      <c r="AW122" s="327"/>
      <c r="AX122" s="327"/>
      <c r="AY122" s="327"/>
      <c r="AZ122" s="327"/>
    </row>
    <row r="123" spans="12:52">
      <c r="L123" s="325">
        <f t="shared" si="4"/>
        <v>120</v>
      </c>
      <c r="M123" s="328">
        <f t="shared" si="6"/>
        <v>0.26666666666666677</v>
      </c>
      <c r="N123" s="329">
        <f t="shared" si="7"/>
        <v>0.69230769230769051</v>
      </c>
      <c r="O123" s="327"/>
      <c r="P123" s="327"/>
      <c r="Q123" s="327"/>
      <c r="R123" s="327"/>
      <c r="S123" s="327"/>
      <c r="U123" s="328"/>
      <c r="W123" s="327"/>
      <c r="X123" s="327"/>
      <c r="Y123" s="327"/>
      <c r="Z123" s="327"/>
      <c r="AA123" s="327"/>
      <c r="AB123" s="327"/>
      <c r="AC123" s="327"/>
      <c r="AD123" s="327"/>
      <c r="AE123" s="327"/>
      <c r="AF123" s="327"/>
      <c r="AG123" s="327"/>
      <c r="AH123" s="327"/>
      <c r="AI123" s="327"/>
      <c r="AJ123" s="327"/>
      <c r="AK123" s="327"/>
      <c r="AL123" s="327"/>
      <c r="AM123" s="327"/>
      <c r="AN123" s="327"/>
      <c r="AO123" s="327"/>
      <c r="AP123" s="327"/>
      <c r="AQ123" s="327"/>
      <c r="AR123" s="327"/>
      <c r="AS123" s="327"/>
      <c r="AT123" s="327"/>
      <c r="AU123" s="327"/>
      <c r="AV123" s="327"/>
      <c r="AW123" s="327"/>
      <c r="AX123" s="327"/>
      <c r="AY123" s="327"/>
      <c r="AZ123" s="327"/>
    </row>
    <row r="124" spans="12:52">
      <c r="L124" s="325">
        <f t="shared" si="4"/>
        <v>121</v>
      </c>
      <c r="M124" s="328">
        <f t="shared" si="6"/>
        <v>0.26958333333333345</v>
      </c>
      <c r="N124" s="329">
        <f t="shared" si="7"/>
        <v>0.6692307692307673</v>
      </c>
      <c r="O124" s="327"/>
      <c r="P124" s="327"/>
      <c r="Q124" s="327"/>
      <c r="R124" s="327"/>
      <c r="S124" s="327"/>
      <c r="U124" s="328"/>
      <c r="W124" s="327"/>
      <c r="X124" s="327"/>
      <c r="Y124" s="327"/>
      <c r="Z124" s="327"/>
      <c r="AA124" s="327"/>
      <c r="AB124" s="327"/>
      <c r="AC124" s="327"/>
      <c r="AD124" s="327"/>
      <c r="AE124" s="327"/>
      <c r="AF124" s="327"/>
      <c r="AG124" s="327"/>
      <c r="AH124" s="327"/>
      <c r="AI124" s="327"/>
      <c r="AJ124" s="327"/>
      <c r="AK124" s="327"/>
      <c r="AL124" s="327"/>
      <c r="AM124" s="327"/>
      <c r="AN124" s="327"/>
      <c r="AO124" s="327"/>
      <c r="AP124" s="327"/>
      <c r="AQ124" s="327"/>
      <c r="AR124" s="327"/>
      <c r="AS124" s="327"/>
      <c r="AT124" s="327"/>
      <c r="AU124" s="327"/>
      <c r="AV124" s="327"/>
      <c r="AW124" s="327"/>
      <c r="AX124" s="327"/>
      <c r="AY124" s="327"/>
      <c r="AZ124" s="327"/>
    </row>
    <row r="125" spans="12:52">
      <c r="L125" s="325">
        <f t="shared" si="4"/>
        <v>122</v>
      </c>
      <c r="M125" s="328">
        <f t="shared" si="6"/>
        <v>0.27250000000000013</v>
      </c>
      <c r="N125" s="329">
        <f t="shared" si="7"/>
        <v>0.64615384615384408</v>
      </c>
      <c r="O125" s="327"/>
      <c r="P125" s="327"/>
      <c r="Q125" s="327"/>
      <c r="R125" s="327"/>
      <c r="S125" s="327"/>
      <c r="U125" s="328"/>
      <c r="W125" s="327"/>
      <c r="X125" s="327"/>
      <c r="Y125" s="327"/>
      <c r="Z125" s="327"/>
      <c r="AA125" s="327"/>
      <c r="AB125" s="327"/>
      <c r="AC125" s="327"/>
      <c r="AD125" s="327"/>
      <c r="AE125" s="327"/>
      <c r="AF125" s="327"/>
      <c r="AG125" s="327"/>
      <c r="AH125" s="327"/>
      <c r="AI125" s="327"/>
      <c r="AJ125" s="327"/>
      <c r="AK125" s="327"/>
      <c r="AL125" s="327"/>
      <c r="AM125" s="327"/>
      <c r="AN125" s="327"/>
      <c r="AO125" s="327"/>
      <c r="AP125" s="327"/>
      <c r="AQ125" s="327"/>
      <c r="AR125" s="327"/>
      <c r="AS125" s="327"/>
      <c r="AT125" s="327"/>
      <c r="AU125" s="327"/>
      <c r="AV125" s="327"/>
      <c r="AW125" s="327"/>
      <c r="AX125" s="327"/>
      <c r="AY125" s="327"/>
      <c r="AZ125" s="327"/>
    </row>
    <row r="126" spans="12:52">
      <c r="L126" s="325">
        <f t="shared" si="4"/>
        <v>123</v>
      </c>
      <c r="M126" s="328">
        <f t="shared" si="6"/>
        <v>0.27541666666666681</v>
      </c>
      <c r="N126" s="329">
        <f t="shared" si="7"/>
        <v>0.62307692307692086</v>
      </c>
      <c r="O126" s="327"/>
      <c r="P126" s="327"/>
      <c r="Q126" s="327"/>
      <c r="R126" s="327"/>
      <c r="S126" s="327"/>
      <c r="U126" s="328"/>
      <c r="W126" s="327"/>
      <c r="X126" s="327"/>
      <c r="Y126" s="327"/>
      <c r="Z126" s="327"/>
      <c r="AA126" s="327"/>
      <c r="AB126" s="327"/>
      <c r="AC126" s="327"/>
      <c r="AD126" s="327"/>
      <c r="AE126" s="327"/>
      <c r="AF126" s="327"/>
      <c r="AG126" s="327"/>
      <c r="AH126" s="327"/>
      <c r="AI126" s="327"/>
      <c r="AJ126" s="327"/>
      <c r="AK126" s="327"/>
      <c r="AL126" s="327"/>
      <c r="AM126" s="327"/>
      <c r="AN126" s="327"/>
      <c r="AO126" s="327"/>
      <c r="AP126" s="327"/>
      <c r="AQ126" s="327"/>
      <c r="AR126" s="327"/>
      <c r="AS126" s="327"/>
      <c r="AT126" s="327"/>
      <c r="AU126" s="327"/>
      <c r="AV126" s="327"/>
      <c r="AW126" s="327"/>
      <c r="AX126" s="327"/>
      <c r="AY126" s="327"/>
      <c r="AZ126" s="327"/>
    </row>
    <row r="127" spans="12:52">
      <c r="L127" s="325">
        <f t="shared" si="4"/>
        <v>124</v>
      </c>
      <c r="M127" s="328">
        <f t="shared" si="6"/>
        <v>0.27833333333333349</v>
      </c>
      <c r="N127" s="329">
        <f t="shared" si="7"/>
        <v>0.59999999999999776</v>
      </c>
      <c r="O127" s="327"/>
      <c r="P127" s="327"/>
      <c r="Q127" s="327"/>
      <c r="R127" s="327"/>
      <c r="S127" s="327"/>
      <c r="U127" s="328"/>
      <c r="W127" s="327"/>
      <c r="X127" s="327"/>
      <c r="Y127" s="327"/>
      <c r="Z127" s="327"/>
      <c r="AA127" s="327"/>
      <c r="AB127" s="327"/>
      <c r="AC127" s="327"/>
      <c r="AD127" s="327"/>
      <c r="AE127" s="327"/>
      <c r="AF127" s="327"/>
      <c r="AG127" s="327"/>
      <c r="AH127" s="327"/>
      <c r="AI127" s="327"/>
      <c r="AJ127" s="327"/>
      <c r="AK127" s="327"/>
      <c r="AL127" s="327"/>
      <c r="AM127" s="327"/>
      <c r="AN127" s="327"/>
      <c r="AO127" s="327"/>
      <c r="AP127" s="327"/>
      <c r="AQ127" s="327"/>
      <c r="AR127" s="327"/>
      <c r="AS127" s="327"/>
      <c r="AT127" s="327"/>
      <c r="AU127" s="327"/>
      <c r="AV127" s="327"/>
      <c r="AW127" s="327"/>
      <c r="AX127" s="327"/>
      <c r="AY127" s="327"/>
      <c r="AZ127" s="327"/>
    </row>
    <row r="128" spans="12:52">
      <c r="L128" s="325">
        <f t="shared" si="4"/>
        <v>125</v>
      </c>
      <c r="M128" s="328">
        <f t="shared" si="6"/>
        <v>0.28125000000000017</v>
      </c>
      <c r="N128" s="329">
        <f t="shared" si="7"/>
        <v>0.57692307692307454</v>
      </c>
      <c r="O128" s="327"/>
      <c r="P128" s="327"/>
      <c r="Q128" s="327"/>
      <c r="R128" s="327"/>
      <c r="S128" s="327"/>
      <c r="U128" s="328"/>
      <c r="W128" s="327"/>
      <c r="X128" s="327"/>
      <c r="Y128" s="327"/>
      <c r="Z128" s="327"/>
      <c r="AA128" s="327"/>
      <c r="AB128" s="327"/>
      <c r="AC128" s="327"/>
      <c r="AD128" s="327"/>
      <c r="AE128" s="327"/>
      <c r="AF128" s="327"/>
      <c r="AG128" s="327"/>
      <c r="AH128" s="327"/>
      <c r="AI128" s="327"/>
      <c r="AJ128" s="327"/>
      <c r="AK128" s="327"/>
      <c r="AL128" s="327"/>
      <c r="AM128" s="327"/>
      <c r="AN128" s="327"/>
      <c r="AO128" s="327"/>
      <c r="AP128" s="327"/>
      <c r="AQ128" s="327"/>
      <c r="AR128" s="327"/>
      <c r="AS128" s="327"/>
      <c r="AT128" s="327"/>
      <c r="AU128" s="327"/>
      <c r="AV128" s="327"/>
      <c r="AW128" s="327"/>
      <c r="AX128" s="327"/>
      <c r="AY128" s="327"/>
      <c r="AZ128" s="327"/>
    </row>
    <row r="129" spans="12:52">
      <c r="L129" s="325">
        <f t="shared" si="4"/>
        <v>126</v>
      </c>
      <c r="M129" s="328">
        <f t="shared" si="6"/>
        <v>0.28416666666666685</v>
      </c>
      <c r="N129" s="329">
        <f t="shared" si="7"/>
        <v>0.55384615384615132</v>
      </c>
      <c r="O129" s="327"/>
      <c r="P129" s="327"/>
      <c r="Q129" s="327"/>
      <c r="R129" s="327"/>
      <c r="S129" s="327"/>
      <c r="U129" s="328"/>
      <c r="W129" s="327"/>
      <c r="X129" s="327"/>
      <c r="Y129" s="327"/>
      <c r="Z129" s="327"/>
      <c r="AA129" s="327"/>
      <c r="AB129" s="327"/>
      <c r="AC129" s="327"/>
      <c r="AD129" s="327"/>
      <c r="AE129" s="327"/>
      <c r="AF129" s="327"/>
      <c r="AG129" s="327"/>
      <c r="AH129" s="327"/>
      <c r="AI129" s="327"/>
      <c r="AJ129" s="327"/>
      <c r="AK129" s="327"/>
      <c r="AL129" s="327"/>
      <c r="AM129" s="327"/>
      <c r="AN129" s="327"/>
      <c r="AO129" s="327"/>
      <c r="AP129" s="327"/>
      <c r="AQ129" s="327"/>
      <c r="AR129" s="327"/>
      <c r="AS129" s="327"/>
      <c r="AT129" s="327"/>
      <c r="AU129" s="327"/>
      <c r="AV129" s="327"/>
      <c r="AW129" s="327"/>
      <c r="AX129" s="327"/>
      <c r="AY129" s="327"/>
      <c r="AZ129" s="327"/>
    </row>
    <row r="130" spans="12:52">
      <c r="L130" s="325">
        <f t="shared" si="4"/>
        <v>127</v>
      </c>
      <c r="M130" s="328">
        <f t="shared" si="6"/>
        <v>0.28708333333333352</v>
      </c>
      <c r="N130" s="329">
        <f t="shared" si="7"/>
        <v>0.53076923076922822</v>
      </c>
      <c r="O130" s="327"/>
      <c r="P130" s="327"/>
      <c r="Q130" s="327"/>
      <c r="R130" s="327"/>
      <c r="S130" s="327"/>
      <c r="U130" s="328"/>
      <c r="W130" s="327"/>
      <c r="X130" s="327"/>
      <c r="Y130" s="327"/>
      <c r="Z130" s="327"/>
      <c r="AA130" s="327"/>
      <c r="AB130" s="327"/>
      <c r="AC130" s="327"/>
      <c r="AD130" s="327"/>
      <c r="AE130" s="327"/>
      <c r="AF130" s="327"/>
      <c r="AG130" s="327"/>
      <c r="AH130" s="327"/>
      <c r="AI130" s="327"/>
      <c r="AJ130" s="327"/>
      <c r="AK130" s="327"/>
      <c r="AL130" s="327"/>
      <c r="AM130" s="327"/>
      <c r="AN130" s="327"/>
      <c r="AO130" s="327"/>
      <c r="AP130" s="327"/>
      <c r="AQ130" s="327"/>
      <c r="AR130" s="327"/>
      <c r="AS130" s="327"/>
      <c r="AT130" s="327"/>
      <c r="AU130" s="327"/>
      <c r="AV130" s="327"/>
      <c r="AW130" s="327"/>
      <c r="AX130" s="327"/>
      <c r="AY130" s="327"/>
      <c r="AZ130" s="327"/>
    </row>
    <row r="131" spans="12:52">
      <c r="L131" s="325">
        <f t="shared" si="4"/>
        <v>128</v>
      </c>
      <c r="M131" s="328">
        <f t="shared" si="6"/>
        <v>0.2900000000000002</v>
      </c>
      <c r="N131" s="329">
        <f t="shared" si="7"/>
        <v>0.507692307692305</v>
      </c>
      <c r="O131" s="327"/>
      <c r="P131" s="327"/>
      <c r="Q131" s="327"/>
      <c r="R131" s="327"/>
      <c r="S131" s="327"/>
      <c r="U131" s="328"/>
      <c r="W131" s="327"/>
      <c r="X131" s="327"/>
      <c r="Y131" s="327"/>
      <c r="Z131" s="327"/>
      <c r="AA131" s="327"/>
      <c r="AB131" s="327"/>
      <c r="AC131" s="327"/>
      <c r="AD131" s="327"/>
      <c r="AE131" s="327"/>
      <c r="AF131" s="327"/>
      <c r="AG131" s="327"/>
      <c r="AH131" s="327"/>
      <c r="AI131" s="327"/>
      <c r="AJ131" s="327"/>
      <c r="AK131" s="327"/>
      <c r="AL131" s="327"/>
      <c r="AM131" s="327"/>
      <c r="AN131" s="327"/>
      <c r="AO131" s="327"/>
      <c r="AP131" s="327"/>
      <c r="AQ131" s="327"/>
      <c r="AR131" s="327"/>
      <c r="AS131" s="327"/>
      <c r="AT131" s="327"/>
      <c r="AU131" s="327"/>
      <c r="AV131" s="327"/>
      <c r="AW131" s="327"/>
      <c r="AX131" s="327"/>
      <c r="AY131" s="327"/>
      <c r="AZ131" s="327"/>
    </row>
    <row r="132" spans="12:52">
      <c r="L132" s="325">
        <f t="shared" si="4"/>
        <v>129</v>
      </c>
      <c r="M132" s="328">
        <f t="shared" si="6"/>
        <v>0.29291666666666688</v>
      </c>
      <c r="N132" s="329">
        <f t="shared" si="7"/>
        <v>0.48461538461538189</v>
      </c>
      <c r="O132" s="327"/>
      <c r="P132" s="327"/>
      <c r="Q132" s="327"/>
      <c r="R132" s="327"/>
      <c r="S132" s="327"/>
      <c r="U132" s="328"/>
      <c r="W132" s="327"/>
      <c r="X132" s="327"/>
      <c r="Y132" s="327"/>
      <c r="Z132" s="327"/>
      <c r="AA132" s="327"/>
      <c r="AB132" s="327"/>
      <c r="AC132" s="327"/>
      <c r="AD132" s="327"/>
      <c r="AE132" s="327"/>
      <c r="AF132" s="327"/>
      <c r="AG132" s="327"/>
      <c r="AH132" s="327"/>
      <c r="AI132" s="327"/>
      <c r="AJ132" s="327"/>
      <c r="AK132" s="327"/>
      <c r="AL132" s="327"/>
      <c r="AM132" s="327"/>
      <c r="AN132" s="327"/>
      <c r="AO132" s="327"/>
      <c r="AP132" s="327"/>
      <c r="AQ132" s="327"/>
      <c r="AR132" s="327"/>
      <c r="AS132" s="327"/>
      <c r="AT132" s="327"/>
      <c r="AU132" s="327"/>
      <c r="AV132" s="327"/>
      <c r="AW132" s="327"/>
      <c r="AX132" s="327"/>
      <c r="AY132" s="327"/>
      <c r="AZ132" s="327"/>
    </row>
    <row r="133" spans="12:52">
      <c r="L133" s="325">
        <f t="shared" ref="L133:L196" si="8">L132+1</f>
        <v>130</v>
      </c>
      <c r="M133" s="328">
        <f t="shared" si="6"/>
        <v>0.29583333333333356</v>
      </c>
      <c r="N133" s="329">
        <f t="shared" si="7"/>
        <v>0.46153846153845868</v>
      </c>
      <c r="O133" s="327"/>
      <c r="P133" s="327"/>
      <c r="Q133" s="327"/>
      <c r="R133" s="327"/>
      <c r="S133" s="327"/>
      <c r="U133" s="328"/>
      <c r="W133" s="327"/>
      <c r="X133" s="327"/>
      <c r="Y133" s="327"/>
      <c r="Z133" s="327"/>
      <c r="AA133" s="327"/>
      <c r="AB133" s="327"/>
      <c r="AC133" s="327"/>
      <c r="AD133" s="327"/>
      <c r="AE133" s="327"/>
      <c r="AF133" s="327"/>
      <c r="AG133" s="327"/>
      <c r="AH133" s="327"/>
      <c r="AI133" s="327"/>
      <c r="AJ133" s="327"/>
      <c r="AK133" s="327"/>
      <c r="AL133" s="327"/>
      <c r="AM133" s="327"/>
      <c r="AN133" s="327"/>
      <c r="AO133" s="327"/>
      <c r="AP133" s="327"/>
      <c r="AQ133" s="327"/>
      <c r="AR133" s="327"/>
      <c r="AS133" s="327"/>
      <c r="AT133" s="327"/>
      <c r="AU133" s="327"/>
      <c r="AV133" s="327"/>
      <c r="AW133" s="327"/>
      <c r="AX133" s="327"/>
      <c r="AY133" s="327"/>
      <c r="AZ133" s="327"/>
    </row>
    <row r="134" spans="12:52">
      <c r="L134" s="325">
        <f t="shared" si="8"/>
        <v>131</v>
      </c>
      <c r="M134" s="328">
        <f t="shared" si="6"/>
        <v>0.29875000000000024</v>
      </c>
      <c r="N134" s="329">
        <f t="shared" si="7"/>
        <v>0.43846153846153546</v>
      </c>
      <c r="O134" s="327"/>
      <c r="P134" s="327"/>
      <c r="Q134" s="327"/>
      <c r="R134" s="327"/>
      <c r="S134" s="327"/>
      <c r="U134" s="328"/>
      <c r="W134" s="327"/>
      <c r="X134" s="327"/>
      <c r="Y134" s="327"/>
      <c r="Z134" s="327"/>
      <c r="AA134" s="327"/>
      <c r="AB134" s="327"/>
      <c r="AC134" s="327"/>
      <c r="AD134" s="327"/>
      <c r="AE134" s="327"/>
      <c r="AF134" s="327"/>
      <c r="AG134" s="327"/>
      <c r="AH134" s="327"/>
      <c r="AI134" s="327"/>
      <c r="AJ134" s="327"/>
      <c r="AK134" s="327"/>
      <c r="AL134" s="327"/>
      <c r="AM134" s="327"/>
      <c r="AN134" s="327"/>
      <c r="AO134" s="327"/>
      <c r="AP134" s="327"/>
      <c r="AQ134" s="327"/>
      <c r="AR134" s="327"/>
      <c r="AS134" s="327"/>
      <c r="AT134" s="327"/>
      <c r="AU134" s="327"/>
      <c r="AV134" s="327"/>
      <c r="AW134" s="327"/>
      <c r="AX134" s="327"/>
      <c r="AY134" s="327"/>
      <c r="AZ134" s="327"/>
    </row>
    <row r="135" spans="12:52">
      <c r="L135" s="325">
        <f t="shared" si="8"/>
        <v>132</v>
      </c>
      <c r="M135" s="328">
        <f t="shared" si="6"/>
        <v>0.30166666666666692</v>
      </c>
      <c r="N135" s="329">
        <f t="shared" si="7"/>
        <v>0.41538461538461235</v>
      </c>
      <c r="O135" s="327"/>
      <c r="P135" s="327"/>
      <c r="Q135" s="327"/>
      <c r="R135" s="327"/>
      <c r="S135" s="327"/>
      <c r="U135" s="328"/>
      <c r="W135" s="327"/>
      <c r="X135" s="327"/>
      <c r="Y135" s="327"/>
      <c r="Z135" s="327"/>
      <c r="AA135" s="327"/>
      <c r="AB135" s="327"/>
      <c r="AC135" s="327"/>
      <c r="AD135" s="327"/>
      <c r="AE135" s="327"/>
      <c r="AF135" s="327"/>
      <c r="AG135" s="327"/>
      <c r="AH135" s="327"/>
      <c r="AI135" s="327"/>
      <c r="AJ135" s="327"/>
      <c r="AK135" s="327"/>
      <c r="AL135" s="327"/>
      <c r="AM135" s="327"/>
      <c r="AN135" s="327"/>
      <c r="AO135" s="327"/>
      <c r="AP135" s="327"/>
      <c r="AQ135" s="327"/>
      <c r="AR135" s="327"/>
      <c r="AS135" s="327"/>
      <c r="AT135" s="327"/>
      <c r="AU135" s="327"/>
      <c r="AV135" s="327"/>
      <c r="AW135" s="327"/>
      <c r="AX135" s="327"/>
      <c r="AY135" s="327"/>
      <c r="AZ135" s="327"/>
    </row>
    <row r="136" spans="12:52">
      <c r="L136" s="325">
        <f t="shared" si="8"/>
        <v>133</v>
      </c>
      <c r="M136" s="328">
        <f t="shared" si="6"/>
        <v>0.30458333333333359</v>
      </c>
      <c r="N136" s="329">
        <f t="shared" si="7"/>
        <v>0.39230769230768914</v>
      </c>
      <c r="O136" s="327"/>
      <c r="P136" s="327"/>
      <c r="Q136" s="327"/>
      <c r="R136" s="327"/>
      <c r="S136" s="327"/>
      <c r="U136" s="328"/>
      <c r="W136" s="327"/>
      <c r="X136" s="327"/>
      <c r="Y136" s="327"/>
      <c r="Z136" s="327"/>
      <c r="AA136" s="327"/>
      <c r="AB136" s="327"/>
      <c r="AC136" s="327"/>
      <c r="AD136" s="327"/>
      <c r="AE136" s="327"/>
      <c r="AF136" s="327"/>
      <c r="AG136" s="327"/>
      <c r="AH136" s="327"/>
      <c r="AI136" s="327"/>
      <c r="AJ136" s="327"/>
      <c r="AK136" s="327"/>
      <c r="AL136" s="327"/>
      <c r="AM136" s="327"/>
      <c r="AN136" s="327"/>
      <c r="AO136" s="327"/>
      <c r="AP136" s="327"/>
      <c r="AQ136" s="327"/>
      <c r="AR136" s="327"/>
      <c r="AS136" s="327"/>
      <c r="AT136" s="327"/>
      <c r="AU136" s="327"/>
      <c r="AV136" s="327"/>
      <c r="AW136" s="327"/>
      <c r="AX136" s="327"/>
      <c r="AY136" s="327"/>
      <c r="AZ136" s="327"/>
    </row>
    <row r="137" spans="12:52">
      <c r="L137" s="325">
        <f t="shared" si="8"/>
        <v>134</v>
      </c>
      <c r="M137" s="328">
        <f t="shared" si="6"/>
        <v>0.30750000000000027</v>
      </c>
      <c r="N137" s="329">
        <f t="shared" si="7"/>
        <v>0.36923076923076592</v>
      </c>
      <c r="O137" s="327"/>
      <c r="P137" s="327"/>
      <c r="Q137" s="327"/>
      <c r="R137" s="327"/>
      <c r="S137" s="327"/>
      <c r="U137" s="328"/>
      <c r="W137" s="327"/>
      <c r="X137" s="327"/>
      <c r="Y137" s="327"/>
      <c r="Z137" s="327"/>
      <c r="AA137" s="327"/>
      <c r="AB137" s="327"/>
      <c r="AC137" s="327"/>
      <c r="AD137" s="327"/>
      <c r="AE137" s="327"/>
      <c r="AF137" s="327"/>
      <c r="AG137" s="327"/>
      <c r="AH137" s="327"/>
      <c r="AI137" s="327"/>
      <c r="AJ137" s="327"/>
      <c r="AK137" s="327"/>
      <c r="AL137" s="327"/>
      <c r="AM137" s="327"/>
      <c r="AN137" s="327"/>
      <c r="AO137" s="327"/>
      <c r="AP137" s="327"/>
      <c r="AQ137" s="327"/>
      <c r="AR137" s="327"/>
      <c r="AS137" s="327"/>
      <c r="AT137" s="327"/>
      <c r="AU137" s="327"/>
      <c r="AV137" s="327"/>
      <c r="AW137" s="327"/>
      <c r="AX137" s="327"/>
      <c r="AY137" s="327"/>
      <c r="AZ137" s="327"/>
    </row>
    <row r="138" spans="12:52">
      <c r="L138" s="325">
        <f t="shared" si="8"/>
        <v>135</v>
      </c>
      <c r="M138" s="328">
        <f t="shared" si="6"/>
        <v>0.31041666666666695</v>
      </c>
      <c r="N138" s="329">
        <f t="shared" si="7"/>
        <v>0.34615384615384281</v>
      </c>
      <c r="O138" s="327"/>
      <c r="P138" s="327"/>
      <c r="Q138" s="327"/>
      <c r="R138" s="327"/>
      <c r="S138" s="327"/>
      <c r="U138" s="328"/>
      <c r="W138" s="327"/>
      <c r="X138" s="327"/>
      <c r="Y138" s="327"/>
      <c r="Z138" s="327"/>
      <c r="AA138" s="327"/>
      <c r="AB138" s="327"/>
      <c r="AC138" s="327"/>
      <c r="AD138" s="327"/>
      <c r="AE138" s="327"/>
      <c r="AF138" s="327"/>
      <c r="AG138" s="327"/>
      <c r="AH138" s="327"/>
      <c r="AI138" s="327"/>
      <c r="AJ138" s="327"/>
      <c r="AK138" s="327"/>
      <c r="AL138" s="327"/>
      <c r="AM138" s="327"/>
      <c r="AN138" s="327"/>
      <c r="AO138" s="327"/>
      <c r="AP138" s="327"/>
      <c r="AQ138" s="327"/>
      <c r="AR138" s="327"/>
      <c r="AS138" s="327"/>
      <c r="AT138" s="327"/>
      <c r="AU138" s="327"/>
      <c r="AV138" s="327"/>
      <c r="AW138" s="327"/>
      <c r="AX138" s="327"/>
      <c r="AY138" s="327"/>
      <c r="AZ138" s="327"/>
    </row>
    <row r="139" spans="12:52">
      <c r="L139" s="325">
        <f t="shared" si="8"/>
        <v>136</v>
      </c>
      <c r="M139" s="328">
        <f t="shared" si="6"/>
        <v>0.31333333333333363</v>
      </c>
      <c r="N139" s="329">
        <f t="shared" si="7"/>
        <v>0.3230769230769196</v>
      </c>
      <c r="O139" s="327"/>
      <c r="P139" s="327"/>
      <c r="Q139" s="327"/>
      <c r="R139" s="327"/>
      <c r="S139" s="327"/>
      <c r="U139" s="328"/>
      <c r="W139" s="327"/>
      <c r="X139" s="327"/>
      <c r="Y139" s="327"/>
      <c r="Z139" s="327"/>
      <c r="AA139" s="327"/>
      <c r="AB139" s="327"/>
      <c r="AC139" s="327"/>
      <c r="AD139" s="327"/>
      <c r="AE139" s="327"/>
      <c r="AF139" s="327"/>
      <c r="AG139" s="327"/>
      <c r="AH139" s="327"/>
      <c r="AI139" s="327"/>
      <c r="AJ139" s="327"/>
      <c r="AK139" s="327"/>
      <c r="AL139" s="327"/>
      <c r="AM139" s="327"/>
      <c r="AN139" s="327"/>
      <c r="AO139" s="327"/>
      <c r="AP139" s="327"/>
      <c r="AQ139" s="327"/>
      <c r="AR139" s="327"/>
      <c r="AS139" s="327"/>
      <c r="AT139" s="327"/>
      <c r="AU139" s="327"/>
      <c r="AV139" s="327"/>
      <c r="AW139" s="327"/>
      <c r="AX139" s="327"/>
      <c r="AY139" s="327"/>
      <c r="AZ139" s="327"/>
    </row>
    <row r="140" spans="12:52">
      <c r="L140" s="325">
        <f t="shared" si="8"/>
        <v>137</v>
      </c>
      <c r="M140" s="328">
        <f t="shared" si="6"/>
        <v>0.31625000000000031</v>
      </c>
      <c r="N140" s="329">
        <f t="shared" si="7"/>
        <v>0.29999999999999638</v>
      </c>
      <c r="O140" s="327"/>
      <c r="P140" s="327"/>
      <c r="Q140" s="327"/>
      <c r="R140" s="327"/>
      <c r="S140" s="327"/>
      <c r="U140" s="328"/>
      <c r="W140" s="327"/>
      <c r="X140" s="327"/>
      <c r="Y140" s="327"/>
      <c r="Z140" s="327"/>
      <c r="AA140" s="327"/>
      <c r="AB140" s="327"/>
      <c r="AC140" s="327"/>
      <c r="AD140" s="327"/>
      <c r="AE140" s="327"/>
      <c r="AF140" s="327"/>
      <c r="AG140" s="327"/>
      <c r="AH140" s="327"/>
      <c r="AI140" s="327"/>
      <c r="AJ140" s="327"/>
      <c r="AK140" s="327"/>
      <c r="AL140" s="327"/>
      <c r="AM140" s="327"/>
      <c r="AN140" s="327"/>
      <c r="AO140" s="327"/>
      <c r="AP140" s="327"/>
      <c r="AQ140" s="327"/>
      <c r="AR140" s="327"/>
      <c r="AS140" s="327"/>
      <c r="AT140" s="327"/>
      <c r="AU140" s="327"/>
      <c r="AV140" s="327"/>
      <c r="AW140" s="327"/>
      <c r="AX140" s="327"/>
      <c r="AY140" s="327"/>
      <c r="AZ140" s="327"/>
    </row>
    <row r="141" spans="12:52">
      <c r="L141" s="325">
        <f t="shared" si="8"/>
        <v>138</v>
      </c>
      <c r="M141" s="328">
        <f t="shared" si="6"/>
        <v>0.31916666666666699</v>
      </c>
      <c r="N141" s="329">
        <f t="shared" si="7"/>
        <v>0.27692307692307327</v>
      </c>
      <c r="O141" s="327"/>
      <c r="P141" s="327"/>
      <c r="Q141" s="327"/>
      <c r="R141" s="327"/>
      <c r="S141" s="327"/>
      <c r="U141" s="328"/>
      <c r="W141" s="327"/>
      <c r="X141" s="327"/>
      <c r="Y141" s="327"/>
      <c r="Z141" s="327"/>
      <c r="AA141" s="327"/>
      <c r="AB141" s="327"/>
      <c r="AC141" s="327"/>
      <c r="AD141" s="327"/>
      <c r="AE141" s="327"/>
      <c r="AF141" s="327"/>
      <c r="AG141" s="327"/>
      <c r="AH141" s="327"/>
      <c r="AI141" s="327"/>
      <c r="AJ141" s="327"/>
      <c r="AK141" s="327"/>
      <c r="AL141" s="327"/>
      <c r="AM141" s="327"/>
      <c r="AN141" s="327"/>
      <c r="AO141" s="327"/>
      <c r="AP141" s="327"/>
      <c r="AQ141" s="327"/>
      <c r="AR141" s="327"/>
      <c r="AS141" s="327"/>
      <c r="AT141" s="327"/>
      <c r="AU141" s="327"/>
      <c r="AV141" s="327"/>
      <c r="AW141" s="327"/>
      <c r="AX141" s="327"/>
      <c r="AY141" s="327"/>
      <c r="AZ141" s="327"/>
    </row>
    <row r="142" spans="12:52">
      <c r="L142" s="325">
        <f t="shared" si="8"/>
        <v>139</v>
      </c>
      <c r="M142" s="328">
        <f t="shared" si="6"/>
        <v>0.32208333333333367</v>
      </c>
      <c r="N142" s="329">
        <f t="shared" si="7"/>
        <v>0.25384615384615006</v>
      </c>
      <c r="O142" s="327"/>
      <c r="P142" s="327"/>
      <c r="Q142" s="327"/>
      <c r="R142" s="327"/>
      <c r="S142" s="327"/>
      <c r="U142" s="328"/>
      <c r="W142" s="327"/>
      <c r="X142" s="327"/>
      <c r="Y142" s="327"/>
      <c r="Z142" s="327"/>
      <c r="AA142" s="327"/>
      <c r="AB142" s="327"/>
      <c r="AC142" s="327"/>
      <c r="AD142" s="327"/>
      <c r="AE142" s="327"/>
      <c r="AF142" s="327"/>
      <c r="AG142" s="327"/>
      <c r="AH142" s="327"/>
      <c r="AI142" s="327"/>
      <c r="AJ142" s="327"/>
      <c r="AK142" s="327"/>
      <c r="AL142" s="327"/>
      <c r="AM142" s="327"/>
      <c r="AN142" s="327"/>
      <c r="AO142" s="327"/>
      <c r="AP142" s="327"/>
      <c r="AQ142" s="327"/>
      <c r="AR142" s="327"/>
      <c r="AS142" s="327"/>
      <c r="AT142" s="327"/>
      <c r="AU142" s="327"/>
      <c r="AV142" s="327"/>
      <c r="AW142" s="327"/>
      <c r="AX142" s="327"/>
      <c r="AY142" s="327"/>
      <c r="AZ142" s="327"/>
    </row>
    <row r="143" spans="12:52">
      <c r="L143" s="325">
        <f t="shared" si="8"/>
        <v>140</v>
      </c>
      <c r="M143" s="328">
        <f t="shared" si="6"/>
        <v>0.32500000000000034</v>
      </c>
      <c r="N143" s="329">
        <f t="shared" si="7"/>
        <v>0.23076923076922695</v>
      </c>
      <c r="O143" s="327"/>
      <c r="P143" s="327"/>
      <c r="Q143" s="327"/>
      <c r="R143" s="327"/>
      <c r="S143" s="327"/>
      <c r="U143" s="328"/>
      <c r="W143" s="327"/>
      <c r="X143" s="327"/>
      <c r="Y143" s="327"/>
      <c r="Z143" s="327"/>
      <c r="AA143" s="327"/>
      <c r="AB143" s="327"/>
      <c r="AC143" s="327"/>
      <c r="AD143" s="327"/>
      <c r="AE143" s="327"/>
      <c r="AF143" s="327"/>
      <c r="AG143" s="327"/>
      <c r="AH143" s="327"/>
      <c r="AI143" s="327"/>
      <c r="AJ143" s="327"/>
      <c r="AK143" s="327"/>
      <c r="AL143" s="327"/>
      <c r="AM143" s="327"/>
      <c r="AN143" s="327"/>
      <c r="AO143" s="327"/>
      <c r="AP143" s="327"/>
      <c r="AQ143" s="327"/>
      <c r="AR143" s="327"/>
      <c r="AS143" s="327"/>
      <c r="AT143" s="327"/>
      <c r="AU143" s="327"/>
      <c r="AV143" s="327"/>
      <c r="AW143" s="327"/>
      <c r="AX143" s="327"/>
      <c r="AY143" s="327"/>
      <c r="AZ143" s="327"/>
    </row>
    <row r="144" spans="12:52">
      <c r="L144" s="325">
        <f t="shared" si="8"/>
        <v>141</v>
      </c>
      <c r="M144" s="328">
        <f t="shared" si="6"/>
        <v>0.32791666666666702</v>
      </c>
      <c r="N144" s="329">
        <f t="shared" si="7"/>
        <v>0.20769230769230373</v>
      </c>
      <c r="O144" s="327"/>
      <c r="P144" s="327"/>
      <c r="Q144" s="327"/>
      <c r="R144" s="327"/>
      <c r="S144" s="327"/>
      <c r="U144" s="328"/>
      <c r="W144" s="327"/>
      <c r="X144" s="327"/>
      <c r="Y144" s="327"/>
      <c r="Z144" s="327"/>
      <c r="AA144" s="327"/>
      <c r="AB144" s="327"/>
      <c r="AC144" s="327"/>
      <c r="AD144" s="327"/>
      <c r="AE144" s="327"/>
      <c r="AF144" s="327"/>
      <c r="AG144" s="327"/>
      <c r="AH144" s="327"/>
      <c r="AI144" s="327"/>
      <c r="AJ144" s="327"/>
      <c r="AK144" s="327"/>
      <c r="AL144" s="327"/>
      <c r="AM144" s="327"/>
      <c r="AN144" s="327"/>
      <c r="AO144" s="327"/>
      <c r="AP144" s="327"/>
      <c r="AQ144" s="327"/>
      <c r="AR144" s="327"/>
      <c r="AS144" s="327"/>
      <c r="AT144" s="327"/>
      <c r="AU144" s="327"/>
      <c r="AV144" s="327"/>
      <c r="AW144" s="327"/>
      <c r="AX144" s="327"/>
      <c r="AY144" s="327"/>
      <c r="AZ144" s="327"/>
    </row>
    <row r="145" spans="11:52">
      <c r="L145" s="325">
        <f t="shared" si="8"/>
        <v>142</v>
      </c>
      <c r="M145" s="328">
        <f t="shared" si="6"/>
        <v>0.3308333333333337</v>
      </c>
      <c r="N145" s="329">
        <f t="shared" si="7"/>
        <v>0.18461538461538052</v>
      </c>
      <c r="O145" s="327"/>
      <c r="P145" s="327"/>
      <c r="Q145" s="327"/>
      <c r="R145" s="327"/>
      <c r="S145" s="327"/>
      <c r="U145" s="328"/>
      <c r="W145" s="327"/>
      <c r="X145" s="327"/>
      <c r="Y145" s="327"/>
      <c r="Z145" s="327"/>
      <c r="AA145" s="327"/>
      <c r="AB145" s="327"/>
      <c r="AC145" s="327"/>
      <c r="AD145" s="327"/>
      <c r="AE145" s="327"/>
      <c r="AF145" s="327"/>
      <c r="AG145" s="327"/>
      <c r="AH145" s="327"/>
      <c r="AI145" s="327"/>
      <c r="AJ145" s="327"/>
      <c r="AK145" s="327"/>
      <c r="AL145" s="327"/>
      <c r="AM145" s="327"/>
      <c r="AN145" s="327"/>
      <c r="AO145" s="327"/>
      <c r="AP145" s="327"/>
      <c r="AQ145" s="327"/>
      <c r="AR145" s="327"/>
      <c r="AS145" s="327"/>
      <c r="AT145" s="327"/>
      <c r="AU145" s="327"/>
      <c r="AV145" s="327"/>
      <c r="AW145" s="327"/>
      <c r="AX145" s="327"/>
      <c r="AY145" s="327"/>
      <c r="AZ145" s="327"/>
    </row>
    <row r="146" spans="11:52">
      <c r="L146" s="325">
        <f t="shared" si="8"/>
        <v>143</v>
      </c>
      <c r="M146" s="328">
        <f t="shared" si="6"/>
        <v>0.33375000000000038</v>
      </c>
      <c r="N146" s="329">
        <f t="shared" si="7"/>
        <v>0.16153846153845741</v>
      </c>
      <c r="O146" s="327"/>
      <c r="P146" s="327"/>
      <c r="Q146" s="327"/>
      <c r="R146" s="327"/>
      <c r="S146" s="327"/>
      <c r="U146" s="328"/>
      <c r="W146" s="327"/>
      <c r="X146" s="327"/>
      <c r="Y146" s="327"/>
      <c r="Z146" s="327"/>
      <c r="AA146" s="327"/>
      <c r="AB146" s="327"/>
      <c r="AC146" s="327"/>
      <c r="AD146" s="327"/>
      <c r="AE146" s="327"/>
      <c r="AF146" s="327"/>
      <c r="AG146" s="327"/>
      <c r="AH146" s="327"/>
      <c r="AI146" s="327"/>
      <c r="AJ146" s="327"/>
      <c r="AK146" s="327"/>
      <c r="AL146" s="327"/>
      <c r="AM146" s="327"/>
      <c r="AN146" s="327"/>
      <c r="AO146" s="327"/>
      <c r="AP146" s="327"/>
      <c r="AQ146" s="327"/>
      <c r="AR146" s="327"/>
      <c r="AS146" s="327"/>
      <c r="AT146" s="327"/>
      <c r="AU146" s="327"/>
      <c r="AV146" s="327"/>
      <c r="AW146" s="327"/>
      <c r="AX146" s="327"/>
      <c r="AY146" s="327"/>
      <c r="AZ146" s="327"/>
    </row>
    <row r="147" spans="11:52">
      <c r="L147" s="325">
        <f t="shared" si="8"/>
        <v>144</v>
      </c>
      <c r="M147" s="328">
        <f t="shared" si="6"/>
        <v>0.33666666666666706</v>
      </c>
      <c r="N147" s="329">
        <f t="shared" si="7"/>
        <v>0.13846153846153419</v>
      </c>
      <c r="O147" s="327"/>
      <c r="P147" s="327"/>
      <c r="Q147" s="327"/>
      <c r="R147" s="327"/>
      <c r="S147" s="327"/>
      <c r="U147" s="328"/>
      <c r="W147" s="327"/>
      <c r="X147" s="327"/>
      <c r="Y147" s="327"/>
      <c r="Z147" s="327"/>
      <c r="AA147" s="327"/>
      <c r="AB147" s="327"/>
      <c r="AC147" s="327"/>
      <c r="AD147" s="327"/>
      <c r="AE147" s="327"/>
      <c r="AF147" s="327"/>
      <c r="AG147" s="327"/>
      <c r="AH147" s="327"/>
      <c r="AI147" s="327"/>
      <c r="AJ147" s="327"/>
      <c r="AK147" s="327"/>
      <c r="AL147" s="327"/>
      <c r="AM147" s="327"/>
      <c r="AN147" s="327"/>
      <c r="AO147" s="327"/>
      <c r="AP147" s="327"/>
      <c r="AQ147" s="327"/>
      <c r="AR147" s="327"/>
      <c r="AS147" s="327"/>
      <c r="AT147" s="327"/>
      <c r="AU147" s="327"/>
      <c r="AV147" s="327"/>
      <c r="AW147" s="327"/>
      <c r="AX147" s="327"/>
      <c r="AY147" s="327"/>
      <c r="AZ147" s="327"/>
    </row>
    <row r="148" spans="11:52">
      <c r="L148" s="325">
        <f t="shared" si="8"/>
        <v>145</v>
      </c>
      <c r="M148" s="328">
        <f t="shared" si="6"/>
        <v>0.33958333333333374</v>
      </c>
      <c r="N148" s="329">
        <f t="shared" si="7"/>
        <v>0.11538461538461098</v>
      </c>
      <c r="O148" s="327"/>
      <c r="P148" s="327"/>
      <c r="Q148" s="327"/>
      <c r="R148" s="327"/>
      <c r="S148" s="327"/>
      <c r="U148" s="328"/>
      <c r="W148" s="327"/>
      <c r="X148" s="327"/>
      <c r="Y148" s="327"/>
      <c r="Z148" s="327"/>
      <c r="AA148" s="327"/>
      <c r="AB148" s="327"/>
      <c r="AC148" s="327"/>
      <c r="AD148" s="327"/>
      <c r="AE148" s="327"/>
      <c r="AF148" s="327"/>
      <c r="AG148" s="327"/>
      <c r="AH148" s="327"/>
      <c r="AI148" s="327"/>
      <c r="AJ148" s="327"/>
      <c r="AK148" s="327"/>
      <c r="AL148" s="327"/>
      <c r="AM148" s="327"/>
      <c r="AN148" s="327"/>
      <c r="AO148" s="327"/>
      <c r="AP148" s="327"/>
      <c r="AQ148" s="327"/>
      <c r="AR148" s="327"/>
      <c r="AS148" s="327"/>
      <c r="AT148" s="327"/>
      <c r="AU148" s="327"/>
      <c r="AV148" s="327"/>
      <c r="AW148" s="327"/>
      <c r="AX148" s="327"/>
      <c r="AY148" s="327"/>
      <c r="AZ148" s="327"/>
    </row>
    <row r="149" spans="11:52">
      <c r="L149" s="325">
        <f t="shared" si="8"/>
        <v>146</v>
      </c>
      <c r="M149" s="328">
        <f t="shared" si="6"/>
        <v>0.34250000000000042</v>
      </c>
      <c r="N149" s="329">
        <f t="shared" si="7"/>
        <v>9.2307692307687761E-2</v>
      </c>
      <c r="O149" s="327"/>
      <c r="P149" s="327"/>
      <c r="Q149" s="327"/>
      <c r="R149" s="327"/>
      <c r="S149" s="327"/>
      <c r="U149" s="328"/>
      <c r="W149" s="327"/>
      <c r="X149" s="327"/>
      <c r="Y149" s="327"/>
      <c r="Z149" s="327"/>
      <c r="AA149" s="327"/>
      <c r="AB149" s="327"/>
      <c r="AC149" s="327"/>
      <c r="AD149" s="327"/>
      <c r="AE149" s="327"/>
      <c r="AF149" s="327"/>
      <c r="AG149" s="327"/>
      <c r="AH149" s="327"/>
      <c r="AI149" s="327"/>
      <c r="AJ149" s="327"/>
      <c r="AK149" s="327"/>
      <c r="AL149" s="327"/>
      <c r="AM149" s="327"/>
      <c r="AN149" s="327"/>
      <c r="AO149" s="327"/>
      <c r="AP149" s="327"/>
      <c r="AQ149" s="327"/>
      <c r="AR149" s="327"/>
      <c r="AS149" s="327"/>
      <c r="AT149" s="327"/>
      <c r="AU149" s="327"/>
      <c r="AV149" s="327"/>
      <c r="AW149" s="327"/>
      <c r="AX149" s="327"/>
      <c r="AY149" s="327"/>
      <c r="AZ149" s="327"/>
    </row>
    <row r="150" spans="11:52">
      <c r="L150" s="325">
        <f t="shared" si="8"/>
        <v>147</v>
      </c>
      <c r="M150" s="328">
        <f t="shared" si="6"/>
        <v>0.34541666666666709</v>
      </c>
      <c r="N150" s="329">
        <f t="shared" si="7"/>
        <v>6.9230769230764766E-2</v>
      </c>
      <c r="O150" s="327"/>
      <c r="P150" s="327"/>
      <c r="Q150" s="327"/>
      <c r="R150" s="327"/>
      <c r="S150" s="327"/>
      <c r="U150" s="328"/>
      <c r="W150" s="327"/>
      <c r="X150" s="327"/>
      <c r="Y150" s="327"/>
      <c r="Z150" s="327"/>
      <c r="AA150" s="327"/>
      <c r="AB150" s="327"/>
      <c r="AC150" s="327"/>
      <c r="AD150" s="327"/>
      <c r="AE150" s="327"/>
      <c r="AF150" s="327"/>
      <c r="AG150" s="327"/>
      <c r="AH150" s="327"/>
      <c r="AI150" s="327"/>
      <c r="AJ150" s="327"/>
      <c r="AK150" s="327"/>
      <c r="AL150" s="327"/>
      <c r="AM150" s="327"/>
      <c r="AN150" s="327"/>
      <c r="AO150" s="327"/>
      <c r="AP150" s="327"/>
      <c r="AQ150" s="327"/>
      <c r="AR150" s="327"/>
      <c r="AS150" s="327"/>
      <c r="AT150" s="327"/>
      <c r="AU150" s="327"/>
      <c r="AV150" s="327"/>
      <c r="AW150" s="327"/>
      <c r="AX150" s="327"/>
      <c r="AY150" s="327"/>
      <c r="AZ150" s="327"/>
    </row>
    <row r="151" spans="11:52">
      <c r="L151" s="325">
        <f t="shared" si="8"/>
        <v>148</v>
      </c>
      <c r="M151" s="328">
        <f t="shared" si="6"/>
        <v>0.34833333333333377</v>
      </c>
      <c r="N151" s="329">
        <f t="shared" si="7"/>
        <v>4.6153846153841549E-2</v>
      </c>
      <c r="O151" s="327"/>
      <c r="P151" s="327"/>
      <c r="Q151" s="327"/>
      <c r="R151" s="327"/>
      <c r="S151" s="327"/>
      <c r="U151" s="328"/>
      <c r="W151" s="327"/>
      <c r="X151" s="327"/>
      <c r="Y151" s="327"/>
      <c r="Z151" s="327"/>
      <c r="AA151" s="327"/>
      <c r="AB151" s="327"/>
      <c r="AC151" s="327"/>
      <c r="AD151" s="327"/>
      <c r="AE151" s="327"/>
      <c r="AF151" s="327"/>
      <c r="AG151" s="327"/>
      <c r="AH151" s="327"/>
      <c r="AI151" s="327"/>
      <c r="AJ151" s="327"/>
      <c r="AK151" s="327"/>
      <c r="AL151" s="327"/>
      <c r="AM151" s="327"/>
      <c r="AN151" s="327"/>
      <c r="AO151" s="327"/>
      <c r="AP151" s="327"/>
      <c r="AQ151" s="327"/>
      <c r="AR151" s="327"/>
      <c r="AS151" s="327"/>
      <c r="AT151" s="327"/>
      <c r="AU151" s="327"/>
      <c r="AV151" s="327"/>
      <c r="AW151" s="327"/>
      <c r="AX151" s="327"/>
      <c r="AY151" s="327"/>
      <c r="AZ151" s="327"/>
    </row>
    <row r="152" spans="11:52">
      <c r="L152" s="325">
        <f t="shared" si="8"/>
        <v>149</v>
      </c>
      <c r="M152" s="328">
        <f t="shared" si="6"/>
        <v>0.35125000000000045</v>
      </c>
      <c r="N152" s="329">
        <f t="shared" si="7"/>
        <v>2.3076923076918332E-2</v>
      </c>
      <c r="O152" s="327"/>
      <c r="P152" s="327"/>
      <c r="Q152" s="327"/>
      <c r="R152" s="327"/>
      <c r="S152" s="327"/>
      <c r="U152" s="328"/>
      <c r="W152" s="327"/>
      <c r="X152" s="327"/>
      <c r="Y152" s="327"/>
      <c r="Z152" s="327"/>
      <c r="AA152" s="327"/>
      <c r="AB152" s="327"/>
      <c r="AC152" s="327"/>
      <c r="AD152" s="327"/>
      <c r="AE152" s="327"/>
      <c r="AF152" s="327"/>
      <c r="AG152" s="327"/>
      <c r="AH152" s="327"/>
      <c r="AI152" s="327"/>
      <c r="AJ152" s="327"/>
      <c r="AK152" s="327"/>
      <c r="AL152" s="327"/>
      <c r="AM152" s="327"/>
      <c r="AN152" s="327"/>
      <c r="AO152" s="327"/>
      <c r="AP152" s="327"/>
      <c r="AQ152" s="327"/>
      <c r="AR152" s="327"/>
      <c r="AS152" s="327"/>
      <c r="AT152" s="327"/>
      <c r="AU152" s="327"/>
      <c r="AV152" s="327"/>
      <c r="AW152" s="327"/>
      <c r="AX152" s="327"/>
      <c r="AY152" s="327"/>
      <c r="AZ152" s="327"/>
    </row>
    <row r="153" spans="11:52">
      <c r="L153" s="325">
        <f t="shared" si="8"/>
        <v>150</v>
      </c>
      <c r="M153" s="328">
        <f t="shared" si="6"/>
        <v>0.35416666666666713</v>
      </c>
      <c r="N153" s="329">
        <f t="shared" si="7"/>
        <v>-4.8849813083506888E-15</v>
      </c>
      <c r="O153" s="327"/>
      <c r="P153" s="327"/>
      <c r="Q153" s="327"/>
      <c r="R153" s="327"/>
      <c r="S153" s="327"/>
      <c r="U153" s="328"/>
      <c r="W153" s="327"/>
      <c r="X153" s="327"/>
      <c r="Y153" s="327"/>
      <c r="Z153" s="327"/>
      <c r="AA153" s="327"/>
      <c r="AB153" s="327"/>
      <c r="AC153" s="327"/>
      <c r="AD153" s="327"/>
      <c r="AE153" s="327"/>
      <c r="AF153" s="327"/>
      <c r="AG153" s="327"/>
      <c r="AH153" s="327"/>
      <c r="AI153" s="327"/>
      <c r="AJ153" s="327"/>
      <c r="AK153" s="327"/>
      <c r="AL153" s="327"/>
      <c r="AM153" s="327"/>
      <c r="AN153" s="327"/>
      <c r="AO153" s="327"/>
      <c r="AP153" s="327"/>
      <c r="AQ153" s="327"/>
      <c r="AR153" s="327"/>
      <c r="AS153" s="327"/>
      <c r="AT153" s="327"/>
      <c r="AU153" s="327"/>
      <c r="AV153" s="327"/>
      <c r="AW153" s="327"/>
      <c r="AX153" s="327"/>
      <c r="AY153" s="327"/>
      <c r="AZ153" s="327"/>
    </row>
    <row r="154" spans="11:52">
      <c r="K154" s="325">
        <f>IF($B$25="Buck",$B$34/2/$B$36*M154-$B$34/2/$B$36*(1/($B$29*10^3)*(1-$B$33)*10^6+$B$36)-$B$34/2,-$B$34/2/$B$36*M154+$B$34/2/$B$36*(1/($B$29*10^3)*(1-$B$33)*10^6+$B$36)+$B$34/2)</f>
        <v>-1.5830769230769171</v>
      </c>
      <c r="L154" s="325">
        <f t="shared" si="8"/>
        <v>151</v>
      </c>
      <c r="M154" s="328">
        <f t="shared" si="6"/>
        <v>0.35708333333333381</v>
      </c>
      <c r="N154" s="329">
        <f t="shared" si="7"/>
        <v>-2.3076923076928102E-2</v>
      </c>
      <c r="O154" s="327"/>
      <c r="P154" s="327"/>
      <c r="Q154" s="327"/>
      <c r="R154" s="327"/>
      <c r="S154" s="327"/>
      <c r="U154" s="328"/>
      <c r="W154" s="327"/>
      <c r="X154" s="327"/>
      <c r="Y154" s="327"/>
      <c r="Z154" s="327"/>
      <c r="AA154" s="327"/>
      <c r="AB154" s="327"/>
      <c r="AC154" s="327"/>
      <c r="AD154" s="327"/>
      <c r="AE154" s="327"/>
      <c r="AF154" s="327"/>
      <c r="AG154" s="327"/>
      <c r="AH154" s="327"/>
      <c r="AI154" s="327"/>
      <c r="AJ154" s="327"/>
      <c r="AK154" s="327"/>
      <c r="AL154" s="327"/>
      <c r="AM154" s="327"/>
      <c r="AN154" s="327"/>
      <c r="AO154" s="327"/>
      <c r="AP154" s="327"/>
      <c r="AQ154" s="327"/>
      <c r="AR154" s="327"/>
      <c r="AS154" s="327"/>
      <c r="AT154" s="327"/>
      <c r="AU154" s="327"/>
      <c r="AV154" s="327"/>
      <c r="AW154" s="327"/>
      <c r="AX154" s="327"/>
      <c r="AY154" s="327"/>
      <c r="AZ154" s="327"/>
    </row>
    <row r="155" spans="11:52">
      <c r="L155" s="325">
        <f t="shared" si="8"/>
        <v>152</v>
      </c>
      <c r="M155" s="328">
        <f t="shared" si="6"/>
        <v>0.36000000000000049</v>
      </c>
      <c r="N155" s="329">
        <f t="shared" si="7"/>
        <v>-4.6153846153851319E-2</v>
      </c>
      <c r="O155" s="327"/>
      <c r="P155" s="327"/>
      <c r="Q155" s="327"/>
      <c r="R155" s="327"/>
      <c r="S155" s="327"/>
      <c r="U155" s="328"/>
      <c r="W155" s="327"/>
      <c r="X155" s="327"/>
      <c r="Y155" s="327"/>
      <c r="Z155" s="327"/>
      <c r="AA155" s="327"/>
      <c r="AB155" s="327"/>
      <c r="AC155" s="327"/>
      <c r="AD155" s="327"/>
      <c r="AE155" s="327"/>
      <c r="AF155" s="327"/>
      <c r="AG155" s="327"/>
      <c r="AH155" s="327"/>
      <c r="AI155" s="327"/>
      <c r="AJ155" s="327"/>
      <c r="AK155" s="327"/>
      <c r="AL155" s="327"/>
      <c r="AM155" s="327"/>
      <c r="AN155" s="327"/>
      <c r="AO155" s="327"/>
      <c r="AP155" s="327"/>
      <c r="AQ155" s="327"/>
      <c r="AR155" s="327"/>
      <c r="AS155" s="327"/>
      <c r="AT155" s="327"/>
      <c r="AU155" s="327"/>
      <c r="AV155" s="327"/>
      <c r="AW155" s="327"/>
      <c r="AX155" s="327"/>
      <c r="AY155" s="327"/>
      <c r="AZ155" s="327"/>
    </row>
    <row r="156" spans="11:52">
      <c r="L156" s="325">
        <f t="shared" si="8"/>
        <v>153</v>
      </c>
      <c r="M156" s="328">
        <f t="shared" si="6"/>
        <v>0.36291666666666716</v>
      </c>
      <c r="N156" s="329">
        <f t="shared" si="7"/>
        <v>-6.9230769230774314E-2</v>
      </c>
      <c r="O156" s="327"/>
      <c r="P156" s="327"/>
      <c r="Q156" s="327"/>
      <c r="R156" s="327"/>
      <c r="S156" s="327"/>
      <c r="U156" s="328"/>
      <c r="W156" s="327"/>
      <c r="X156" s="327"/>
      <c r="Y156" s="327"/>
      <c r="Z156" s="327"/>
      <c r="AA156" s="327"/>
      <c r="AB156" s="327"/>
      <c r="AC156" s="327"/>
      <c r="AD156" s="327"/>
      <c r="AE156" s="327"/>
      <c r="AF156" s="327"/>
      <c r="AG156" s="327"/>
      <c r="AH156" s="327"/>
      <c r="AI156" s="327"/>
      <c r="AJ156" s="327"/>
      <c r="AK156" s="327"/>
      <c r="AL156" s="327"/>
      <c r="AM156" s="327"/>
      <c r="AN156" s="327"/>
      <c r="AO156" s="327"/>
      <c r="AP156" s="327"/>
      <c r="AQ156" s="327"/>
      <c r="AR156" s="327"/>
      <c r="AS156" s="327"/>
      <c r="AT156" s="327"/>
      <c r="AU156" s="327"/>
      <c r="AV156" s="327"/>
      <c r="AW156" s="327"/>
      <c r="AX156" s="327"/>
      <c r="AY156" s="327"/>
      <c r="AZ156" s="327"/>
    </row>
    <row r="157" spans="11:52">
      <c r="L157" s="325">
        <f t="shared" si="8"/>
        <v>154</v>
      </c>
      <c r="M157" s="328">
        <f t="shared" si="6"/>
        <v>0.36583333333333384</v>
      </c>
      <c r="N157" s="329">
        <f t="shared" si="7"/>
        <v>-9.2307692307697531E-2</v>
      </c>
      <c r="O157" s="327"/>
      <c r="P157" s="327"/>
      <c r="Q157" s="327"/>
      <c r="R157" s="327"/>
      <c r="S157" s="327"/>
      <c r="U157" s="328"/>
      <c r="W157" s="327"/>
      <c r="X157" s="327"/>
      <c r="Y157" s="327"/>
      <c r="Z157" s="327"/>
      <c r="AA157" s="327"/>
      <c r="AB157" s="327"/>
      <c r="AC157" s="327"/>
      <c r="AD157" s="327"/>
      <c r="AE157" s="327"/>
      <c r="AF157" s="327"/>
      <c r="AG157" s="327"/>
      <c r="AH157" s="327"/>
      <c r="AI157" s="327"/>
      <c r="AJ157" s="327"/>
      <c r="AK157" s="327"/>
      <c r="AL157" s="327"/>
      <c r="AM157" s="327"/>
      <c r="AN157" s="327"/>
      <c r="AO157" s="327"/>
      <c r="AP157" s="327"/>
      <c r="AQ157" s="327"/>
      <c r="AR157" s="327"/>
      <c r="AS157" s="327"/>
      <c r="AT157" s="327"/>
      <c r="AU157" s="327"/>
      <c r="AV157" s="327"/>
      <c r="AW157" s="327"/>
      <c r="AX157" s="327"/>
      <c r="AY157" s="327"/>
      <c r="AZ157" s="327"/>
    </row>
    <row r="158" spans="11:52">
      <c r="L158" s="325">
        <f t="shared" si="8"/>
        <v>155</v>
      </c>
      <c r="M158" s="328">
        <f t="shared" si="6"/>
        <v>0.36875000000000052</v>
      </c>
      <c r="N158" s="329">
        <f t="shared" si="7"/>
        <v>-0.11538461538462075</v>
      </c>
      <c r="O158" s="327"/>
      <c r="P158" s="327"/>
      <c r="Q158" s="327"/>
      <c r="R158" s="327"/>
      <c r="S158" s="327"/>
      <c r="U158" s="328"/>
      <c r="W158" s="327"/>
      <c r="X158" s="327"/>
      <c r="Y158" s="327"/>
      <c r="Z158" s="327"/>
      <c r="AA158" s="327"/>
      <c r="AB158" s="327"/>
      <c r="AC158" s="327"/>
      <c r="AD158" s="327"/>
      <c r="AE158" s="327"/>
      <c r="AF158" s="327"/>
      <c r="AG158" s="327"/>
      <c r="AH158" s="327"/>
      <c r="AI158" s="327"/>
      <c r="AJ158" s="327"/>
      <c r="AK158" s="327"/>
      <c r="AL158" s="327"/>
      <c r="AM158" s="327"/>
      <c r="AN158" s="327"/>
      <c r="AO158" s="327"/>
      <c r="AP158" s="327"/>
      <c r="AQ158" s="327"/>
      <c r="AR158" s="327"/>
      <c r="AS158" s="327"/>
      <c r="AT158" s="327"/>
      <c r="AU158" s="327"/>
      <c r="AV158" s="327"/>
      <c r="AW158" s="327"/>
      <c r="AX158" s="327"/>
      <c r="AY158" s="327"/>
      <c r="AZ158" s="327"/>
    </row>
    <row r="159" spans="11:52">
      <c r="L159" s="325">
        <f t="shared" si="8"/>
        <v>156</v>
      </c>
      <c r="M159" s="328">
        <f t="shared" si="6"/>
        <v>0.3716666666666672</v>
      </c>
      <c r="N159" s="329">
        <f t="shared" si="7"/>
        <v>-0.13846153846154396</v>
      </c>
      <c r="O159" s="327"/>
      <c r="P159" s="327"/>
      <c r="Q159" s="327"/>
      <c r="R159" s="327"/>
      <c r="S159" s="327"/>
      <c r="U159" s="328"/>
      <c r="W159" s="327"/>
      <c r="X159" s="327"/>
      <c r="Y159" s="327"/>
      <c r="Z159" s="327"/>
      <c r="AA159" s="327"/>
      <c r="AB159" s="327"/>
      <c r="AC159" s="327"/>
      <c r="AD159" s="327"/>
      <c r="AE159" s="327"/>
      <c r="AF159" s="327"/>
      <c r="AG159" s="327"/>
      <c r="AH159" s="327"/>
      <c r="AI159" s="327"/>
      <c r="AJ159" s="327"/>
      <c r="AK159" s="327"/>
      <c r="AL159" s="327"/>
      <c r="AM159" s="327"/>
      <c r="AN159" s="327"/>
      <c r="AO159" s="327"/>
      <c r="AP159" s="327"/>
      <c r="AQ159" s="327"/>
      <c r="AR159" s="327"/>
      <c r="AS159" s="327"/>
      <c r="AT159" s="327"/>
      <c r="AU159" s="327"/>
      <c r="AV159" s="327"/>
      <c r="AW159" s="327"/>
      <c r="AX159" s="327"/>
      <c r="AY159" s="327"/>
      <c r="AZ159" s="327"/>
    </row>
    <row r="160" spans="11:52">
      <c r="L160" s="325">
        <f t="shared" si="8"/>
        <v>157</v>
      </c>
      <c r="M160" s="328">
        <f t="shared" si="6"/>
        <v>0.37458333333333388</v>
      </c>
      <c r="N160" s="329">
        <f t="shared" si="7"/>
        <v>-0.16153846153846718</v>
      </c>
      <c r="O160" s="327"/>
      <c r="P160" s="327"/>
      <c r="Q160" s="327"/>
      <c r="R160" s="327"/>
      <c r="S160" s="327"/>
      <c r="U160" s="328"/>
      <c r="W160" s="327"/>
      <c r="X160" s="327"/>
      <c r="Y160" s="327"/>
      <c r="Z160" s="327"/>
      <c r="AA160" s="327"/>
      <c r="AB160" s="327"/>
      <c r="AC160" s="327"/>
      <c r="AD160" s="327"/>
      <c r="AE160" s="327"/>
      <c r="AF160" s="327"/>
      <c r="AG160" s="327"/>
      <c r="AH160" s="327"/>
      <c r="AI160" s="327"/>
      <c r="AJ160" s="327"/>
      <c r="AK160" s="327"/>
      <c r="AL160" s="327"/>
      <c r="AM160" s="327"/>
      <c r="AN160" s="327"/>
      <c r="AO160" s="327"/>
      <c r="AP160" s="327"/>
      <c r="AQ160" s="327"/>
      <c r="AR160" s="327"/>
      <c r="AS160" s="327"/>
      <c r="AT160" s="327"/>
      <c r="AU160" s="327"/>
      <c r="AV160" s="327"/>
      <c r="AW160" s="327"/>
      <c r="AX160" s="327"/>
      <c r="AY160" s="327"/>
      <c r="AZ160" s="327"/>
    </row>
    <row r="161" spans="12:52">
      <c r="L161" s="325">
        <f t="shared" si="8"/>
        <v>158</v>
      </c>
      <c r="M161" s="328">
        <f t="shared" si="6"/>
        <v>0.37750000000000056</v>
      </c>
      <c r="N161" s="329">
        <f t="shared" si="7"/>
        <v>-0.18461538461539018</v>
      </c>
      <c r="O161" s="327"/>
      <c r="P161" s="327"/>
      <c r="Q161" s="327"/>
      <c r="R161" s="327"/>
      <c r="S161" s="327"/>
      <c r="U161" s="328"/>
      <c r="W161" s="327"/>
      <c r="X161" s="327"/>
      <c r="Y161" s="327"/>
      <c r="Z161" s="327"/>
      <c r="AA161" s="327"/>
      <c r="AB161" s="327"/>
      <c r="AC161" s="327"/>
      <c r="AD161" s="327"/>
      <c r="AE161" s="327"/>
      <c r="AF161" s="327"/>
      <c r="AG161" s="327"/>
      <c r="AH161" s="327"/>
      <c r="AI161" s="327"/>
      <c r="AJ161" s="327"/>
      <c r="AK161" s="327"/>
      <c r="AL161" s="327"/>
      <c r="AM161" s="327"/>
      <c r="AN161" s="327"/>
      <c r="AO161" s="327"/>
      <c r="AP161" s="327"/>
      <c r="AQ161" s="327"/>
      <c r="AR161" s="327"/>
      <c r="AS161" s="327"/>
      <c r="AT161" s="327"/>
      <c r="AU161" s="327"/>
      <c r="AV161" s="327"/>
      <c r="AW161" s="327"/>
      <c r="AX161" s="327"/>
      <c r="AY161" s="327"/>
      <c r="AZ161" s="327"/>
    </row>
    <row r="162" spans="12:52">
      <c r="L162" s="325">
        <f t="shared" si="8"/>
        <v>159</v>
      </c>
      <c r="M162" s="328">
        <f t="shared" si="6"/>
        <v>0.38041666666666724</v>
      </c>
      <c r="N162" s="329">
        <f t="shared" si="7"/>
        <v>-0.20769230769231339</v>
      </c>
      <c r="O162" s="327"/>
      <c r="P162" s="327"/>
      <c r="Q162" s="327"/>
      <c r="R162" s="327"/>
      <c r="S162" s="327"/>
      <c r="U162" s="328"/>
      <c r="W162" s="327"/>
      <c r="X162" s="327"/>
      <c r="Y162" s="327"/>
      <c r="Z162" s="327"/>
      <c r="AA162" s="327"/>
      <c r="AB162" s="327"/>
      <c r="AC162" s="327"/>
      <c r="AD162" s="327"/>
      <c r="AE162" s="327"/>
      <c r="AF162" s="327"/>
      <c r="AG162" s="327"/>
      <c r="AH162" s="327"/>
      <c r="AI162" s="327"/>
      <c r="AJ162" s="327"/>
      <c r="AK162" s="327"/>
      <c r="AL162" s="327"/>
      <c r="AM162" s="327"/>
      <c r="AN162" s="327"/>
      <c r="AO162" s="327"/>
      <c r="AP162" s="327"/>
      <c r="AQ162" s="327"/>
      <c r="AR162" s="327"/>
      <c r="AS162" s="327"/>
      <c r="AT162" s="327"/>
      <c r="AU162" s="327"/>
      <c r="AV162" s="327"/>
      <c r="AW162" s="327"/>
      <c r="AX162" s="327"/>
      <c r="AY162" s="327"/>
      <c r="AZ162" s="327"/>
    </row>
    <row r="163" spans="12:52">
      <c r="L163" s="325">
        <f t="shared" si="8"/>
        <v>160</v>
      </c>
      <c r="M163" s="328">
        <f t="shared" si="6"/>
        <v>0.38333333333333391</v>
      </c>
      <c r="N163" s="329">
        <f t="shared" si="7"/>
        <v>-0.23076923076923661</v>
      </c>
      <c r="O163" s="327"/>
      <c r="P163" s="327"/>
      <c r="Q163" s="327"/>
      <c r="R163" s="327"/>
      <c r="S163" s="327"/>
      <c r="U163" s="328"/>
      <c r="W163" s="327"/>
      <c r="X163" s="327"/>
      <c r="Y163" s="327"/>
      <c r="Z163" s="327"/>
      <c r="AA163" s="327"/>
      <c r="AB163" s="327"/>
      <c r="AC163" s="327"/>
      <c r="AD163" s="327"/>
      <c r="AE163" s="327"/>
      <c r="AF163" s="327"/>
      <c r="AG163" s="327"/>
      <c r="AH163" s="327"/>
      <c r="AI163" s="327"/>
      <c r="AJ163" s="327"/>
      <c r="AK163" s="327"/>
      <c r="AL163" s="327"/>
      <c r="AM163" s="327"/>
      <c r="AN163" s="327"/>
      <c r="AO163" s="327"/>
      <c r="AP163" s="327"/>
      <c r="AQ163" s="327"/>
      <c r="AR163" s="327"/>
      <c r="AS163" s="327"/>
      <c r="AT163" s="327"/>
      <c r="AU163" s="327"/>
      <c r="AV163" s="327"/>
      <c r="AW163" s="327"/>
      <c r="AX163" s="327"/>
      <c r="AY163" s="327"/>
      <c r="AZ163" s="327"/>
    </row>
    <row r="164" spans="12:52">
      <c r="L164" s="325">
        <f t="shared" si="8"/>
        <v>161</v>
      </c>
      <c r="M164" s="328">
        <f t="shared" si="6"/>
        <v>0.38625000000000059</v>
      </c>
      <c r="N164" s="329">
        <f t="shared" si="7"/>
        <v>-0.25384615384615983</v>
      </c>
      <c r="O164" s="327"/>
      <c r="P164" s="327"/>
      <c r="Q164" s="327"/>
      <c r="R164" s="327"/>
      <c r="S164" s="327"/>
      <c r="U164" s="328"/>
      <c r="W164" s="327"/>
      <c r="X164" s="327"/>
      <c r="Y164" s="327"/>
      <c r="Z164" s="327"/>
      <c r="AA164" s="327"/>
      <c r="AB164" s="327"/>
      <c r="AC164" s="327"/>
      <c r="AD164" s="327"/>
      <c r="AE164" s="327"/>
      <c r="AF164" s="327"/>
      <c r="AG164" s="327"/>
      <c r="AH164" s="327"/>
      <c r="AI164" s="327"/>
      <c r="AJ164" s="327"/>
      <c r="AK164" s="327"/>
      <c r="AL164" s="327"/>
      <c r="AM164" s="327"/>
      <c r="AN164" s="327"/>
      <c r="AO164" s="327"/>
      <c r="AP164" s="327"/>
      <c r="AQ164" s="327"/>
      <c r="AR164" s="327"/>
      <c r="AS164" s="327"/>
      <c r="AT164" s="327"/>
      <c r="AU164" s="327"/>
      <c r="AV164" s="327"/>
      <c r="AW164" s="327"/>
      <c r="AX164" s="327"/>
      <c r="AY164" s="327"/>
      <c r="AZ164" s="327"/>
    </row>
    <row r="165" spans="12:52">
      <c r="L165" s="325">
        <f t="shared" si="8"/>
        <v>162</v>
      </c>
      <c r="M165" s="328">
        <f t="shared" si="6"/>
        <v>0.38916666666666727</v>
      </c>
      <c r="N165" s="329">
        <f t="shared" si="7"/>
        <v>-0.27692307692308304</v>
      </c>
      <c r="O165" s="327"/>
      <c r="P165" s="327"/>
      <c r="Q165" s="327"/>
      <c r="R165" s="327"/>
      <c r="S165" s="327"/>
      <c r="U165" s="328"/>
      <c r="W165" s="327"/>
      <c r="X165" s="327"/>
      <c r="Y165" s="327"/>
      <c r="Z165" s="327"/>
      <c r="AA165" s="327"/>
      <c r="AB165" s="327"/>
      <c r="AC165" s="327"/>
      <c r="AD165" s="327"/>
      <c r="AE165" s="327"/>
      <c r="AF165" s="327"/>
      <c r="AG165" s="327"/>
      <c r="AH165" s="327"/>
      <c r="AI165" s="327"/>
      <c r="AJ165" s="327"/>
      <c r="AK165" s="327"/>
      <c r="AL165" s="327"/>
      <c r="AM165" s="327"/>
      <c r="AN165" s="327"/>
      <c r="AO165" s="327"/>
      <c r="AP165" s="327"/>
      <c r="AQ165" s="327"/>
      <c r="AR165" s="327"/>
      <c r="AS165" s="327"/>
      <c r="AT165" s="327"/>
      <c r="AU165" s="327"/>
      <c r="AV165" s="327"/>
      <c r="AW165" s="327"/>
      <c r="AX165" s="327"/>
      <c r="AY165" s="327"/>
      <c r="AZ165" s="327"/>
    </row>
    <row r="166" spans="12:52">
      <c r="L166" s="325">
        <f t="shared" si="8"/>
        <v>163</v>
      </c>
      <c r="M166" s="328">
        <f t="shared" si="6"/>
        <v>0.39208333333333395</v>
      </c>
      <c r="N166" s="329">
        <f t="shared" si="7"/>
        <v>-0.30000000000000626</v>
      </c>
      <c r="O166" s="327"/>
      <c r="P166" s="327"/>
      <c r="Q166" s="327"/>
      <c r="R166" s="327"/>
      <c r="S166" s="327"/>
      <c r="U166" s="328"/>
      <c r="W166" s="327"/>
      <c r="X166" s="327"/>
      <c r="Y166" s="327"/>
      <c r="Z166" s="327"/>
      <c r="AA166" s="327"/>
      <c r="AB166" s="327"/>
      <c r="AC166" s="327"/>
      <c r="AD166" s="327"/>
      <c r="AE166" s="327"/>
      <c r="AF166" s="327"/>
      <c r="AG166" s="327"/>
      <c r="AH166" s="327"/>
      <c r="AI166" s="327"/>
      <c r="AJ166" s="327"/>
      <c r="AK166" s="327"/>
      <c r="AL166" s="327"/>
      <c r="AM166" s="327"/>
      <c r="AN166" s="327"/>
      <c r="AO166" s="327"/>
      <c r="AP166" s="327"/>
      <c r="AQ166" s="327"/>
      <c r="AR166" s="327"/>
      <c r="AS166" s="327"/>
      <c r="AT166" s="327"/>
      <c r="AU166" s="327"/>
      <c r="AV166" s="327"/>
      <c r="AW166" s="327"/>
      <c r="AX166" s="327"/>
      <c r="AY166" s="327"/>
      <c r="AZ166" s="327"/>
    </row>
    <row r="167" spans="12:52">
      <c r="L167" s="325">
        <f t="shared" si="8"/>
        <v>164</v>
      </c>
      <c r="M167" s="328">
        <f t="shared" si="6"/>
        <v>0.39500000000000063</v>
      </c>
      <c r="N167" s="329">
        <f t="shared" si="7"/>
        <v>-0.32307692307692926</v>
      </c>
      <c r="O167" s="327"/>
      <c r="P167" s="327"/>
      <c r="Q167" s="327"/>
      <c r="R167" s="327"/>
      <c r="S167" s="327"/>
      <c r="U167" s="328"/>
      <c r="W167" s="327"/>
      <c r="X167" s="327"/>
      <c r="Y167" s="327"/>
      <c r="Z167" s="327"/>
      <c r="AA167" s="327"/>
      <c r="AB167" s="327"/>
      <c r="AC167" s="327"/>
      <c r="AD167" s="327"/>
      <c r="AE167" s="327"/>
      <c r="AF167" s="327"/>
      <c r="AG167" s="327"/>
      <c r="AH167" s="327"/>
      <c r="AI167" s="327"/>
      <c r="AJ167" s="327"/>
      <c r="AK167" s="327"/>
      <c r="AL167" s="327"/>
      <c r="AM167" s="327"/>
      <c r="AN167" s="327"/>
      <c r="AO167" s="327"/>
      <c r="AP167" s="327"/>
      <c r="AQ167" s="327"/>
      <c r="AR167" s="327"/>
      <c r="AS167" s="327"/>
      <c r="AT167" s="327"/>
      <c r="AU167" s="327"/>
      <c r="AV167" s="327"/>
      <c r="AW167" s="327"/>
      <c r="AX167" s="327"/>
      <c r="AY167" s="327"/>
      <c r="AZ167" s="327"/>
    </row>
    <row r="168" spans="12:52">
      <c r="L168" s="325">
        <f t="shared" si="8"/>
        <v>165</v>
      </c>
      <c r="M168" s="328">
        <f t="shared" si="6"/>
        <v>0.39791666666666731</v>
      </c>
      <c r="N168" s="329">
        <f t="shared" si="7"/>
        <v>-0.34615384615385247</v>
      </c>
      <c r="O168" s="327"/>
      <c r="P168" s="327"/>
      <c r="Q168" s="327"/>
      <c r="R168" s="327"/>
      <c r="S168" s="327"/>
      <c r="U168" s="328"/>
      <c r="W168" s="327"/>
      <c r="X168" s="327"/>
      <c r="Y168" s="327"/>
      <c r="Z168" s="327"/>
      <c r="AA168" s="327"/>
      <c r="AB168" s="327"/>
      <c r="AC168" s="327"/>
      <c r="AD168" s="327"/>
      <c r="AE168" s="327"/>
      <c r="AF168" s="327"/>
      <c r="AG168" s="327"/>
      <c r="AH168" s="327"/>
      <c r="AI168" s="327"/>
      <c r="AJ168" s="327"/>
      <c r="AK168" s="327"/>
      <c r="AL168" s="327"/>
      <c r="AM168" s="327"/>
      <c r="AN168" s="327"/>
      <c r="AO168" s="327"/>
      <c r="AP168" s="327"/>
      <c r="AQ168" s="327"/>
      <c r="AR168" s="327"/>
      <c r="AS168" s="327"/>
      <c r="AT168" s="327"/>
      <c r="AU168" s="327"/>
      <c r="AV168" s="327"/>
      <c r="AW168" s="327"/>
      <c r="AX168" s="327"/>
      <c r="AY168" s="327"/>
      <c r="AZ168" s="327"/>
    </row>
    <row r="169" spans="12:52">
      <c r="L169" s="325">
        <f t="shared" si="8"/>
        <v>166</v>
      </c>
      <c r="M169" s="328">
        <f t="shared" ref="M169:M203" si="9">(1-$B$33)/($B$29*10^3)*10^6/100+M168</f>
        <v>0.40083333333333399</v>
      </c>
      <c r="N169" s="329">
        <f t="shared" ref="N169:N203" si="10">IF($B$25="Buck",-$B$34/((1-$B$33)/($B$29*10^3)*10^6)*(M169-$M$103)+$B$34/2,$B$34/((1-$B$33)/($B$29*10^3)*10^6)*(M169-$M$103)-$B$34/2)</f>
        <v>-0.36923076923077569</v>
      </c>
      <c r="O169" s="327"/>
      <c r="P169" s="327"/>
      <c r="Q169" s="327"/>
      <c r="R169" s="327"/>
      <c r="S169" s="327"/>
      <c r="U169" s="328"/>
      <c r="W169" s="327"/>
      <c r="X169" s="327"/>
      <c r="Y169" s="327"/>
      <c r="Z169" s="327"/>
      <c r="AA169" s="327"/>
      <c r="AB169" s="327"/>
      <c r="AC169" s="327"/>
      <c r="AD169" s="327"/>
      <c r="AE169" s="327"/>
      <c r="AF169" s="327"/>
      <c r="AG169" s="327"/>
      <c r="AH169" s="327"/>
      <c r="AI169" s="327"/>
      <c r="AJ169" s="327"/>
      <c r="AK169" s="327"/>
      <c r="AL169" s="327"/>
      <c r="AM169" s="327"/>
      <c r="AN169" s="327"/>
      <c r="AO169" s="327"/>
      <c r="AP169" s="327"/>
      <c r="AQ169" s="327"/>
      <c r="AR169" s="327"/>
      <c r="AS169" s="327"/>
      <c r="AT169" s="327"/>
      <c r="AU169" s="327"/>
      <c r="AV169" s="327"/>
      <c r="AW169" s="327"/>
      <c r="AX169" s="327"/>
      <c r="AY169" s="327"/>
      <c r="AZ169" s="327"/>
    </row>
    <row r="170" spans="12:52">
      <c r="L170" s="325">
        <f t="shared" si="8"/>
        <v>167</v>
      </c>
      <c r="M170" s="328">
        <f t="shared" si="9"/>
        <v>0.40375000000000066</v>
      </c>
      <c r="N170" s="329">
        <f t="shared" si="10"/>
        <v>-0.39230769230769891</v>
      </c>
      <c r="O170" s="327"/>
      <c r="P170" s="327"/>
      <c r="Q170" s="327"/>
      <c r="R170" s="327"/>
      <c r="S170" s="327"/>
      <c r="U170" s="328"/>
      <c r="W170" s="327"/>
      <c r="X170" s="327"/>
      <c r="Y170" s="327"/>
      <c r="Z170" s="327"/>
      <c r="AA170" s="327"/>
      <c r="AB170" s="327"/>
      <c r="AC170" s="327"/>
      <c r="AD170" s="327"/>
      <c r="AE170" s="327"/>
      <c r="AF170" s="327"/>
      <c r="AG170" s="327"/>
      <c r="AH170" s="327"/>
      <c r="AI170" s="327"/>
      <c r="AJ170" s="327"/>
      <c r="AK170" s="327"/>
      <c r="AL170" s="327"/>
      <c r="AM170" s="327"/>
      <c r="AN170" s="327"/>
      <c r="AO170" s="327"/>
      <c r="AP170" s="327"/>
      <c r="AQ170" s="327"/>
      <c r="AR170" s="327"/>
      <c r="AS170" s="327"/>
      <c r="AT170" s="327"/>
      <c r="AU170" s="327"/>
      <c r="AV170" s="327"/>
      <c r="AW170" s="327"/>
      <c r="AX170" s="327"/>
      <c r="AY170" s="327"/>
      <c r="AZ170" s="327"/>
    </row>
    <row r="171" spans="12:52">
      <c r="L171" s="325">
        <f t="shared" si="8"/>
        <v>168</v>
      </c>
      <c r="M171" s="328">
        <f t="shared" si="9"/>
        <v>0.40666666666666734</v>
      </c>
      <c r="N171" s="329">
        <f t="shared" si="10"/>
        <v>-0.41538461538462212</v>
      </c>
      <c r="O171" s="327"/>
      <c r="P171" s="327"/>
      <c r="Q171" s="327"/>
      <c r="R171" s="327"/>
      <c r="S171" s="327"/>
      <c r="U171" s="328"/>
      <c r="W171" s="327"/>
      <c r="X171" s="327"/>
      <c r="Y171" s="327"/>
      <c r="Z171" s="327"/>
      <c r="AA171" s="327"/>
      <c r="AB171" s="327"/>
      <c r="AC171" s="327"/>
      <c r="AD171" s="327"/>
      <c r="AE171" s="327"/>
      <c r="AF171" s="327"/>
      <c r="AG171" s="327"/>
      <c r="AH171" s="327"/>
      <c r="AI171" s="327"/>
      <c r="AJ171" s="327"/>
      <c r="AK171" s="327"/>
      <c r="AL171" s="327"/>
      <c r="AM171" s="327"/>
      <c r="AN171" s="327"/>
      <c r="AO171" s="327"/>
      <c r="AP171" s="327"/>
      <c r="AQ171" s="327"/>
      <c r="AR171" s="327"/>
      <c r="AS171" s="327"/>
      <c r="AT171" s="327"/>
      <c r="AU171" s="327"/>
      <c r="AV171" s="327"/>
      <c r="AW171" s="327"/>
      <c r="AX171" s="327"/>
      <c r="AY171" s="327"/>
      <c r="AZ171" s="327"/>
    </row>
    <row r="172" spans="12:52">
      <c r="L172" s="325">
        <f t="shared" si="8"/>
        <v>169</v>
      </c>
      <c r="M172" s="328">
        <f t="shared" si="9"/>
        <v>0.40958333333333402</v>
      </c>
      <c r="N172" s="329">
        <f t="shared" si="10"/>
        <v>-0.43846153846154512</v>
      </c>
      <c r="O172" s="327"/>
      <c r="P172" s="327"/>
      <c r="Q172" s="327"/>
      <c r="R172" s="327"/>
      <c r="S172" s="327"/>
      <c r="U172" s="328"/>
      <c r="W172" s="327"/>
      <c r="X172" s="327"/>
      <c r="Y172" s="327"/>
      <c r="Z172" s="327"/>
      <c r="AA172" s="327"/>
      <c r="AB172" s="327"/>
      <c r="AC172" s="327"/>
      <c r="AD172" s="327"/>
      <c r="AE172" s="327"/>
      <c r="AF172" s="327"/>
      <c r="AG172" s="327"/>
      <c r="AH172" s="327"/>
      <c r="AI172" s="327"/>
      <c r="AJ172" s="327"/>
      <c r="AK172" s="327"/>
      <c r="AL172" s="327"/>
      <c r="AM172" s="327"/>
      <c r="AN172" s="327"/>
      <c r="AO172" s="327"/>
      <c r="AP172" s="327"/>
      <c r="AQ172" s="327"/>
      <c r="AR172" s="327"/>
      <c r="AS172" s="327"/>
      <c r="AT172" s="327"/>
      <c r="AU172" s="327"/>
      <c r="AV172" s="327"/>
      <c r="AW172" s="327"/>
      <c r="AX172" s="327"/>
      <c r="AY172" s="327"/>
      <c r="AZ172" s="327"/>
    </row>
    <row r="173" spans="12:52">
      <c r="L173" s="325">
        <f t="shared" si="8"/>
        <v>170</v>
      </c>
      <c r="M173" s="328">
        <f t="shared" si="9"/>
        <v>0.4125000000000007</v>
      </c>
      <c r="N173" s="329">
        <f t="shared" si="10"/>
        <v>-0.46153846153846834</v>
      </c>
      <c r="O173" s="327"/>
      <c r="P173" s="327"/>
      <c r="Q173" s="327"/>
      <c r="R173" s="327"/>
      <c r="S173" s="327"/>
      <c r="U173" s="328"/>
      <c r="W173" s="327"/>
      <c r="X173" s="327"/>
      <c r="Y173" s="327"/>
      <c r="Z173" s="327"/>
      <c r="AA173" s="327"/>
      <c r="AB173" s="327"/>
      <c r="AC173" s="327"/>
      <c r="AD173" s="327"/>
      <c r="AE173" s="327"/>
      <c r="AF173" s="327"/>
      <c r="AG173" s="327"/>
      <c r="AH173" s="327"/>
      <c r="AI173" s="327"/>
      <c r="AJ173" s="327"/>
      <c r="AK173" s="327"/>
      <c r="AL173" s="327"/>
      <c r="AM173" s="327"/>
      <c r="AN173" s="327"/>
      <c r="AO173" s="327"/>
      <c r="AP173" s="327"/>
      <c r="AQ173" s="327"/>
      <c r="AR173" s="327"/>
      <c r="AS173" s="327"/>
      <c r="AT173" s="327"/>
      <c r="AU173" s="327"/>
      <c r="AV173" s="327"/>
      <c r="AW173" s="327"/>
      <c r="AX173" s="327"/>
      <c r="AY173" s="327"/>
      <c r="AZ173" s="327"/>
    </row>
    <row r="174" spans="12:52">
      <c r="L174" s="325">
        <f t="shared" si="8"/>
        <v>171</v>
      </c>
      <c r="M174" s="328">
        <f t="shared" si="9"/>
        <v>0.41541666666666738</v>
      </c>
      <c r="N174" s="329">
        <f t="shared" si="10"/>
        <v>-0.48461538461539155</v>
      </c>
      <c r="O174" s="327"/>
      <c r="P174" s="327"/>
      <c r="Q174" s="327"/>
      <c r="R174" s="327"/>
      <c r="S174" s="327"/>
      <c r="U174" s="328"/>
      <c r="W174" s="327"/>
      <c r="X174" s="327"/>
      <c r="Y174" s="327"/>
      <c r="Z174" s="327"/>
      <c r="AA174" s="327"/>
      <c r="AB174" s="327"/>
      <c r="AC174" s="327"/>
      <c r="AD174" s="327"/>
      <c r="AE174" s="327"/>
      <c r="AF174" s="327"/>
      <c r="AG174" s="327"/>
      <c r="AH174" s="327"/>
      <c r="AI174" s="327"/>
      <c r="AJ174" s="327"/>
      <c r="AK174" s="327"/>
      <c r="AL174" s="327"/>
      <c r="AM174" s="327"/>
      <c r="AN174" s="327"/>
      <c r="AO174" s="327"/>
      <c r="AP174" s="327"/>
      <c r="AQ174" s="327"/>
      <c r="AR174" s="327"/>
      <c r="AS174" s="327"/>
      <c r="AT174" s="327"/>
      <c r="AU174" s="327"/>
      <c r="AV174" s="327"/>
      <c r="AW174" s="327"/>
      <c r="AX174" s="327"/>
      <c r="AY174" s="327"/>
      <c r="AZ174" s="327"/>
    </row>
    <row r="175" spans="12:52">
      <c r="L175" s="325">
        <f t="shared" si="8"/>
        <v>172</v>
      </c>
      <c r="M175" s="328">
        <f t="shared" si="9"/>
        <v>0.41833333333333406</v>
      </c>
      <c r="N175" s="329">
        <f t="shared" si="10"/>
        <v>-0.50769230769231477</v>
      </c>
      <c r="O175" s="327"/>
      <c r="P175" s="327"/>
      <c r="Q175" s="327"/>
      <c r="R175" s="327"/>
      <c r="S175" s="327"/>
      <c r="U175" s="328"/>
      <c r="W175" s="327"/>
      <c r="X175" s="327"/>
      <c r="Y175" s="327"/>
      <c r="Z175" s="327"/>
      <c r="AA175" s="327"/>
      <c r="AB175" s="327"/>
      <c r="AC175" s="327"/>
      <c r="AD175" s="327"/>
      <c r="AE175" s="327"/>
      <c r="AF175" s="327"/>
      <c r="AG175" s="327"/>
      <c r="AH175" s="327"/>
      <c r="AI175" s="327"/>
      <c r="AJ175" s="327"/>
      <c r="AK175" s="327"/>
      <c r="AL175" s="327"/>
      <c r="AM175" s="327"/>
      <c r="AN175" s="327"/>
      <c r="AO175" s="327"/>
      <c r="AP175" s="327"/>
      <c r="AQ175" s="327"/>
      <c r="AR175" s="327"/>
      <c r="AS175" s="327"/>
      <c r="AT175" s="327"/>
      <c r="AU175" s="327"/>
      <c r="AV175" s="327"/>
      <c r="AW175" s="327"/>
      <c r="AX175" s="327"/>
      <c r="AY175" s="327"/>
      <c r="AZ175" s="327"/>
    </row>
    <row r="176" spans="12:52">
      <c r="L176" s="325">
        <f t="shared" si="8"/>
        <v>173</v>
      </c>
      <c r="M176" s="328">
        <f t="shared" si="9"/>
        <v>0.42125000000000073</v>
      </c>
      <c r="N176" s="329">
        <f t="shared" si="10"/>
        <v>-0.53076923076923799</v>
      </c>
      <c r="O176" s="327"/>
      <c r="P176" s="327"/>
      <c r="Q176" s="327"/>
      <c r="R176" s="327"/>
      <c r="S176" s="327"/>
      <c r="U176" s="328"/>
      <c r="W176" s="327"/>
      <c r="X176" s="327"/>
      <c r="Y176" s="327"/>
      <c r="Z176" s="327"/>
      <c r="AA176" s="327"/>
      <c r="AB176" s="327"/>
      <c r="AC176" s="327"/>
      <c r="AD176" s="327"/>
      <c r="AE176" s="327"/>
      <c r="AF176" s="327"/>
      <c r="AG176" s="327"/>
      <c r="AH176" s="327"/>
      <c r="AI176" s="327"/>
      <c r="AJ176" s="327"/>
      <c r="AK176" s="327"/>
      <c r="AL176" s="327"/>
      <c r="AM176" s="327"/>
      <c r="AN176" s="327"/>
      <c r="AO176" s="327"/>
      <c r="AP176" s="327"/>
      <c r="AQ176" s="327"/>
      <c r="AR176" s="327"/>
      <c r="AS176" s="327"/>
      <c r="AT176" s="327"/>
      <c r="AU176" s="327"/>
      <c r="AV176" s="327"/>
      <c r="AW176" s="327"/>
      <c r="AX176" s="327"/>
      <c r="AY176" s="327"/>
      <c r="AZ176" s="327"/>
    </row>
    <row r="177" spans="12:52">
      <c r="L177" s="325">
        <f t="shared" si="8"/>
        <v>174</v>
      </c>
      <c r="M177" s="328">
        <f t="shared" si="9"/>
        <v>0.42416666666666741</v>
      </c>
      <c r="N177" s="329">
        <f t="shared" si="10"/>
        <v>-0.5538461538461612</v>
      </c>
      <c r="O177" s="327"/>
      <c r="P177" s="327"/>
      <c r="Q177" s="327"/>
      <c r="R177" s="327"/>
      <c r="S177" s="327"/>
      <c r="U177" s="328"/>
      <c r="W177" s="327"/>
      <c r="X177" s="327"/>
      <c r="Y177" s="327"/>
      <c r="Z177" s="327"/>
      <c r="AA177" s="327"/>
      <c r="AB177" s="327"/>
      <c r="AC177" s="327"/>
      <c r="AD177" s="327"/>
      <c r="AE177" s="327"/>
      <c r="AF177" s="327"/>
      <c r="AG177" s="327"/>
      <c r="AH177" s="327"/>
      <c r="AI177" s="327"/>
      <c r="AJ177" s="327"/>
      <c r="AK177" s="327"/>
      <c r="AL177" s="327"/>
      <c r="AM177" s="327"/>
      <c r="AN177" s="327"/>
      <c r="AO177" s="327"/>
      <c r="AP177" s="327"/>
      <c r="AQ177" s="327"/>
      <c r="AR177" s="327"/>
      <c r="AS177" s="327"/>
      <c r="AT177" s="327"/>
      <c r="AU177" s="327"/>
      <c r="AV177" s="327"/>
      <c r="AW177" s="327"/>
      <c r="AX177" s="327"/>
      <c r="AY177" s="327"/>
      <c r="AZ177" s="327"/>
    </row>
    <row r="178" spans="12:52">
      <c r="L178" s="325">
        <f t="shared" si="8"/>
        <v>175</v>
      </c>
      <c r="M178" s="328">
        <f t="shared" si="9"/>
        <v>0.42708333333333409</v>
      </c>
      <c r="N178" s="329">
        <f t="shared" si="10"/>
        <v>-0.5769230769230842</v>
      </c>
      <c r="O178" s="327"/>
      <c r="P178" s="327"/>
      <c r="Q178" s="327"/>
      <c r="R178" s="327"/>
      <c r="S178" s="327"/>
      <c r="U178" s="328"/>
      <c r="W178" s="327"/>
      <c r="X178" s="327"/>
      <c r="Y178" s="327"/>
      <c r="Z178" s="327"/>
      <c r="AA178" s="327"/>
      <c r="AB178" s="327"/>
      <c r="AC178" s="327"/>
      <c r="AD178" s="327"/>
      <c r="AE178" s="327"/>
      <c r="AF178" s="327"/>
      <c r="AG178" s="327"/>
      <c r="AH178" s="327"/>
      <c r="AI178" s="327"/>
      <c r="AJ178" s="327"/>
      <c r="AK178" s="327"/>
      <c r="AL178" s="327"/>
      <c r="AM178" s="327"/>
      <c r="AN178" s="327"/>
      <c r="AO178" s="327"/>
      <c r="AP178" s="327"/>
      <c r="AQ178" s="327"/>
      <c r="AR178" s="327"/>
      <c r="AS178" s="327"/>
      <c r="AT178" s="327"/>
      <c r="AU178" s="327"/>
      <c r="AV178" s="327"/>
      <c r="AW178" s="327"/>
      <c r="AX178" s="327"/>
      <c r="AY178" s="327"/>
      <c r="AZ178" s="327"/>
    </row>
    <row r="179" spans="12:52">
      <c r="L179" s="325">
        <f t="shared" si="8"/>
        <v>176</v>
      </c>
      <c r="M179" s="328">
        <f t="shared" si="9"/>
        <v>0.43000000000000077</v>
      </c>
      <c r="N179" s="329">
        <f t="shared" si="10"/>
        <v>-0.60000000000000742</v>
      </c>
      <c r="O179" s="327"/>
      <c r="P179" s="327"/>
      <c r="Q179" s="327"/>
      <c r="R179" s="327"/>
      <c r="S179" s="327"/>
      <c r="U179" s="328"/>
      <c r="W179" s="327"/>
      <c r="X179" s="327"/>
      <c r="Y179" s="327"/>
      <c r="Z179" s="327"/>
      <c r="AA179" s="327"/>
      <c r="AB179" s="327"/>
      <c r="AC179" s="327"/>
      <c r="AD179" s="327"/>
      <c r="AE179" s="327"/>
      <c r="AF179" s="327"/>
      <c r="AG179" s="327"/>
      <c r="AH179" s="327"/>
      <c r="AI179" s="327"/>
      <c r="AJ179" s="327"/>
      <c r="AK179" s="327"/>
      <c r="AL179" s="327"/>
      <c r="AM179" s="327"/>
      <c r="AN179" s="327"/>
      <c r="AO179" s="327"/>
      <c r="AP179" s="327"/>
      <c r="AQ179" s="327"/>
      <c r="AR179" s="327"/>
      <c r="AS179" s="327"/>
      <c r="AT179" s="327"/>
      <c r="AU179" s="327"/>
      <c r="AV179" s="327"/>
      <c r="AW179" s="327"/>
      <c r="AX179" s="327"/>
      <c r="AY179" s="327"/>
      <c r="AZ179" s="327"/>
    </row>
    <row r="180" spans="12:52">
      <c r="L180" s="325">
        <f t="shared" si="8"/>
        <v>177</v>
      </c>
      <c r="M180" s="328">
        <f t="shared" si="9"/>
        <v>0.43291666666666745</v>
      </c>
      <c r="N180" s="329">
        <f t="shared" si="10"/>
        <v>-0.62307692307693063</v>
      </c>
      <c r="O180" s="327"/>
      <c r="P180" s="327"/>
      <c r="Q180" s="327"/>
      <c r="R180" s="327"/>
      <c r="S180" s="327"/>
      <c r="U180" s="328"/>
      <c r="W180" s="327"/>
      <c r="X180" s="327"/>
      <c r="Y180" s="327"/>
      <c r="Z180" s="327"/>
      <c r="AA180" s="327"/>
      <c r="AB180" s="327"/>
      <c r="AC180" s="327"/>
      <c r="AD180" s="327"/>
      <c r="AE180" s="327"/>
      <c r="AF180" s="327"/>
      <c r="AG180" s="327"/>
      <c r="AH180" s="327"/>
      <c r="AI180" s="327"/>
      <c r="AJ180" s="327"/>
      <c r="AK180" s="327"/>
      <c r="AL180" s="327"/>
      <c r="AM180" s="327"/>
      <c r="AN180" s="327"/>
      <c r="AO180" s="327"/>
      <c r="AP180" s="327"/>
      <c r="AQ180" s="327"/>
      <c r="AR180" s="327"/>
      <c r="AS180" s="327"/>
      <c r="AT180" s="327"/>
      <c r="AU180" s="327"/>
      <c r="AV180" s="327"/>
      <c r="AW180" s="327"/>
      <c r="AX180" s="327"/>
      <c r="AY180" s="327"/>
      <c r="AZ180" s="327"/>
    </row>
    <row r="181" spans="12:52">
      <c r="L181" s="325">
        <f t="shared" si="8"/>
        <v>178</v>
      </c>
      <c r="M181" s="328">
        <f t="shared" si="9"/>
        <v>0.43583333333333413</v>
      </c>
      <c r="N181" s="329">
        <f t="shared" si="10"/>
        <v>-0.64615384615385385</v>
      </c>
      <c r="O181" s="327"/>
      <c r="P181" s="327"/>
      <c r="Q181" s="327"/>
      <c r="R181" s="327"/>
      <c r="S181" s="327"/>
      <c r="U181" s="328"/>
      <c r="W181" s="327"/>
      <c r="X181" s="327"/>
      <c r="Y181" s="327"/>
      <c r="Z181" s="327"/>
      <c r="AA181" s="327"/>
      <c r="AB181" s="327"/>
      <c r="AC181" s="327"/>
      <c r="AD181" s="327"/>
      <c r="AE181" s="327"/>
      <c r="AF181" s="327"/>
      <c r="AG181" s="327"/>
      <c r="AH181" s="327"/>
      <c r="AI181" s="327"/>
      <c r="AJ181" s="327"/>
      <c r="AK181" s="327"/>
      <c r="AL181" s="327"/>
      <c r="AM181" s="327"/>
      <c r="AN181" s="327"/>
      <c r="AO181" s="327"/>
      <c r="AP181" s="327"/>
      <c r="AQ181" s="327"/>
      <c r="AR181" s="327"/>
      <c r="AS181" s="327"/>
      <c r="AT181" s="327"/>
      <c r="AU181" s="327"/>
      <c r="AV181" s="327"/>
      <c r="AW181" s="327"/>
      <c r="AX181" s="327"/>
      <c r="AY181" s="327"/>
      <c r="AZ181" s="327"/>
    </row>
    <row r="182" spans="12:52">
      <c r="L182" s="325">
        <f t="shared" si="8"/>
        <v>179</v>
      </c>
      <c r="M182" s="328">
        <f t="shared" si="9"/>
        <v>0.43875000000000081</v>
      </c>
      <c r="N182" s="329">
        <f t="shared" si="10"/>
        <v>-0.66923076923077707</v>
      </c>
      <c r="O182" s="327"/>
      <c r="P182" s="327"/>
      <c r="Q182" s="327"/>
      <c r="R182" s="327"/>
      <c r="S182" s="327"/>
      <c r="U182" s="328"/>
      <c r="W182" s="327"/>
      <c r="X182" s="327"/>
      <c r="Y182" s="327"/>
      <c r="Z182" s="327"/>
      <c r="AA182" s="327"/>
      <c r="AB182" s="327"/>
      <c r="AC182" s="327"/>
      <c r="AD182" s="327"/>
      <c r="AE182" s="327"/>
      <c r="AF182" s="327"/>
      <c r="AG182" s="327"/>
      <c r="AH182" s="327"/>
      <c r="AI182" s="327"/>
      <c r="AJ182" s="327"/>
      <c r="AK182" s="327"/>
      <c r="AL182" s="327"/>
      <c r="AM182" s="327"/>
      <c r="AN182" s="327"/>
      <c r="AO182" s="327"/>
      <c r="AP182" s="327"/>
      <c r="AQ182" s="327"/>
      <c r="AR182" s="327"/>
      <c r="AS182" s="327"/>
      <c r="AT182" s="327"/>
      <c r="AU182" s="327"/>
      <c r="AV182" s="327"/>
      <c r="AW182" s="327"/>
      <c r="AX182" s="327"/>
      <c r="AY182" s="327"/>
      <c r="AZ182" s="327"/>
    </row>
    <row r="183" spans="12:52">
      <c r="L183" s="325">
        <f t="shared" si="8"/>
        <v>180</v>
      </c>
      <c r="M183" s="328">
        <f t="shared" si="9"/>
        <v>0.44166666666666748</v>
      </c>
      <c r="N183" s="329">
        <f t="shared" si="10"/>
        <v>-0.69230769230770006</v>
      </c>
      <c r="O183" s="327"/>
      <c r="P183" s="327"/>
      <c r="Q183" s="327"/>
      <c r="R183" s="327"/>
      <c r="S183" s="327"/>
      <c r="U183" s="328"/>
      <c r="W183" s="327"/>
      <c r="X183" s="327"/>
      <c r="Y183" s="327"/>
      <c r="Z183" s="327"/>
      <c r="AA183" s="327"/>
      <c r="AB183" s="327"/>
      <c r="AC183" s="327"/>
      <c r="AD183" s="327"/>
      <c r="AE183" s="327"/>
      <c r="AF183" s="327"/>
      <c r="AG183" s="327"/>
      <c r="AH183" s="327"/>
      <c r="AI183" s="327"/>
      <c r="AJ183" s="327"/>
      <c r="AK183" s="327"/>
      <c r="AL183" s="327"/>
      <c r="AM183" s="327"/>
      <c r="AN183" s="327"/>
      <c r="AO183" s="327"/>
      <c r="AP183" s="327"/>
      <c r="AQ183" s="327"/>
      <c r="AR183" s="327"/>
      <c r="AS183" s="327"/>
      <c r="AT183" s="327"/>
      <c r="AU183" s="327"/>
      <c r="AV183" s="327"/>
      <c r="AW183" s="327"/>
      <c r="AX183" s="327"/>
      <c r="AY183" s="327"/>
      <c r="AZ183" s="327"/>
    </row>
    <row r="184" spans="12:52">
      <c r="L184" s="325">
        <f t="shared" si="8"/>
        <v>181</v>
      </c>
      <c r="M184" s="328">
        <f t="shared" si="9"/>
        <v>0.44458333333333416</v>
      </c>
      <c r="N184" s="329">
        <f t="shared" si="10"/>
        <v>-0.71538461538462328</v>
      </c>
      <c r="O184" s="327"/>
      <c r="P184" s="327"/>
      <c r="Q184" s="327"/>
      <c r="R184" s="327"/>
      <c r="S184" s="327"/>
      <c r="U184" s="328"/>
      <c r="W184" s="327"/>
      <c r="X184" s="327"/>
      <c r="Y184" s="327"/>
      <c r="Z184" s="327"/>
      <c r="AA184" s="327"/>
      <c r="AB184" s="327"/>
      <c r="AC184" s="327"/>
      <c r="AD184" s="327"/>
      <c r="AE184" s="327"/>
      <c r="AF184" s="327"/>
      <c r="AG184" s="327"/>
      <c r="AH184" s="327"/>
      <c r="AI184" s="327"/>
      <c r="AJ184" s="327"/>
      <c r="AK184" s="327"/>
      <c r="AL184" s="327"/>
      <c r="AM184" s="327"/>
      <c r="AN184" s="327"/>
      <c r="AO184" s="327"/>
      <c r="AP184" s="327"/>
      <c r="AQ184" s="327"/>
      <c r="AR184" s="327"/>
      <c r="AS184" s="327"/>
      <c r="AT184" s="327"/>
      <c r="AU184" s="327"/>
      <c r="AV184" s="327"/>
      <c r="AW184" s="327"/>
      <c r="AX184" s="327"/>
      <c r="AY184" s="327"/>
      <c r="AZ184" s="327"/>
    </row>
    <row r="185" spans="12:52">
      <c r="L185" s="325">
        <f t="shared" si="8"/>
        <v>182</v>
      </c>
      <c r="M185" s="328">
        <f t="shared" si="9"/>
        <v>0.44750000000000084</v>
      </c>
      <c r="N185" s="329">
        <f t="shared" si="10"/>
        <v>-0.7384615384615465</v>
      </c>
      <c r="O185" s="327"/>
      <c r="P185" s="327"/>
      <c r="Q185" s="327"/>
      <c r="R185" s="327"/>
      <c r="S185" s="327"/>
      <c r="U185" s="328"/>
      <c r="W185" s="327"/>
      <c r="X185" s="327"/>
      <c r="Y185" s="327"/>
      <c r="Z185" s="327"/>
      <c r="AA185" s="327"/>
      <c r="AB185" s="327"/>
      <c r="AC185" s="327"/>
      <c r="AD185" s="327"/>
      <c r="AE185" s="327"/>
      <c r="AF185" s="327"/>
      <c r="AG185" s="327"/>
      <c r="AH185" s="327"/>
      <c r="AI185" s="327"/>
      <c r="AJ185" s="327"/>
      <c r="AK185" s="327"/>
      <c r="AL185" s="327"/>
      <c r="AM185" s="327"/>
      <c r="AN185" s="327"/>
      <c r="AO185" s="327"/>
      <c r="AP185" s="327"/>
      <c r="AQ185" s="327"/>
      <c r="AR185" s="327"/>
      <c r="AS185" s="327"/>
      <c r="AT185" s="327"/>
      <c r="AU185" s="327"/>
      <c r="AV185" s="327"/>
      <c r="AW185" s="327"/>
      <c r="AX185" s="327"/>
      <c r="AY185" s="327"/>
      <c r="AZ185" s="327"/>
    </row>
    <row r="186" spans="12:52">
      <c r="L186" s="325">
        <f t="shared" si="8"/>
        <v>183</v>
      </c>
      <c r="M186" s="328">
        <f t="shared" si="9"/>
        <v>0.45041666666666752</v>
      </c>
      <c r="N186" s="329">
        <f t="shared" si="10"/>
        <v>-0.76153846153846971</v>
      </c>
      <c r="O186" s="327"/>
      <c r="P186" s="327"/>
      <c r="Q186" s="327"/>
      <c r="R186" s="327"/>
      <c r="S186" s="327"/>
      <c r="U186" s="328"/>
      <c r="W186" s="327"/>
      <c r="X186" s="327"/>
      <c r="Y186" s="327"/>
      <c r="Z186" s="327"/>
      <c r="AA186" s="327"/>
      <c r="AB186" s="327"/>
      <c r="AC186" s="327"/>
      <c r="AD186" s="327"/>
      <c r="AE186" s="327"/>
      <c r="AF186" s="327"/>
      <c r="AG186" s="327"/>
      <c r="AH186" s="327"/>
      <c r="AI186" s="327"/>
      <c r="AJ186" s="327"/>
      <c r="AK186" s="327"/>
      <c r="AL186" s="327"/>
      <c r="AM186" s="327"/>
      <c r="AN186" s="327"/>
      <c r="AO186" s="327"/>
      <c r="AP186" s="327"/>
      <c r="AQ186" s="327"/>
      <c r="AR186" s="327"/>
      <c r="AS186" s="327"/>
      <c r="AT186" s="327"/>
      <c r="AU186" s="327"/>
      <c r="AV186" s="327"/>
      <c r="AW186" s="327"/>
      <c r="AX186" s="327"/>
      <c r="AY186" s="327"/>
      <c r="AZ186" s="327"/>
    </row>
    <row r="187" spans="12:52">
      <c r="L187" s="325">
        <f t="shared" si="8"/>
        <v>184</v>
      </c>
      <c r="M187" s="328">
        <f t="shared" si="9"/>
        <v>0.4533333333333342</v>
      </c>
      <c r="N187" s="329">
        <f t="shared" si="10"/>
        <v>-0.78461538461539293</v>
      </c>
      <c r="O187" s="327"/>
      <c r="P187" s="327"/>
      <c r="Q187" s="327"/>
      <c r="R187" s="327"/>
      <c r="S187" s="327"/>
      <c r="U187" s="328"/>
      <c r="W187" s="327"/>
      <c r="X187" s="327"/>
      <c r="Y187" s="327"/>
      <c r="Z187" s="327"/>
      <c r="AA187" s="327"/>
      <c r="AB187" s="327"/>
      <c r="AC187" s="327"/>
      <c r="AD187" s="327"/>
      <c r="AE187" s="327"/>
      <c r="AF187" s="327"/>
      <c r="AG187" s="327"/>
      <c r="AH187" s="327"/>
      <c r="AI187" s="327"/>
      <c r="AJ187" s="327"/>
      <c r="AK187" s="327"/>
      <c r="AL187" s="327"/>
      <c r="AM187" s="327"/>
      <c r="AN187" s="327"/>
      <c r="AO187" s="327"/>
      <c r="AP187" s="327"/>
      <c r="AQ187" s="327"/>
      <c r="AR187" s="327"/>
      <c r="AS187" s="327"/>
      <c r="AT187" s="327"/>
      <c r="AU187" s="327"/>
      <c r="AV187" s="327"/>
      <c r="AW187" s="327"/>
      <c r="AX187" s="327"/>
      <c r="AY187" s="327"/>
      <c r="AZ187" s="327"/>
    </row>
    <row r="188" spans="12:52">
      <c r="L188" s="325">
        <f t="shared" si="8"/>
        <v>185</v>
      </c>
      <c r="M188" s="328">
        <f t="shared" si="9"/>
        <v>0.45625000000000088</v>
      </c>
      <c r="N188" s="329">
        <f t="shared" si="10"/>
        <v>-0.80769230769231615</v>
      </c>
      <c r="O188" s="327"/>
      <c r="P188" s="327"/>
      <c r="Q188" s="327"/>
      <c r="R188" s="327"/>
      <c r="S188" s="327"/>
      <c r="U188" s="328"/>
      <c r="W188" s="327"/>
      <c r="X188" s="327"/>
      <c r="Y188" s="327"/>
      <c r="Z188" s="327"/>
      <c r="AA188" s="327"/>
      <c r="AB188" s="327"/>
      <c r="AC188" s="327"/>
      <c r="AD188" s="327"/>
      <c r="AE188" s="327"/>
      <c r="AF188" s="327"/>
      <c r="AG188" s="327"/>
      <c r="AH188" s="327"/>
      <c r="AI188" s="327"/>
      <c r="AJ188" s="327"/>
      <c r="AK188" s="327"/>
      <c r="AL188" s="327"/>
      <c r="AM188" s="327"/>
      <c r="AN188" s="327"/>
      <c r="AO188" s="327"/>
      <c r="AP188" s="327"/>
      <c r="AQ188" s="327"/>
      <c r="AR188" s="327"/>
      <c r="AS188" s="327"/>
      <c r="AT188" s="327"/>
      <c r="AU188" s="327"/>
      <c r="AV188" s="327"/>
      <c r="AW188" s="327"/>
      <c r="AX188" s="327"/>
      <c r="AY188" s="327"/>
      <c r="AZ188" s="327"/>
    </row>
    <row r="189" spans="12:52">
      <c r="L189" s="325">
        <f t="shared" si="8"/>
        <v>186</v>
      </c>
      <c r="M189" s="328">
        <f t="shared" si="9"/>
        <v>0.45916666666666756</v>
      </c>
      <c r="N189" s="329">
        <f t="shared" si="10"/>
        <v>-0.83076923076923914</v>
      </c>
      <c r="O189" s="327"/>
      <c r="P189" s="327"/>
      <c r="Q189" s="327"/>
      <c r="R189" s="327"/>
      <c r="S189" s="327"/>
      <c r="U189" s="328"/>
      <c r="W189" s="327"/>
      <c r="X189" s="327"/>
      <c r="Y189" s="327"/>
      <c r="Z189" s="327"/>
      <c r="AA189" s="327"/>
      <c r="AB189" s="327"/>
      <c r="AC189" s="327"/>
      <c r="AD189" s="327"/>
      <c r="AE189" s="327"/>
      <c r="AF189" s="327"/>
      <c r="AG189" s="327"/>
      <c r="AH189" s="327"/>
      <c r="AI189" s="327"/>
      <c r="AJ189" s="327"/>
      <c r="AK189" s="327"/>
      <c r="AL189" s="327"/>
      <c r="AM189" s="327"/>
      <c r="AN189" s="327"/>
      <c r="AO189" s="327"/>
      <c r="AP189" s="327"/>
      <c r="AQ189" s="327"/>
      <c r="AR189" s="327"/>
      <c r="AS189" s="327"/>
      <c r="AT189" s="327"/>
      <c r="AU189" s="327"/>
      <c r="AV189" s="327"/>
      <c r="AW189" s="327"/>
      <c r="AX189" s="327"/>
      <c r="AY189" s="327"/>
      <c r="AZ189" s="327"/>
    </row>
    <row r="190" spans="12:52">
      <c r="L190" s="325">
        <f t="shared" si="8"/>
        <v>187</v>
      </c>
      <c r="M190" s="328">
        <f t="shared" si="9"/>
        <v>0.46208333333333423</v>
      </c>
      <c r="N190" s="329">
        <f t="shared" si="10"/>
        <v>-0.85384615384616258</v>
      </c>
      <c r="O190" s="327"/>
      <c r="P190" s="327"/>
      <c r="Q190" s="327"/>
      <c r="R190" s="327"/>
      <c r="S190" s="327"/>
      <c r="U190" s="328"/>
      <c r="W190" s="327"/>
      <c r="X190" s="327"/>
      <c r="Y190" s="327"/>
      <c r="Z190" s="327"/>
      <c r="AA190" s="327"/>
      <c r="AB190" s="327"/>
      <c r="AC190" s="327"/>
      <c r="AD190" s="327"/>
      <c r="AE190" s="327"/>
      <c r="AF190" s="327"/>
      <c r="AG190" s="327"/>
      <c r="AH190" s="327"/>
      <c r="AI190" s="327"/>
      <c r="AJ190" s="327"/>
      <c r="AK190" s="327"/>
      <c r="AL190" s="327"/>
      <c r="AM190" s="327"/>
      <c r="AN190" s="327"/>
      <c r="AO190" s="327"/>
      <c r="AP190" s="327"/>
      <c r="AQ190" s="327"/>
      <c r="AR190" s="327"/>
      <c r="AS190" s="327"/>
      <c r="AT190" s="327"/>
      <c r="AU190" s="327"/>
      <c r="AV190" s="327"/>
      <c r="AW190" s="327"/>
      <c r="AX190" s="327"/>
      <c r="AY190" s="327"/>
      <c r="AZ190" s="327"/>
    </row>
    <row r="191" spans="12:52">
      <c r="L191" s="325">
        <f t="shared" si="8"/>
        <v>188</v>
      </c>
      <c r="M191" s="328">
        <f t="shared" si="9"/>
        <v>0.46500000000000091</v>
      </c>
      <c r="N191" s="329">
        <f t="shared" si="10"/>
        <v>-0.87692307692308558</v>
      </c>
      <c r="O191" s="327"/>
      <c r="P191" s="327"/>
      <c r="Q191" s="327"/>
      <c r="R191" s="327"/>
      <c r="S191" s="327"/>
      <c r="U191" s="328"/>
      <c r="W191" s="327"/>
      <c r="X191" s="327"/>
      <c r="Y191" s="327"/>
      <c r="Z191" s="327"/>
      <c r="AA191" s="327"/>
      <c r="AB191" s="327"/>
      <c r="AC191" s="327"/>
      <c r="AD191" s="327"/>
      <c r="AE191" s="327"/>
      <c r="AF191" s="327"/>
      <c r="AG191" s="327"/>
      <c r="AH191" s="327"/>
      <c r="AI191" s="327"/>
      <c r="AJ191" s="327"/>
      <c r="AK191" s="327"/>
      <c r="AL191" s="327"/>
      <c r="AM191" s="327"/>
      <c r="AN191" s="327"/>
      <c r="AO191" s="327"/>
      <c r="AP191" s="327"/>
      <c r="AQ191" s="327"/>
      <c r="AR191" s="327"/>
      <c r="AS191" s="327"/>
      <c r="AT191" s="327"/>
      <c r="AU191" s="327"/>
      <c r="AV191" s="327"/>
      <c r="AW191" s="327"/>
      <c r="AX191" s="327"/>
      <c r="AY191" s="327"/>
      <c r="AZ191" s="327"/>
    </row>
    <row r="192" spans="12:52">
      <c r="L192" s="325">
        <f t="shared" si="8"/>
        <v>189</v>
      </c>
      <c r="M192" s="328">
        <f t="shared" si="9"/>
        <v>0.46791666666666759</v>
      </c>
      <c r="N192" s="329">
        <f t="shared" si="10"/>
        <v>-0.90000000000000857</v>
      </c>
      <c r="O192" s="327"/>
      <c r="P192" s="327"/>
      <c r="Q192" s="327"/>
      <c r="R192" s="327"/>
      <c r="S192" s="327"/>
      <c r="U192" s="328"/>
      <c r="W192" s="327"/>
      <c r="X192" s="327"/>
      <c r="Y192" s="327"/>
      <c r="Z192" s="327"/>
      <c r="AA192" s="327"/>
      <c r="AB192" s="327"/>
      <c r="AC192" s="327"/>
      <c r="AD192" s="327"/>
      <c r="AE192" s="327"/>
      <c r="AF192" s="327"/>
      <c r="AG192" s="327"/>
      <c r="AH192" s="327"/>
      <c r="AI192" s="327"/>
      <c r="AJ192" s="327"/>
      <c r="AK192" s="327"/>
      <c r="AL192" s="327"/>
      <c r="AM192" s="327"/>
      <c r="AN192" s="327"/>
      <c r="AO192" s="327"/>
      <c r="AP192" s="327"/>
      <c r="AQ192" s="327"/>
      <c r="AR192" s="327"/>
      <c r="AS192" s="327"/>
      <c r="AT192" s="327"/>
      <c r="AU192" s="327"/>
      <c r="AV192" s="327"/>
      <c r="AW192" s="327"/>
      <c r="AX192" s="327"/>
      <c r="AY192" s="327"/>
      <c r="AZ192" s="327"/>
    </row>
    <row r="193" spans="12:52">
      <c r="L193" s="325">
        <f t="shared" si="8"/>
        <v>190</v>
      </c>
      <c r="M193" s="328">
        <f t="shared" si="9"/>
        <v>0.47083333333333427</v>
      </c>
      <c r="N193" s="329">
        <f t="shared" si="10"/>
        <v>-0.92307692307693201</v>
      </c>
      <c r="O193" s="327"/>
      <c r="P193" s="327"/>
      <c r="Q193" s="327"/>
      <c r="R193" s="327"/>
      <c r="S193" s="327"/>
      <c r="U193" s="328"/>
      <c r="W193" s="327"/>
      <c r="X193" s="327"/>
      <c r="Y193" s="327"/>
      <c r="Z193" s="327"/>
      <c r="AA193" s="327"/>
      <c r="AB193" s="327"/>
      <c r="AC193" s="327"/>
      <c r="AD193" s="327"/>
      <c r="AE193" s="327"/>
      <c r="AF193" s="327"/>
      <c r="AG193" s="327"/>
      <c r="AH193" s="327"/>
      <c r="AI193" s="327"/>
      <c r="AJ193" s="327"/>
      <c r="AK193" s="327"/>
      <c r="AL193" s="327"/>
      <c r="AM193" s="327"/>
      <c r="AN193" s="327"/>
      <c r="AO193" s="327"/>
      <c r="AP193" s="327"/>
      <c r="AQ193" s="327"/>
      <c r="AR193" s="327"/>
      <c r="AS193" s="327"/>
      <c r="AT193" s="327"/>
      <c r="AU193" s="327"/>
      <c r="AV193" s="327"/>
      <c r="AW193" s="327"/>
      <c r="AX193" s="327"/>
      <c r="AY193" s="327"/>
      <c r="AZ193" s="327"/>
    </row>
    <row r="194" spans="12:52">
      <c r="L194" s="325">
        <f t="shared" si="8"/>
        <v>191</v>
      </c>
      <c r="M194" s="328">
        <f t="shared" si="9"/>
        <v>0.47375000000000095</v>
      </c>
      <c r="N194" s="329">
        <f t="shared" si="10"/>
        <v>-0.946153846153855</v>
      </c>
      <c r="O194" s="327"/>
      <c r="P194" s="327"/>
      <c r="Q194" s="327"/>
      <c r="R194" s="327"/>
      <c r="S194" s="327"/>
      <c r="U194" s="328"/>
      <c r="W194" s="327"/>
      <c r="X194" s="327"/>
      <c r="Y194" s="327"/>
      <c r="Z194" s="327"/>
      <c r="AA194" s="327"/>
      <c r="AB194" s="327"/>
      <c r="AC194" s="327"/>
      <c r="AD194" s="327"/>
      <c r="AE194" s="327"/>
      <c r="AF194" s="327"/>
      <c r="AG194" s="327"/>
      <c r="AH194" s="327"/>
      <c r="AI194" s="327"/>
      <c r="AJ194" s="327"/>
      <c r="AK194" s="327"/>
      <c r="AL194" s="327"/>
      <c r="AM194" s="327"/>
      <c r="AN194" s="327"/>
      <c r="AO194" s="327"/>
      <c r="AP194" s="327"/>
      <c r="AQ194" s="327"/>
      <c r="AR194" s="327"/>
      <c r="AS194" s="327"/>
      <c r="AT194" s="327"/>
      <c r="AU194" s="327"/>
      <c r="AV194" s="327"/>
      <c r="AW194" s="327"/>
      <c r="AX194" s="327"/>
      <c r="AY194" s="327"/>
      <c r="AZ194" s="327"/>
    </row>
    <row r="195" spans="12:52">
      <c r="L195" s="325">
        <f t="shared" si="8"/>
        <v>192</v>
      </c>
      <c r="M195" s="328">
        <f t="shared" si="9"/>
        <v>0.47666666666666763</v>
      </c>
      <c r="N195" s="329">
        <f t="shared" si="10"/>
        <v>-0.96923076923077844</v>
      </c>
      <c r="O195" s="327"/>
      <c r="P195" s="327"/>
      <c r="Q195" s="327"/>
      <c r="R195" s="327"/>
      <c r="S195" s="327"/>
      <c r="U195" s="328"/>
      <c r="W195" s="327"/>
      <c r="X195" s="327"/>
      <c r="Y195" s="327"/>
      <c r="Z195" s="327"/>
      <c r="AA195" s="327"/>
      <c r="AB195" s="327"/>
      <c r="AC195" s="327"/>
      <c r="AD195" s="327"/>
      <c r="AE195" s="327"/>
      <c r="AF195" s="327"/>
      <c r="AG195" s="327"/>
      <c r="AH195" s="327"/>
      <c r="AI195" s="327"/>
      <c r="AJ195" s="327"/>
      <c r="AK195" s="327"/>
      <c r="AL195" s="327"/>
      <c r="AM195" s="327"/>
      <c r="AN195" s="327"/>
      <c r="AO195" s="327"/>
      <c r="AP195" s="327"/>
      <c r="AQ195" s="327"/>
      <c r="AR195" s="327"/>
      <c r="AS195" s="327"/>
      <c r="AT195" s="327"/>
      <c r="AU195" s="327"/>
      <c r="AV195" s="327"/>
      <c r="AW195" s="327"/>
      <c r="AX195" s="327"/>
      <c r="AY195" s="327"/>
      <c r="AZ195" s="327"/>
    </row>
    <row r="196" spans="12:52">
      <c r="L196" s="325">
        <f t="shared" si="8"/>
        <v>193</v>
      </c>
      <c r="M196" s="328">
        <f t="shared" si="9"/>
        <v>0.47958333333333431</v>
      </c>
      <c r="N196" s="329">
        <f t="shared" si="10"/>
        <v>-0.99230769230770144</v>
      </c>
      <c r="O196" s="327"/>
      <c r="P196" s="327"/>
      <c r="Q196" s="327"/>
      <c r="R196" s="327"/>
      <c r="S196" s="327"/>
      <c r="U196" s="328"/>
      <c r="W196" s="327"/>
      <c r="X196" s="327"/>
      <c r="Y196" s="327"/>
      <c r="Z196" s="327"/>
      <c r="AA196" s="327"/>
      <c r="AB196" s="327"/>
      <c r="AC196" s="327"/>
      <c r="AD196" s="327"/>
      <c r="AE196" s="327"/>
      <c r="AF196" s="327"/>
      <c r="AG196" s="327"/>
      <c r="AH196" s="327"/>
      <c r="AI196" s="327"/>
      <c r="AJ196" s="327"/>
      <c r="AK196" s="327"/>
      <c r="AL196" s="327"/>
      <c r="AM196" s="327"/>
      <c r="AN196" s="327"/>
      <c r="AO196" s="327"/>
      <c r="AP196" s="327"/>
      <c r="AQ196" s="327"/>
      <c r="AR196" s="327"/>
      <c r="AS196" s="327"/>
      <c r="AT196" s="327"/>
      <c r="AU196" s="327"/>
      <c r="AV196" s="327"/>
      <c r="AW196" s="327"/>
      <c r="AX196" s="327"/>
      <c r="AY196" s="327"/>
      <c r="AZ196" s="327"/>
    </row>
    <row r="197" spans="12:52">
      <c r="L197" s="325">
        <f t="shared" ref="L197:L260" si="11">L196+1</f>
        <v>194</v>
      </c>
      <c r="M197" s="328">
        <f t="shared" si="9"/>
        <v>0.48250000000000098</v>
      </c>
      <c r="N197" s="329">
        <f t="shared" si="10"/>
        <v>-1.0153846153846244</v>
      </c>
      <c r="O197" s="327"/>
      <c r="P197" s="327"/>
      <c r="Q197" s="327"/>
      <c r="R197" s="327"/>
      <c r="S197" s="327"/>
      <c r="U197" s="328"/>
      <c r="W197" s="327"/>
      <c r="X197" s="327"/>
      <c r="Y197" s="327"/>
      <c r="Z197" s="327"/>
      <c r="AA197" s="327"/>
      <c r="AB197" s="327"/>
      <c r="AC197" s="327"/>
      <c r="AD197" s="327"/>
      <c r="AE197" s="327"/>
      <c r="AF197" s="327"/>
      <c r="AG197" s="327"/>
      <c r="AH197" s="327"/>
      <c r="AI197" s="327"/>
      <c r="AJ197" s="327"/>
      <c r="AK197" s="327"/>
      <c r="AL197" s="327"/>
      <c r="AM197" s="327"/>
      <c r="AN197" s="327"/>
      <c r="AO197" s="327"/>
      <c r="AP197" s="327"/>
      <c r="AQ197" s="327"/>
      <c r="AR197" s="327"/>
      <c r="AS197" s="327"/>
      <c r="AT197" s="327"/>
      <c r="AU197" s="327"/>
      <c r="AV197" s="327"/>
      <c r="AW197" s="327"/>
      <c r="AX197" s="327"/>
      <c r="AY197" s="327"/>
      <c r="AZ197" s="327"/>
    </row>
    <row r="198" spans="12:52">
      <c r="L198" s="325">
        <f t="shared" si="11"/>
        <v>195</v>
      </c>
      <c r="M198" s="328">
        <f t="shared" si="9"/>
        <v>0.48541666666666766</v>
      </c>
      <c r="N198" s="329">
        <f t="shared" si="10"/>
        <v>-1.0384615384615479</v>
      </c>
      <c r="O198" s="327"/>
      <c r="P198" s="327"/>
      <c r="Q198" s="327"/>
      <c r="R198" s="327"/>
      <c r="S198" s="327"/>
      <c r="U198" s="328"/>
      <c r="W198" s="327"/>
      <c r="X198" s="327"/>
      <c r="Y198" s="327"/>
      <c r="Z198" s="327"/>
      <c r="AA198" s="327"/>
      <c r="AB198" s="327"/>
      <c r="AC198" s="327"/>
      <c r="AD198" s="327"/>
      <c r="AE198" s="327"/>
      <c r="AF198" s="327"/>
      <c r="AG198" s="327"/>
      <c r="AH198" s="327"/>
      <c r="AI198" s="327"/>
      <c r="AJ198" s="327"/>
      <c r="AK198" s="327"/>
      <c r="AL198" s="327"/>
      <c r="AM198" s="327"/>
      <c r="AN198" s="327"/>
      <c r="AO198" s="327"/>
      <c r="AP198" s="327"/>
      <c r="AQ198" s="327"/>
      <c r="AR198" s="327"/>
      <c r="AS198" s="327"/>
      <c r="AT198" s="327"/>
      <c r="AU198" s="327"/>
      <c r="AV198" s="327"/>
      <c r="AW198" s="327"/>
      <c r="AX198" s="327"/>
      <c r="AY198" s="327"/>
      <c r="AZ198" s="327"/>
    </row>
    <row r="199" spans="12:52">
      <c r="L199" s="325">
        <f t="shared" si="11"/>
        <v>196</v>
      </c>
      <c r="M199" s="328">
        <f t="shared" si="9"/>
        <v>0.48833333333333434</v>
      </c>
      <c r="N199" s="329">
        <f t="shared" si="10"/>
        <v>-1.0615384615384709</v>
      </c>
      <c r="O199" s="327"/>
      <c r="P199" s="327"/>
      <c r="Q199" s="327"/>
      <c r="R199" s="327"/>
      <c r="S199" s="327"/>
      <c r="U199" s="328"/>
      <c r="W199" s="327"/>
      <c r="X199" s="327"/>
      <c r="Y199" s="327"/>
      <c r="Z199" s="327"/>
      <c r="AA199" s="327"/>
      <c r="AB199" s="327"/>
      <c r="AC199" s="327"/>
      <c r="AD199" s="327"/>
      <c r="AE199" s="327"/>
      <c r="AF199" s="327"/>
      <c r="AG199" s="327"/>
      <c r="AH199" s="327"/>
      <c r="AI199" s="327"/>
      <c r="AJ199" s="327"/>
      <c r="AK199" s="327"/>
      <c r="AL199" s="327"/>
      <c r="AM199" s="327"/>
      <c r="AN199" s="327"/>
      <c r="AO199" s="327"/>
      <c r="AP199" s="327"/>
      <c r="AQ199" s="327"/>
      <c r="AR199" s="327"/>
      <c r="AS199" s="327"/>
      <c r="AT199" s="327"/>
      <c r="AU199" s="327"/>
      <c r="AV199" s="327"/>
      <c r="AW199" s="327"/>
      <c r="AX199" s="327"/>
      <c r="AY199" s="327"/>
      <c r="AZ199" s="327"/>
    </row>
    <row r="200" spans="12:52">
      <c r="L200" s="325">
        <f t="shared" si="11"/>
        <v>197</v>
      </c>
      <c r="M200" s="328">
        <f t="shared" si="9"/>
        <v>0.49125000000000102</v>
      </c>
      <c r="N200" s="329">
        <f t="shared" si="10"/>
        <v>-1.0846153846153943</v>
      </c>
      <c r="O200" s="327"/>
      <c r="P200" s="327"/>
      <c r="Q200" s="327"/>
      <c r="R200" s="327"/>
      <c r="S200" s="327"/>
      <c r="U200" s="328"/>
      <c r="W200" s="327"/>
      <c r="X200" s="327"/>
      <c r="Y200" s="327"/>
      <c r="Z200" s="327"/>
      <c r="AA200" s="327"/>
      <c r="AB200" s="327"/>
      <c r="AC200" s="327"/>
      <c r="AD200" s="327"/>
      <c r="AE200" s="327"/>
      <c r="AF200" s="327"/>
      <c r="AG200" s="327"/>
      <c r="AH200" s="327"/>
      <c r="AI200" s="327"/>
      <c r="AJ200" s="327"/>
      <c r="AK200" s="327"/>
      <c r="AL200" s="327"/>
      <c r="AM200" s="327"/>
      <c r="AN200" s="327"/>
      <c r="AO200" s="327"/>
      <c r="AP200" s="327"/>
      <c r="AQ200" s="327"/>
      <c r="AR200" s="327"/>
      <c r="AS200" s="327"/>
      <c r="AT200" s="327"/>
      <c r="AU200" s="327"/>
      <c r="AV200" s="327"/>
      <c r="AW200" s="327"/>
      <c r="AX200" s="327"/>
      <c r="AY200" s="327"/>
      <c r="AZ200" s="327"/>
    </row>
    <row r="201" spans="12:52">
      <c r="L201" s="325">
        <f t="shared" si="11"/>
        <v>198</v>
      </c>
      <c r="M201" s="328">
        <f t="shared" si="9"/>
        <v>0.4941666666666677</v>
      </c>
      <c r="N201" s="329">
        <f t="shared" si="10"/>
        <v>-1.1076923076923173</v>
      </c>
      <c r="O201" s="327"/>
      <c r="P201" s="327"/>
      <c r="Q201" s="327"/>
      <c r="R201" s="327"/>
      <c r="S201" s="327"/>
      <c r="U201" s="328"/>
      <c r="W201" s="327"/>
      <c r="X201" s="327"/>
      <c r="Y201" s="327"/>
      <c r="Z201" s="327"/>
      <c r="AA201" s="327"/>
      <c r="AB201" s="327"/>
      <c r="AC201" s="327"/>
      <c r="AD201" s="327"/>
      <c r="AE201" s="327"/>
      <c r="AF201" s="327"/>
      <c r="AG201" s="327"/>
      <c r="AH201" s="327"/>
      <c r="AI201" s="327"/>
      <c r="AJ201" s="327"/>
      <c r="AK201" s="327"/>
      <c r="AL201" s="327"/>
      <c r="AM201" s="327"/>
      <c r="AN201" s="327"/>
      <c r="AO201" s="327"/>
      <c r="AP201" s="327"/>
      <c r="AQ201" s="327"/>
      <c r="AR201" s="327"/>
      <c r="AS201" s="327"/>
      <c r="AT201" s="327"/>
      <c r="AU201" s="327"/>
      <c r="AV201" s="327"/>
      <c r="AW201" s="327"/>
      <c r="AX201" s="327"/>
      <c r="AY201" s="327"/>
      <c r="AZ201" s="327"/>
    </row>
    <row r="202" spans="12:52">
      <c r="L202" s="325">
        <f t="shared" si="11"/>
        <v>199</v>
      </c>
      <c r="M202" s="328">
        <f t="shared" si="9"/>
        <v>0.49708333333333438</v>
      </c>
      <c r="N202" s="329">
        <f t="shared" si="10"/>
        <v>-1.1307692307692407</v>
      </c>
      <c r="O202" s="327"/>
      <c r="P202" s="327"/>
      <c r="Q202" s="327"/>
      <c r="R202" s="327"/>
      <c r="S202" s="327"/>
      <c r="U202" s="328"/>
      <c r="W202" s="327"/>
      <c r="X202" s="327"/>
      <c r="Y202" s="327"/>
      <c r="Z202" s="327"/>
      <c r="AA202" s="327"/>
      <c r="AB202" s="327"/>
      <c r="AC202" s="327"/>
      <c r="AD202" s="327"/>
      <c r="AE202" s="327"/>
      <c r="AF202" s="327"/>
      <c r="AG202" s="327"/>
      <c r="AH202" s="327"/>
      <c r="AI202" s="327"/>
      <c r="AJ202" s="327"/>
      <c r="AK202" s="327"/>
      <c r="AL202" s="327"/>
      <c r="AM202" s="327"/>
      <c r="AN202" s="327"/>
      <c r="AO202" s="327"/>
      <c r="AP202" s="327"/>
      <c r="AQ202" s="327"/>
      <c r="AR202" s="327"/>
      <c r="AS202" s="327"/>
      <c r="AT202" s="327"/>
      <c r="AU202" s="327"/>
      <c r="AV202" s="327"/>
      <c r="AW202" s="327"/>
      <c r="AX202" s="327"/>
      <c r="AY202" s="327"/>
      <c r="AZ202" s="327"/>
    </row>
    <row r="203" spans="12:52">
      <c r="L203" s="325">
        <f t="shared" si="11"/>
        <v>200</v>
      </c>
      <c r="M203" s="328">
        <f t="shared" si="9"/>
        <v>0.500000000000001</v>
      </c>
      <c r="N203" s="329">
        <f t="shared" si="10"/>
        <v>-1.1538461538461633</v>
      </c>
      <c r="O203" s="327"/>
      <c r="P203" s="327"/>
      <c r="Q203" s="327"/>
      <c r="R203" s="327"/>
      <c r="S203" s="327"/>
      <c r="U203" s="328"/>
      <c r="W203" s="327"/>
      <c r="X203" s="327"/>
      <c r="Y203" s="327"/>
      <c r="Z203" s="327"/>
      <c r="AA203" s="327"/>
      <c r="AB203" s="327"/>
      <c r="AC203" s="327"/>
      <c r="AD203" s="327"/>
      <c r="AE203" s="327"/>
      <c r="AF203" s="327"/>
      <c r="AG203" s="327"/>
      <c r="AH203" s="327"/>
      <c r="AI203" s="327"/>
      <c r="AJ203" s="327"/>
      <c r="AK203" s="327"/>
      <c r="AL203" s="327"/>
      <c r="AM203" s="327"/>
      <c r="AN203" s="327"/>
      <c r="AO203" s="327"/>
      <c r="AP203" s="327"/>
      <c r="AQ203" s="327"/>
      <c r="AR203" s="327"/>
      <c r="AS203" s="327"/>
      <c r="AT203" s="327"/>
      <c r="AU203" s="327"/>
      <c r="AV203" s="327"/>
      <c r="AW203" s="327"/>
      <c r="AX203" s="327"/>
      <c r="AY203" s="327"/>
      <c r="AZ203" s="327"/>
    </row>
    <row r="204" spans="12:52">
      <c r="L204" s="325">
        <f t="shared" si="11"/>
        <v>201</v>
      </c>
      <c r="M204" s="328">
        <f>1/($B$29*10^3)*10^6+M4</f>
        <v>0.50208333333333333</v>
      </c>
      <c r="N204" s="329">
        <f t="shared" ref="N204:N219" si="12">N4</f>
        <v>-1.130769230769231</v>
      </c>
      <c r="O204" s="327"/>
      <c r="P204" s="327"/>
      <c r="Q204" s="327"/>
      <c r="R204" s="327"/>
      <c r="U204" s="328"/>
      <c r="W204" s="327"/>
      <c r="X204" s="327"/>
      <c r="Y204" s="327"/>
      <c r="Z204" s="327"/>
      <c r="AA204" s="327"/>
      <c r="AB204" s="327"/>
      <c r="AC204" s="327"/>
      <c r="AD204" s="327"/>
      <c r="AE204" s="327"/>
      <c r="AF204" s="327"/>
      <c r="AG204" s="327"/>
      <c r="AH204" s="327"/>
      <c r="AI204" s="327"/>
      <c r="AJ204" s="327"/>
      <c r="AK204" s="327"/>
      <c r="AL204" s="327"/>
      <c r="AM204" s="327"/>
      <c r="AN204" s="327"/>
      <c r="AO204" s="327"/>
      <c r="AP204" s="327"/>
      <c r="AQ204" s="327"/>
      <c r="AR204" s="327"/>
      <c r="AS204" s="327"/>
      <c r="AT204" s="327"/>
      <c r="AU204" s="327"/>
      <c r="AV204" s="327"/>
      <c r="AW204" s="327"/>
      <c r="AX204" s="327"/>
      <c r="AY204" s="327"/>
      <c r="AZ204" s="327"/>
    </row>
    <row r="205" spans="12:52">
      <c r="L205" s="325">
        <f t="shared" si="11"/>
        <v>202</v>
      </c>
      <c r="M205" s="328">
        <f t="shared" ref="M205:M268" si="13">1/($B$29*10^3)*10^6+M5</f>
        <v>0.50416666666666665</v>
      </c>
      <c r="N205" s="329">
        <f t="shared" si="12"/>
        <v>-1.1076923076923078</v>
      </c>
      <c r="O205" s="327"/>
      <c r="P205" s="327"/>
      <c r="Q205" s="327"/>
      <c r="R205" s="327"/>
    </row>
    <row r="206" spans="12:52">
      <c r="L206" s="325">
        <f t="shared" si="11"/>
        <v>203</v>
      </c>
      <c r="M206" s="328">
        <f t="shared" si="13"/>
        <v>0.50624999999999998</v>
      </c>
      <c r="N206" s="329">
        <f t="shared" si="12"/>
        <v>-1.0846153846153848</v>
      </c>
      <c r="O206" s="327"/>
      <c r="P206" s="327"/>
      <c r="Q206" s="327"/>
      <c r="R206" s="327"/>
    </row>
    <row r="207" spans="12:52">
      <c r="L207" s="325">
        <f t="shared" si="11"/>
        <v>204</v>
      </c>
      <c r="M207" s="328">
        <f t="shared" si="13"/>
        <v>0.5083333333333333</v>
      </c>
      <c r="N207" s="329">
        <f t="shared" si="12"/>
        <v>-1.0615384615384618</v>
      </c>
      <c r="O207" s="327"/>
      <c r="P207" s="327"/>
      <c r="Q207" s="327"/>
      <c r="R207" s="327"/>
    </row>
    <row r="208" spans="12:52">
      <c r="L208" s="325">
        <f t="shared" si="11"/>
        <v>205</v>
      </c>
      <c r="M208" s="328">
        <f t="shared" si="13"/>
        <v>0.51041666666666663</v>
      </c>
      <c r="N208" s="329">
        <f t="shared" si="12"/>
        <v>-1.0384615384615385</v>
      </c>
      <c r="O208" s="327"/>
      <c r="P208" s="327"/>
      <c r="Q208" s="327"/>
      <c r="R208" s="327"/>
    </row>
    <row r="209" spans="12:18">
      <c r="L209" s="325">
        <f t="shared" si="11"/>
        <v>206</v>
      </c>
      <c r="M209" s="328">
        <f t="shared" si="13"/>
        <v>0.51249999999999996</v>
      </c>
      <c r="N209" s="329">
        <f t="shared" si="12"/>
        <v>-1.0153846153846156</v>
      </c>
      <c r="O209" s="327"/>
      <c r="P209" s="327"/>
      <c r="Q209" s="327"/>
      <c r="R209" s="327"/>
    </row>
    <row r="210" spans="12:18">
      <c r="L210" s="325">
        <f t="shared" si="11"/>
        <v>207</v>
      </c>
      <c r="M210" s="328">
        <f t="shared" si="13"/>
        <v>0.51458333333333328</v>
      </c>
      <c r="N210" s="329">
        <f t="shared" si="12"/>
        <v>-0.99230769230769245</v>
      </c>
      <c r="O210" s="327"/>
      <c r="P210" s="327"/>
      <c r="Q210" s="327"/>
      <c r="R210" s="327"/>
    </row>
    <row r="211" spans="12:18">
      <c r="L211" s="325">
        <f t="shared" si="11"/>
        <v>208</v>
      </c>
      <c r="M211" s="328">
        <f t="shared" si="13"/>
        <v>0.51666666666666672</v>
      </c>
      <c r="N211" s="329">
        <f t="shared" si="12"/>
        <v>-0.96923076923076934</v>
      </c>
      <c r="O211" s="327"/>
      <c r="P211" s="327"/>
      <c r="Q211" s="327"/>
      <c r="R211" s="327"/>
    </row>
    <row r="212" spans="12:18">
      <c r="L212" s="325">
        <f t="shared" si="11"/>
        <v>209</v>
      </c>
      <c r="M212" s="328">
        <f t="shared" si="13"/>
        <v>0.51875000000000004</v>
      </c>
      <c r="N212" s="329">
        <f t="shared" si="12"/>
        <v>-0.94615384615384623</v>
      </c>
      <c r="O212" s="327"/>
      <c r="P212" s="327"/>
      <c r="Q212" s="327"/>
      <c r="R212" s="327"/>
    </row>
    <row r="213" spans="12:18">
      <c r="L213" s="325">
        <f t="shared" si="11"/>
        <v>210</v>
      </c>
      <c r="M213" s="328">
        <f t="shared" si="13"/>
        <v>0.52083333333333337</v>
      </c>
      <c r="N213" s="329">
        <f t="shared" si="12"/>
        <v>-0.92307692307692313</v>
      </c>
      <c r="O213" s="327"/>
      <c r="P213" s="327"/>
      <c r="Q213" s="327"/>
      <c r="R213" s="327"/>
    </row>
    <row r="214" spans="12:18">
      <c r="L214" s="325">
        <f t="shared" si="11"/>
        <v>211</v>
      </c>
      <c r="M214" s="328">
        <f t="shared" si="13"/>
        <v>0.5229166666666667</v>
      </c>
      <c r="N214" s="329">
        <f t="shared" si="12"/>
        <v>-0.90000000000000013</v>
      </c>
      <c r="O214" s="327"/>
      <c r="P214" s="327"/>
      <c r="Q214" s="327"/>
      <c r="R214" s="327"/>
    </row>
    <row r="215" spans="12:18">
      <c r="L215" s="325">
        <f t="shared" si="11"/>
        <v>212</v>
      </c>
      <c r="M215" s="328">
        <f t="shared" si="13"/>
        <v>0.52500000000000002</v>
      </c>
      <c r="N215" s="329">
        <f t="shared" si="12"/>
        <v>-0.87692307692307703</v>
      </c>
      <c r="O215" s="327"/>
      <c r="P215" s="327"/>
      <c r="Q215" s="327"/>
      <c r="R215" s="327"/>
    </row>
    <row r="216" spans="12:18">
      <c r="L216" s="325">
        <f t="shared" si="11"/>
        <v>213</v>
      </c>
      <c r="M216" s="328">
        <f t="shared" si="13"/>
        <v>0.52708333333333335</v>
      </c>
      <c r="N216" s="329">
        <f t="shared" si="12"/>
        <v>-0.85384615384615392</v>
      </c>
      <c r="O216" s="327"/>
      <c r="P216" s="327"/>
      <c r="Q216" s="327"/>
      <c r="R216" s="327"/>
    </row>
    <row r="217" spans="12:18">
      <c r="L217" s="325">
        <f t="shared" si="11"/>
        <v>214</v>
      </c>
      <c r="M217" s="328">
        <f t="shared" si="13"/>
        <v>0.52916666666666667</v>
      </c>
      <c r="N217" s="329">
        <f t="shared" si="12"/>
        <v>-0.83076923076923093</v>
      </c>
      <c r="O217" s="327"/>
      <c r="P217" s="327"/>
      <c r="Q217" s="327"/>
      <c r="R217" s="327"/>
    </row>
    <row r="218" spans="12:18">
      <c r="L218" s="325">
        <f t="shared" si="11"/>
        <v>215</v>
      </c>
      <c r="M218" s="328">
        <f t="shared" si="13"/>
        <v>0.53125</v>
      </c>
      <c r="N218" s="329">
        <f t="shared" si="12"/>
        <v>-0.80769230769230782</v>
      </c>
      <c r="O218" s="327"/>
      <c r="P218" s="327"/>
      <c r="Q218" s="327"/>
      <c r="R218" s="327"/>
    </row>
    <row r="219" spans="12:18">
      <c r="L219" s="325">
        <f t="shared" si="11"/>
        <v>216</v>
      </c>
      <c r="M219" s="328">
        <f t="shared" si="13"/>
        <v>0.53333333333333333</v>
      </c>
      <c r="N219" s="329">
        <f t="shared" si="12"/>
        <v>-0.78461538461538471</v>
      </c>
      <c r="O219" s="327"/>
      <c r="P219" s="327"/>
      <c r="Q219" s="327"/>
      <c r="R219" s="327"/>
    </row>
    <row r="220" spans="12:18">
      <c r="L220" s="325">
        <f t="shared" si="11"/>
        <v>217</v>
      </c>
      <c r="M220" s="328">
        <f t="shared" si="13"/>
        <v>0.53541666666666665</v>
      </c>
      <c r="N220" s="329">
        <f t="shared" ref="N220:N235" si="14">N20</f>
        <v>-0.76153846153846161</v>
      </c>
      <c r="O220" s="327"/>
      <c r="P220" s="327"/>
      <c r="Q220" s="327"/>
      <c r="R220" s="327"/>
    </row>
    <row r="221" spans="12:18">
      <c r="L221" s="325">
        <f t="shared" si="11"/>
        <v>218</v>
      </c>
      <c r="M221" s="328">
        <f t="shared" si="13"/>
        <v>0.53749999999999998</v>
      </c>
      <c r="N221" s="329">
        <f t="shared" si="14"/>
        <v>-0.7384615384615385</v>
      </c>
      <c r="O221" s="327"/>
      <c r="P221" s="327"/>
      <c r="Q221" s="327"/>
      <c r="R221" s="327"/>
    </row>
    <row r="222" spans="12:18">
      <c r="L222" s="325">
        <f t="shared" si="11"/>
        <v>219</v>
      </c>
      <c r="M222" s="328">
        <f t="shared" si="13"/>
        <v>0.5395833333333333</v>
      </c>
      <c r="N222" s="329">
        <f t="shared" si="14"/>
        <v>-0.71538461538461551</v>
      </c>
      <c r="O222" s="327"/>
      <c r="P222" s="327"/>
      <c r="Q222" s="327"/>
      <c r="R222" s="327"/>
    </row>
    <row r="223" spans="12:18">
      <c r="L223" s="325">
        <f t="shared" si="11"/>
        <v>220</v>
      </c>
      <c r="M223" s="328">
        <f t="shared" si="13"/>
        <v>0.54166666666666663</v>
      </c>
      <c r="N223" s="329">
        <f t="shared" si="14"/>
        <v>-0.6923076923076924</v>
      </c>
      <c r="O223" s="327"/>
      <c r="P223" s="327"/>
      <c r="Q223" s="327"/>
      <c r="R223" s="327"/>
    </row>
    <row r="224" spans="12:18">
      <c r="L224" s="325">
        <f t="shared" si="11"/>
        <v>221</v>
      </c>
      <c r="M224" s="328">
        <f t="shared" si="13"/>
        <v>0.54374999999999996</v>
      </c>
      <c r="N224" s="329">
        <f t="shared" si="14"/>
        <v>-0.6692307692307693</v>
      </c>
      <c r="O224" s="327"/>
      <c r="P224" s="327"/>
      <c r="Q224" s="327"/>
      <c r="R224" s="327"/>
    </row>
    <row r="225" spans="12:18">
      <c r="L225" s="325">
        <f t="shared" si="11"/>
        <v>222</v>
      </c>
      <c r="M225" s="328">
        <f t="shared" si="13"/>
        <v>0.54583333333333328</v>
      </c>
      <c r="N225" s="329">
        <f t="shared" si="14"/>
        <v>-0.64615384615384619</v>
      </c>
      <c r="O225" s="327"/>
      <c r="P225" s="327"/>
      <c r="Q225" s="327"/>
      <c r="R225" s="327"/>
    </row>
    <row r="226" spans="12:18">
      <c r="L226" s="325">
        <f t="shared" si="11"/>
        <v>223</v>
      </c>
      <c r="M226" s="328">
        <f t="shared" si="13"/>
        <v>0.54791666666666661</v>
      </c>
      <c r="N226" s="329">
        <f t="shared" si="14"/>
        <v>-0.62307692307692319</v>
      </c>
      <c r="O226" s="327"/>
      <c r="P226" s="327"/>
      <c r="Q226" s="327"/>
      <c r="R226" s="327"/>
    </row>
    <row r="227" spans="12:18">
      <c r="L227" s="325">
        <f t="shared" si="11"/>
        <v>224</v>
      </c>
      <c r="M227" s="328">
        <f t="shared" si="13"/>
        <v>0.55000000000000004</v>
      </c>
      <c r="N227" s="329">
        <f t="shared" si="14"/>
        <v>-0.60000000000000009</v>
      </c>
      <c r="O227" s="327"/>
      <c r="P227" s="327"/>
      <c r="Q227" s="327"/>
      <c r="R227" s="327"/>
    </row>
    <row r="228" spans="12:18">
      <c r="L228" s="325">
        <f t="shared" si="11"/>
        <v>225</v>
      </c>
      <c r="M228" s="328">
        <f t="shared" si="13"/>
        <v>0.55208333333333337</v>
      </c>
      <c r="N228" s="329">
        <f t="shared" si="14"/>
        <v>-0.57692307692307698</v>
      </c>
      <c r="O228" s="327"/>
      <c r="P228" s="327"/>
      <c r="Q228" s="327"/>
      <c r="R228" s="327"/>
    </row>
    <row r="229" spans="12:18">
      <c r="L229" s="325">
        <f t="shared" si="11"/>
        <v>226</v>
      </c>
      <c r="M229" s="328">
        <f t="shared" si="13"/>
        <v>0.5541666666666667</v>
      </c>
      <c r="N229" s="329">
        <f t="shared" si="14"/>
        <v>-0.55384615384615399</v>
      </c>
      <c r="O229" s="327"/>
      <c r="P229" s="327"/>
      <c r="Q229" s="327"/>
      <c r="R229" s="327"/>
    </row>
    <row r="230" spans="12:18">
      <c r="L230" s="325">
        <f t="shared" si="11"/>
        <v>227</v>
      </c>
      <c r="M230" s="328">
        <f t="shared" si="13"/>
        <v>0.55625000000000002</v>
      </c>
      <c r="N230" s="329">
        <f t="shared" si="14"/>
        <v>-0.53076923076923088</v>
      </c>
      <c r="O230" s="327"/>
      <c r="P230" s="327"/>
      <c r="Q230" s="327"/>
      <c r="R230" s="327"/>
    </row>
    <row r="231" spans="12:18">
      <c r="L231" s="325">
        <f t="shared" si="11"/>
        <v>228</v>
      </c>
      <c r="M231" s="328">
        <f t="shared" si="13"/>
        <v>0.55833333333333335</v>
      </c>
      <c r="N231" s="329">
        <f t="shared" si="14"/>
        <v>-0.50769230769230778</v>
      </c>
      <c r="O231" s="327"/>
      <c r="P231" s="327"/>
      <c r="Q231" s="327"/>
      <c r="R231" s="327"/>
    </row>
    <row r="232" spans="12:18">
      <c r="L232" s="325">
        <f t="shared" si="11"/>
        <v>229</v>
      </c>
      <c r="M232" s="328">
        <f t="shared" si="13"/>
        <v>0.56041666666666667</v>
      </c>
      <c r="N232" s="329">
        <f t="shared" si="14"/>
        <v>-0.48461538461538467</v>
      </c>
      <c r="O232" s="327"/>
      <c r="P232" s="327"/>
      <c r="Q232" s="327"/>
      <c r="R232" s="327"/>
    </row>
    <row r="233" spans="12:18">
      <c r="L233" s="325">
        <f t="shared" si="11"/>
        <v>230</v>
      </c>
      <c r="M233" s="328">
        <f t="shared" si="13"/>
        <v>0.5625</v>
      </c>
      <c r="N233" s="329">
        <f t="shared" si="14"/>
        <v>-0.46153846153846168</v>
      </c>
      <c r="O233" s="327"/>
      <c r="P233" s="327"/>
      <c r="Q233" s="327"/>
      <c r="R233" s="327"/>
    </row>
    <row r="234" spans="12:18">
      <c r="L234" s="325">
        <f t="shared" si="11"/>
        <v>231</v>
      </c>
      <c r="M234" s="328">
        <f t="shared" si="13"/>
        <v>0.56458333333333333</v>
      </c>
      <c r="N234" s="329">
        <f t="shared" si="14"/>
        <v>-0.43846153846153857</v>
      </c>
      <c r="O234" s="327"/>
      <c r="P234" s="327"/>
      <c r="Q234" s="327"/>
      <c r="R234" s="327"/>
    </row>
    <row r="235" spans="12:18">
      <c r="L235" s="325">
        <f t="shared" si="11"/>
        <v>232</v>
      </c>
      <c r="M235" s="328">
        <f t="shared" si="13"/>
        <v>0.56666666666666665</v>
      </c>
      <c r="N235" s="329">
        <f t="shared" si="14"/>
        <v>-0.41538461538461546</v>
      </c>
      <c r="O235" s="327"/>
      <c r="P235" s="327"/>
      <c r="Q235" s="327"/>
      <c r="R235" s="327"/>
    </row>
    <row r="236" spans="12:18">
      <c r="L236" s="325">
        <f t="shared" si="11"/>
        <v>233</v>
      </c>
      <c r="M236" s="328">
        <f t="shared" si="13"/>
        <v>0.56874999999999998</v>
      </c>
      <c r="N236" s="329">
        <f t="shared" ref="N236:N251" si="15">N36</f>
        <v>-0.39230769230769225</v>
      </c>
      <c r="O236" s="327"/>
      <c r="P236" s="327"/>
      <c r="Q236" s="327"/>
      <c r="R236" s="327"/>
    </row>
    <row r="237" spans="12:18">
      <c r="L237" s="325">
        <f t="shared" si="11"/>
        <v>234</v>
      </c>
      <c r="M237" s="328">
        <f t="shared" si="13"/>
        <v>0.5708333333333333</v>
      </c>
      <c r="N237" s="329">
        <f t="shared" si="15"/>
        <v>-0.36923076923076914</v>
      </c>
      <c r="O237" s="327"/>
      <c r="P237" s="327"/>
      <c r="Q237" s="327"/>
      <c r="R237" s="327"/>
    </row>
    <row r="238" spans="12:18">
      <c r="L238" s="325">
        <f t="shared" si="11"/>
        <v>235</v>
      </c>
      <c r="M238" s="328">
        <f t="shared" si="13"/>
        <v>0.57291666666666674</v>
      </c>
      <c r="N238" s="329">
        <f t="shared" si="15"/>
        <v>-0.34615384615384592</v>
      </c>
      <c r="O238" s="327"/>
      <c r="P238" s="327"/>
      <c r="Q238" s="327"/>
      <c r="R238" s="327"/>
    </row>
    <row r="239" spans="12:18">
      <c r="L239" s="325">
        <f t="shared" si="11"/>
        <v>236</v>
      </c>
      <c r="M239" s="328">
        <f t="shared" si="13"/>
        <v>0.57500000000000007</v>
      </c>
      <c r="N239" s="329">
        <f t="shared" si="15"/>
        <v>-0.32307692307692282</v>
      </c>
      <c r="O239" s="327"/>
      <c r="P239" s="327"/>
      <c r="Q239" s="327"/>
      <c r="R239" s="327"/>
    </row>
    <row r="240" spans="12:18">
      <c r="L240" s="325">
        <f t="shared" si="11"/>
        <v>237</v>
      </c>
      <c r="M240" s="328">
        <f t="shared" si="13"/>
        <v>0.57708333333333339</v>
      </c>
      <c r="N240" s="329">
        <f t="shared" si="15"/>
        <v>-0.2999999999999996</v>
      </c>
      <c r="O240" s="327"/>
      <c r="P240" s="327"/>
      <c r="Q240" s="327"/>
      <c r="R240" s="327"/>
    </row>
    <row r="241" spans="12:18">
      <c r="L241" s="325">
        <f t="shared" si="11"/>
        <v>238</v>
      </c>
      <c r="M241" s="328">
        <f t="shared" si="13"/>
        <v>0.57916666666666672</v>
      </c>
      <c r="N241" s="329">
        <f t="shared" si="15"/>
        <v>-0.27692307692307649</v>
      </c>
      <c r="O241" s="327"/>
      <c r="P241" s="327"/>
      <c r="Q241" s="327"/>
      <c r="R241" s="327"/>
    </row>
    <row r="242" spans="12:18">
      <c r="L242" s="325">
        <f t="shared" si="11"/>
        <v>239</v>
      </c>
      <c r="M242" s="328">
        <f t="shared" si="13"/>
        <v>0.58125000000000004</v>
      </c>
      <c r="N242" s="329">
        <f t="shared" si="15"/>
        <v>-0.25384615384615339</v>
      </c>
      <c r="O242" s="327"/>
      <c r="P242" s="327"/>
      <c r="Q242" s="327"/>
      <c r="R242" s="327"/>
    </row>
    <row r="243" spans="12:18">
      <c r="L243" s="325">
        <f t="shared" si="11"/>
        <v>240</v>
      </c>
      <c r="M243" s="328">
        <f t="shared" si="13"/>
        <v>0.58333333333333337</v>
      </c>
      <c r="N243" s="329">
        <f t="shared" si="15"/>
        <v>-0.23076923076923017</v>
      </c>
      <c r="O243" s="327"/>
      <c r="P243" s="327"/>
      <c r="Q243" s="327"/>
      <c r="R243" s="327"/>
    </row>
    <row r="244" spans="12:18">
      <c r="L244" s="325">
        <f t="shared" si="11"/>
        <v>241</v>
      </c>
      <c r="M244" s="328">
        <f t="shared" si="13"/>
        <v>0.5854166666666667</v>
      </c>
      <c r="N244" s="329">
        <f t="shared" si="15"/>
        <v>-0.20769230769230707</v>
      </c>
      <c r="O244" s="327"/>
      <c r="P244" s="327"/>
      <c r="Q244" s="327"/>
      <c r="R244" s="327"/>
    </row>
    <row r="245" spans="12:18">
      <c r="L245" s="325">
        <f t="shared" si="11"/>
        <v>242</v>
      </c>
      <c r="M245" s="328">
        <f t="shared" si="13"/>
        <v>0.58750000000000002</v>
      </c>
      <c r="N245" s="329">
        <f t="shared" si="15"/>
        <v>-0.18461538461538385</v>
      </c>
      <c r="O245" s="327"/>
      <c r="P245" s="327"/>
      <c r="Q245" s="327"/>
      <c r="R245" s="327"/>
    </row>
    <row r="246" spans="12:18">
      <c r="L246" s="325">
        <f t="shared" si="11"/>
        <v>243</v>
      </c>
      <c r="M246" s="328">
        <f t="shared" si="13"/>
        <v>0.58958333333333335</v>
      </c>
      <c r="N246" s="329">
        <f t="shared" si="15"/>
        <v>-0.16153846153846074</v>
      </c>
      <c r="O246" s="327"/>
      <c r="P246" s="327"/>
      <c r="Q246" s="327"/>
      <c r="R246" s="327"/>
    </row>
    <row r="247" spans="12:18">
      <c r="L247" s="325">
        <f t="shared" si="11"/>
        <v>244</v>
      </c>
      <c r="M247" s="328">
        <f t="shared" si="13"/>
        <v>0.59166666666666679</v>
      </c>
      <c r="N247" s="329">
        <f t="shared" si="15"/>
        <v>-0.13846153846153753</v>
      </c>
      <c r="O247" s="327"/>
      <c r="P247" s="327"/>
      <c r="Q247" s="327"/>
      <c r="R247" s="327"/>
    </row>
    <row r="248" spans="12:18">
      <c r="L248" s="325">
        <f t="shared" si="11"/>
        <v>245</v>
      </c>
      <c r="M248" s="328">
        <f t="shared" si="13"/>
        <v>0.59375000000000011</v>
      </c>
      <c r="N248" s="329">
        <f t="shared" si="15"/>
        <v>-0.11538461538461453</v>
      </c>
      <c r="O248" s="327"/>
      <c r="P248" s="327"/>
      <c r="Q248" s="327"/>
      <c r="R248" s="327"/>
    </row>
    <row r="249" spans="12:18">
      <c r="L249" s="325">
        <f t="shared" si="11"/>
        <v>246</v>
      </c>
      <c r="M249" s="328">
        <f t="shared" si="13"/>
        <v>0.59583333333333344</v>
      </c>
      <c r="N249" s="329">
        <f t="shared" si="15"/>
        <v>-9.2307692307691314E-2</v>
      </c>
      <c r="O249" s="327"/>
      <c r="P249" s="327"/>
      <c r="Q249" s="327"/>
      <c r="R249" s="327"/>
    </row>
    <row r="250" spans="12:18">
      <c r="L250" s="325">
        <f t="shared" si="11"/>
        <v>247</v>
      </c>
      <c r="M250" s="328">
        <f t="shared" si="13"/>
        <v>0.59791666666666676</v>
      </c>
      <c r="N250" s="329">
        <f t="shared" si="15"/>
        <v>-6.9230769230768097E-2</v>
      </c>
      <c r="O250" s="327"/>
      <c r="P250" s="327"/>
      <c r="Q250" s="327"/>
      <c r="R250" s="327"/>
    </row>
    <row r="251" spans="12:18">
      <c r="L251" s="325">
        <f t="shared" si="11"/>
        <v>248</v>
      </c>
      <c r="M251" s="328">
        <f t="shared" si="13"/>
        <v>0.60000000000000009</v>
      </c>
      <c r="N251" s="329">
        <f t="shared" si="15"/>
        <v>-4.615384615384488E-2</v>
      </c>
      <c r="O251" s="327"/>
      <c r="P251" s="327"/>
      <c r="Q251" s="327"/>
      <c r="R251" s="327"/>
    </row>
    <row r="252" spans="12:18">
      <c r="L252" s="325">
        <f t="shared" si="11"/>
        <v>249</v>
      </c>
      <c r="M252" s="328">
        <f t="shared" si="13"/>
        <v>0.60208333333333341</v>
      </c>
      <c r="N252" s="329">
        <f t="shared" ref="N252:N267" si="16">N52</f>
        <v>-2.3076923076921885E-2</v>
      </c>
      <c r="O252" s="327"/>
      <c r="P252" s="327"/>
      <c r="Q252" s="327"/>
      <c r="R252" s="327"/>
    </row>
    <row r="253" spans="12:18">
      <c r="L253" s="325">
        <f t="shared" si="11"/>
        <v>250</v>
      </c>
      <c r="M253" s="328">
        <f t="shared" si="13"/>
        <v>0.60416666666666674</v>
      </c>
      <c r="N253" s="329">
        <f t="shared" si="16"/>
        <v>1.3322676295501878E-15</v>
      </c>
      <c r="O253" s="327"/>
      <c r="P253" s="327"/>
      <c r="Q253" s="327"/>
      <c r="R253" s="327"/>
    </row>
    <row r="254" spans="12:18">
      <c r="L254" s="325">
        <f t="shared" si="11"/>
        <v>251</v>
      </c>
      <c r="M254" s="328">
        <f t="shared" si="13"/>
        <v>0.60625000000000018</v>
      </c>
      <c r="N254" s="329">
        <f t="shared" si="16"/>
        <v>2.3076923076924549E-2</v>
      </c>
      <c r="O254" s="327"/>
      <c r="P254" s="327"/>
      <c r="Q254" s="327"/>
      <c r="R254" s="327"/>
    </row>
    <row r="255" spans="12:18">
      <c r="L255" s="325">
        <f t="shared" si="11"/>
        <v>252</v>
      </c>
      <c r="M255" s="328">
        <f t="shared" si="13"/>
        <v>0.6083333333333335</v>
      </c>
      <c r="N255" s="329">
        <f t="shared" si="16"/>
        <v>4.6153846153847544E-2</v>
      </c>
      <c r="O255" s="327"/>
      <c r="P255" s="327"/>
      <c r="Q255" s="327"/>
      <c r="R255" s="327"/>
    </row>
    <row r="256" spans="12:18">
      <c r="L256" s="325">
        <f t="shared" si="11"/>
        <v>253</v>
      </c>
      <c r="M256" s="328">
        <f t="shared" si="13"/>
        <v>0.61041666666666683</v>
      </c>
      <c r="N256" s="329">
        <f t="shared" si="16"/>
        <v>6.9230769230770761E-2</v>
      </c>
      <c r="O256" s="327"/>
      <c r="P256" s="327"/>
      <c r="Q256" s="327"/>
      <c r="R256" s="327"/>
    </row>
    <row r="257" spans="12:18">
      <c r="L257" s="325">
        <f t="shared" si="11"/>
        <v>254</v>
      </c>
      <c r="M257" s="328">
        <f t="shared" si="13"/>
        <v>0.61250000000000016</v>
      </c>
      <c r="N257" s="329">
        <f t="shared" si="16"/>
        <v>9.2307692307693978E-2</v>
      </c>
      <c r="O257" s="327"/>
      <c r="P257" s="327"/>
      <c r="Q257" s="327"/>
      <c r="R257" s="327"/>
    </row>
    <row r="258" spans="12:18">
      <c r="L258" s="325">
        <f t="shared" si="11"/>
        <v>255</v>
      </c>
      <c r="M258" s="328">
        <f t="shared" si="13"/>
        <v>0.61458333333333348</v>
      </c>
      <c r="N258" s="329">
        <f t="shared" si="16"/>
        <v>0.11538461538461697</v>
      </c>
      <c r="O258" s="327"/>
      <c r="P258" s="327"/>
      <c r="Q258" s="327"/>
      <c r="R258" s="327"/>
    </row>
    <row r="259" spans="12:18">
      <c r="L259" s="325">
        <f t="shared" si="11"/>
        <v>256</v>
      </c>
      <c r="M259" s="328">
        <f t="shared" si="13"/>
        <v>0.61666666666666681</v>
      </c>
      <c r="N259" s="329">
        <f t="shared" si="16"/>
        <v>0.13846153846154019</v>
      </c>
      <c r="O259" s="327"/>
      <c r="P259" s="327"/>
      <c r="Q259" s="327"/>
      <c r="R259" s="327"/>
    </row>
    <row r="260" spans="12:18">
      <c r="L260" s="325">
        <f t="shared" si="11"/>
        <v>257</v>
      </c>
      <c r="M260" s="328">
        <f t="shared" si="13"/>
        <v>0.61875000000000013</v>
      </c>
      <c r="N260" s="329">
        <f t="shared" si="16"/>
        <v>0.16153846153846341</v>
      </c>
      <c r="O260" s="327"/>
      <c r="P260" s="327"/>
      <c r="Q260" s="327"/>
      <c r="R260" s="327"/>
    </row>
    <row r="261" spans="12:18">
      <c r="L261" s="325">
        <f t="shared" ref="L261:L324" si="17">L260+1</f>
        <v>258</v>
      </c>
      <c r="M261" s="328">
        <f t="shared" si="13"/>
        <v>0.62083333333333346</v>
      </c>
      <c r="N261" s="329">
        <f t="shared" si="16"/>
        <v>0.18461538461538662</v>
      </c>
      <c r="O261" s="327"/>
      <c r="P261" s="327"/>
      <c r="Q261" s="327"/>
      <c r="R261" s="327"/>
    </row>
    <row r="262" spans="12:18">
      <c r="L262" s="325">
        <f t="shared" si="17"/>
        <v>259</v>
      </c>
      <c r="M262" s="328">
        <f t="shared" si="13"/>
        <v>0.62291666666666679</v>
      </c>
      <c r="N262" s="329">
        <f t="shared" si="16"/>
        <v>0.20769230769230962</v>
      </c>
      <c r="O262" s="327"/>
      <c r="P262" s="327"/>
      <c r="Q262" s="327"/>
      <c r="R262" s="327"/>
    </row>
    <row r="263" spans="12:18">
      <c r="L263" s="325">
        <f t="shared" si="17"/>
        <v>260</v>
      </c>
      <c r="M263" s="328">
        <f t="shared" si="13"/>
        <v>0.62500000000000022</v>
      </c>
      <c r="N263" s="329">
        <f t="shared" si="16"/>
        <v>0.23076923076923261</v>
      </c>
      <c r="O263" s="327"/>
      <c r="P263" s="327"/>
      <c r="Q263" s="327"/>
      <c r="R263" s="327"/>
    </row>
    <row r="264" spans="12:18">
      <c r="L264" s="325">
        <f t="shared" si="17"/>
        <v>261</v>
      </c>
      <c r="M264" s="328">
        <f t="shared" si="13"/>
        <v>0.62708333333333344</v>
      </c>
      <c r="N264" s="329">
        <f t="shared" si="16"/>
        <v>0.25384615384615561</v>
      </c>
      <c r="O264" s="327"/>
      <c r="P264" s="327"/>
      <c r="Q264" s="327"/>
      <c r="R264" s="327"/>
    </row>
    <row r="265" spans="12:18">
      <c r="L265" s="325">
        <f t="shared" si="17"/>
        <v>262</v>
      </c>
      <c r="M265" s="328">
        <f t="shared" si="13"/>
        <v>0.62916666666666687</v>
      </c>
      <c r="N265" s="329">
        <f t="shared" si="16"/>
        <v>0.2769230769230786</v>
      </c>
      <c r="O265" s="327"/>
      <c r="P265" s="327"/>
      <c r="Q265" s="327"/>
      <c r="R265" s="327"/>
    </row>
    <row r="266" spans="12:18">
      <c r="L266" s="325">
        <f t="shared" si="17"/>
        <v>263</v>
      </c>
      <c r="M266" s="328">
        <f t="shared" si="13"/>
        <v>0.63125000000000009</v>
      </c>
      <c r="N266" s="329">
        <f t="shared" si="16"/>
        <v>0.3000000000000016</v>
      </c>
      <c r="O266" s="327"/>
      <c r="P266" s="327"/>
      <c r="Q266" s="327"/>
      <c r="R266" s="327"/>
    </row>
    <row r="267" spans="12:18">
      <c r="L267" s="325">
        <f t="shared" si="17"/>
        <v>264</v>
      </c>
      <c r="M267" s="328">
        <f t="shared" si="13"/>
        <v>0.63333333333333353</v>
      </c>
      <c r="N267" s="329">
        <f t="shared" si="16"/>
        <v>0.32307692307692459</v>
      </c>
      <c r="O267" s="327"/>
      <c r="P267" s="327"/>
      <c r="Q267" s="327"/>
      <c r="R267" s="327"/>
    </row>
    <row r="268" spans="12:18">
      <c r="L268" s="325">
        <f t="shared" si="17"/>
        <v>265</v>
      </c>
      <c r="M268" s="328">
        <f t="shared" si="13"/>
        <v>0.63541666666666674</v>
      </c>
      <c r="N268" s="329">
        <f t="shared" ref="N268:N283" si="18">N68</f>
        <v>0.34615384615384759</v>
      </c>
      <c r="O268" s="327"/>
      <c r="P268" s="327"/>
      <c r="Q268" s="327"/>
      <c r="R268" s="327"/>
    </row>
    <row r="269" spans="12:18">
      <c r="L269" s="325">
        <f t="shared" si="17"/>
        <v>266</v>
      </c>
      <c r="M269" s="328">
        <f t="shared" ref="M269:M332" si="19">1/($B$29*10^3)*10^6+M69</f>
        <v>0.63750000000000018</v>
      </c>
      <c r="N269" s="329">
        <f t="shared" si="18"/>
        <v>0.36923076923077058</v>
      </c>
      <c r="O269" s="327"/>
      <c r="P269" s="327"/>
      <c r="Q269" s="327"/>
      <c r="R269" s="327"/>
    </row>
    <row r="270" spans="12:18">
      <c r="L270" s="325">
        <f t="shared" si="17"/>
        <v>267</v>
      </c>
      <c r="M270" s="328">
        <f t="shared" si="19"/>
        <v>0.63958333333333339</v>
      </c>
      <c r="N270" s="329">
        <f t="shared" si="18"/>
        <v>0.39230769230769358</v>
      </c>
      <c r="O270" s="327"/>
      <c r="P270" s="327"/>
      <c r="Q270" s="327"/>
      <c r="R270" s="327"/>
    </row>
    <row r="271" spans="12:18">
      <c r="L271" s="325">
        <f t="shared" si="17"/>
        <v>268</v>
      </c>
      <c r="M271" s="328">
        <f t="shared" si="19"/>
        <v>0.64166666666666683</v>
      </c>
      <c r="N271" s="329">
        <f t="shared" si="18"/>
        <v>0.41538461538461657</v>
      </c>
      <c r="O271" s="327"/>
      <c r="P271" s="327"/>
      <c r="Q271" s="327"/>
      <c r="R271" s="327"/>
    </row>
    <row r="272" spans="12:18">
      <c r="L272" s="325">
        <f t="shared" si="17"/>
        <v>269</v>
      </c>
      <c r="M272" s="328">
        <f t="shared" si="19"/>
        <v>0.64375000000000004</v>
      </c>
      <c r="N272" s="329">
        <f t="shared" si="18"/>
        <v>0.43846153846153957</v>
      </c>
      <c r="O272" s="327"/>
      <c r="P272" s="327"/>
      <c r="Q272" s="327"/>
      <c r="R272" s="327"/>
    </row>
    <row r="273" spans="12:18">
      <c r="L273" s="325">
        <f t="shared" si="17"/>
        <v>270</v>
      </c>
      <c r="M273" s="328">
        <f t="shared" si="19"/>
        <v>0.64583333333333348</v>
      </c>
      <c r="N273" s="329">
        <f t="shared" si="18"/>
        <v>0.46153846153846256</v>
      </c>
      <c r="O273" s="327"/>
      <c r="P273" s="327"/>
      <c r="Q273" s="327"/>
      <c r="R273" s="327"/>
    </row>
    <row r="274" spans="12:18">
      <c r="L274" s="325">
        <f t="shared" si="17"/>
        <v>271</v>
      </c>
      <c r="M274" s="328">
        <f t="shared" si="19"/>
        <v>0.6479166666666667</v>
      </c>
      <c r="N274" s="329">
        <f t="shared" si="18"/>
        <v>0.48461538461538556</v>
      </c>
      <c r="O274" s="327"/>
      <c r="P274" s="327"/>
      <c r="Q274" s="327"/>
      <c r="R274" s="327"/>
    </row>
    <row r="275" spans="12:18">
      <c r="L275" s="325">
        <f t="shared" si="17"/>
        <v>272</v>
      </c>
      <c r="M275" s="328">
        <f t="shared" si="19"/>
        <v>0.65000000000000013</v>
      </c>
      <c r="N275" s="329">
        <f t="shared" si="18"/>
        <v>0.50769230769230855</v>
      </c>
      <c r="O275" s="327"/>
      <c r="P275" s="327"/>
      <c r="Q275" s="327"/>
      <c r="R275" s="327"/>
    </row>
    <row r="276" spans="12:18">
      <c r="L276" s="325">
        <f t="shared" si="17"/>
        <v>273</v>
      </c>
      <c r="M276" s="328">
        <f t="shared" si="19"/>
        <v>0.65208333333333335</v>
      </c>
      <c r="N276" s="329">
        <f t="shared" si="18"/>
        <v>0.53076923076923155</v>
      </c>
      <c r="O276" s="327"/>
      <c r="P276" s="327"/>
      <c r="Q276" s="327"/>
      <c r="R276" s="327"/>
    </row>
    <row r="277" spans="12:18">
      <c r="L277" s="325">
        <f t="shared" si="17"/>
        <v>274</v>
      </c>
      <c r="M277" s="328">
        <f t="shared" si="19"/>
        <v>0.65416666666666679</v>
      </c>
      <c r="N277" s="329">
        <f t="shared" si="18"/>
        <v>0.55384615384615477</v>
      </c>
      <c r="O277" s="327"/>
      <c r="P277" s="327"/>
      <c r="Q277" s="327"/>
      <c r="R277" s="327"/>
    </row>
    <row r="278" spans="12:18">
      <c r="L278" s="325">
        <f t="shared" si="17"/>
        <v>275</v>
      </c>
      <c r="M278" s="328">
        <f t="shared" si="19"/>
        <v>0.65625</v>
      </c>
      <c r="N278" s="329">
        <f t="shared" si="18"/>
        <v>0.57692307692307776</v>
      </c>
      <c r="O278" s="327"/>
      <c r="P278" s="327"/>
      <c r="Q278" s="327"/>
      <c r="R278" s="327"/>
    </row>
    <row r="279" spans="12:18">
      <c r="L279" s="325">
        <f t="shared" si="17"/>
        <v>276</v>
      </c>
      <c r="M279" s="328">
        <f t="shared" si="19"/>
        <v>0.65833333333333344</v>
      </c>
      <c r="N279" s="329">
        <f t="shared" si="18"/>
        <v>0.60000000000000075</v>
      </c>
      <c r="O279" s="327"/>
      <c r="P279" s="327"/>
      <c r="Q279" s="327"/>
      <c r="R279" s="327"/>
    </row>
    <row r="280" spans="12:18">
      <c r="L280" s="325">
        <f t="shared" si="17"/>
        <v>277</v>
      </c>
      <c r="M280" s="328">
        <f t="shared" si="19"/>
        <v>0.66041666666666665</v>
      </c>
      <c r="N280" s="329">
        <f t="shared" si="18"/>
        <v>0.62307692307692375</v>
      </c>
      <c r="O280" s="327"/>
      <c r="P280" s="327"/>
      <c r="Q280" s="327"/>
      <c r="R280" s="327"/>
    </row>
    <row r="281" spans="12:18">
      <c r="L281" s="325">
        <f t="shared" si="17"/>
        <v>278</v>
      </c>
      <c r="M281" s="328">
        <f t="shared" si="19"/>
        <v>0.66250000000000009</v>
      </c>
      <c r="N281" s="329">
        <f t="shared" si="18"/>
        <v>0.64615384615384674</v>
      </c>
      <c r="O281" s="327"/>
      <c r="P281" s="327"/>
      <c r="Q281" s="327"/>
      <c r="R281" s="327"/>
    </row>
    <row r="282" spans="12:18">
      <c r="L282" s="325">
        <f t="shared" si="17"/>
        <v>279</v>
      </c>
      <c r="M282" s="328">
        <f t="shared" si="19"/>
        <v>0.6645833333333333</v>
      </c>
      <c r="N282" s="329">
        <f t="shared" si="18"/>
        <v>0.66923076923076974</v>
      </c>
      <c r="O282" s="327"/>
      <c r="P282" s="327"/>
      <c r="Q282" s="327"/>
      <c r="R282" s="327"/>
    </row>
    <row r="283" spans="12:18">
      <c r="L283" s="325">
        <f t="shared" si="17"/>
        <v>280</v>
      </c>
      <c r="M283" s="328">
        <f t="shared" si="19"/>
        <v>0.66666666666666674</v>
      </c>
      <c r="N283" s="329">
        <f t="shared" si="18"/>
        <v>0.69230769230769273</v>
      </c>
      <c r="O283" s="327"/>
      <c r="P283" s="327"/>
      <c r="Q283" s="327"/>
      <c r="R283" s="327"/>
    </row>
    <row r="284" spans="12:18">
      <c r="L284" s="325">
        <f t="shared" si="17"/>
        <v>281</v>
      </c>
      <c r="M284" s="328">
        <f t="shared" si="19"/>
        <v>0.66874999999999996</v>
      </c>
      <c r="N284" s="329">
        <f t="shared" ref="N284:N299" si="20">N84</f>
        <v>0.71538461538461573</v>
      </c>
      <c r="O284" s="327"/>
      <c r="P284" s="327"/>
      <c r="Q284" s="327"/>
      <c r="R284" s="327"/>
    </row>
    <row r="285" spans="12:18">
      <c r="L285" s="325">
        <f t="shared" si="17"/>
        <v>282</v>
      </c>
      <c r="M285" s="328">
        <f t="shared" si="19"/>
        <v>0.67083333333333339</v>
      </c>
      <c r="N285" s="329">
        <f t="shared" si="20"/>
        <v>0.73846153846153872</v>
      </c>
      <c r="O285" s="327"/>
      <c r="P285" s="327"/>
      <c r="Q285" s="327"/>
      <c r="R285" s="327"/>
    </row>
    <row r="286" spans="12:18">
      <c r="L286" s="325">
        <f t="shared" si="17"/>
        <v>283</v>
      </c>
      <c r="M286" s="328">
        <f t="shared" si="19"/>
        <v>0.67291666666666661</v>
      </c>
      <c r="N286" s="329">
        <f t="shared" si="20"/>
        <v>0.76153846153846172</v>
      </c>
      <c r="O286" s="327"/>
      <c r="P286" s="327"/>
      <c r="Q286" s="327"/>
      <c r="R286" s="327"/>
    </row>
    <row r="287" spans="12:18">
      <c r="L287" s="325">
        <f t="shared" si="17"/>
        <v>284</v>
      </c>
      <c r="M287" s="328">
        <f t="shared" si="19"/>
        <v>0.67500000000000004</v>
      </c>
      <c r="N287" s="329">
        <f t="shared" si="20"/>
        <v>0.78461538461538471</v>
      </c>
      <c r="O287" s="327"/>
      <c r="P287" s="327"/>
      <c r="Q287" s="327"/>
      <c r="R287" s="327"/>
    </row>
    <row r="288" spans="12:18">
      <c r="L288" s="325">
        <f t="shared" si="17"/>
        <v>285</v>
      </c>
      <c r="M288" s="328">
        <f t="shared" si="19"/>
        <v>0.67708333333333326</v>
      </c>
      <c r="N288" s="329">
        <f t="shared" si="20"/>
        <v>0.80769230769230771</v>
      </c>
      <c r="O288" s="327"/>
      <c r="P288" s="327"/>
      <c r="Q288" s="327"/>
      <c r="R288" s="327"/>
    </row>
    <row r="289" spans="12:18">
      <c r="L289" s="325">
        <f t="shared" si="17"/>
        <v>286</v>
      </c>
      <c r="M289" s="328">
        <f t="shared" si="19"/>
        <v>0.6791666666666667</v>
      </c>
      <c r="N289" s="329">
        <f t="shared" si="20"/>
        <v>0.8307692307692307</v>
      </c>
      <c r="O289" s="327"/>
      <c r="P289" s="327"/>
      <c r="Q289" s="327"/>
      <c r="R289" s="327"/>
    </row>
    <row r="290" spans="12:18">
      <c r="L290" s="325">
        <f t="shared" si="17"/>
        <v>287</v>
      </c>
      <c r="M290" s="328">
        <f t="shared" si="19"/>
        <v>0.68124999999999991</v>
      </c>
      <c r="N290" s="329">
        <f t="shared" si="20"/>
        <v>0.8538461538461537</v>
      </c>
      <c r="O290" s="327"/>
      <c r="P290" s="327"/>
      <c r="Q290" s="327"/>
      <c r="R290" s="327"/>
    </row>
    <row r="291" spans="12:18">
      <c r="L291" s="325">
        <f t="shared" si="17"/>
        <v>288</v>
      </c>
      <c r="M291" s="328">
        <f t="shared" si="19"/>
        <v>0.68333333333333335</v>
      </c>
      <c r="N291" s="329">
        <f t="shared" si="20"/>
        <v>0.87692307692307669</v>
      </c>
      <c r="O291" s="327"/>
      <c r="P291" s="327"/>
      <c r="Q291" s="327"/>
      <c r="R291" s="327"/>
    </row>
    <row r="292" spans="12:18">
      <c r="L292" s="325">
        <f t="shared" si="17"/>
        <v>289</v>
      </c>
      <c r="M292" s="328">
        <f t="shared" si="19"/>
        <v>0.68541666666666656</v>
      </c>
      <c r="N292" s="329">
        <f t="shared" si="20"/>
        <v>0.89999999999999969</v>
      </c>
      <c r="O292" s="327"/>
      <c r="P292" s="327"/>
      <c r="Q292" s="327"/>
      <c r="R292" s="327"/>
    </row>
    <row r="293" spans="12:18">
      <c r="L293" s="325">
        <f t="shared" si="17"/>
        <v>290</v>
      </c>
      <c r="M293" s="328">
        <f t="shared" si="19"/>
        <v>0.6875</v>
      </c>
      <c r="N293" s="329">
        <f t="shared" si="20"/>
        <v>0.92307692307692268</v>
      </c>
      <c r="O293" s="327"/>
      <c r="P293" s="327"/>
      <c r="Q293" s="327"/>
      <c r="R293" s="327"/>
    </row>
    <row r="294" spans="12:18">
      <c r="L294" s="325">
        <f t="shared" si="17"/>
        <v>291</v>
      </c>
      <c r="M294" s="328">
        <f t="shared" si="19"/>
        <v>0.68958333333333321</v>
      </c>
      <c r="N294" s="329">
        <f t="shared" si="20"/>
        <v>0.94615384615384568</v>
      </c>
      <c r="O294" s="327"/>
      <c r="P294" s="327"/>
      <c r="Q294" s="327"/>
      <c r="R294" s="327"/>
    </row>
    <row r="295" spans="12:18">
      <c r="L295" s="325">
        <f t="shared" si="17"/>
        <v>292</v>
      </c>
      <c r="M295" s="328">
        <f t="shared" si="19"/>
        <v>0.69166666666666665</v>
      </c>
      <c r="N295" s="329">
        <f t="shared" si="20"/>
        <v>0.96923076923076867</v>
      </c>
      <c r="O295" s="327"/>
      <c r="P295" s="327"/>
      <c r="Q295" s="327"/>
      <c r="R295" s="327"/>
    </row>
    <row r="296" spans="12:18">
      <c r="L296" s="325">
        <f t="shared" si="17"/>
        <v>293</v>
      </c>
      <c r="M296" s="328">
        <f t="shared" si="19"/>
        <v>0.69374999999999987</v>
      </c>
      <c r="N296" s="329">
        <f t="shared" si="20"/>
        <v>0.99230769230769167</v>
      </c>
      <c r="O296" s="327"/>
      <c r="P296" s="327"/>
      <c r="Q296" s="327"/>
      <c r="R296" s="327"/>
    </row>
    <row r="297" spans="12:18">
      <c r="L297" s="325">
        <f t="shared" si="17"/>
        <v>294</v>
      </c>
      <c r="M297" s="328">
        <f t="shared" si="19"/>
        <v>0.6958333333333333</v>
      </c>
      <c r="N297" s="329">
        <f t="shared" si="20"/>
        <v>1.0153846153846147</v>
      </c>
      <c r="O297" s="327"/>
      <c r="P297" s="327"/>
      <c r="Q297" s="327"/>
      <c r="R297" s="327"/>
    </row>
    <row r="298" spans="12:18">
      <c r="L298" s="325">
        <f t="shared" si="17"/>
        <v>295</v>
      </c>
      <c r="M298" s="328">
        <f t="shared" si="19"/>
        <v>0.69791666666666652</v>
      </c>
      <c r="N298" s="329">
        <f t="shared" si="20"/>
        <v>1.0384615384615377</v>
      </c>
      <c r="O298" s="327"/>
      <c r="P298" s="327"/>
      <c r="Q298" s="327"/>
      <c r="R298" s="327"/>
    </row>
    <row r="299" spans="12:18">
      <c r="L299" s="325">
        <f t="shared" si="17"/>
        <v>296</v>
      </c>
      <c r="M299" s="328">
        <f t="shared" si="19"/>
        <v>0.7</v>
      </c>
      <c r="N299" s="329">
        <f t="shared" si="20"/>
        <v>1.0615384615384607</v>
      </c>
      <c r="O299" s="327"/>
      <c r="P299" s="327"/>
      <c r="Q299" s="327"/>
      <c r="R299" s="327"/>
    </row>
    <row r="300" spans="12:18">
      <c r="L300" s="325">
        <f t="shared" si="17"/>
        <v>297</v>
      </c>
      <c r="M300" s="328">
        <f t="shared" si="19"/>
        <v>0.70208333333333317</v>
      </c>
      <c r="N300" s="329">
        <f t="shared" ref="N300:N315" si="21">N100</f>
        <v>1.0846153846153836</v>
      </c>
      <c r="O300" s="327"/>
      <c r="P300" s="327"/>
      <c r="Q300" s="327"/>
      <c r="R300" s="327"/>
    </row>
    <row r="301" spans="12:18">
      <c r="L301" s="325">
        <f t="shared" si="17"/>
        <v>298</v>
      </c>
      <c r="M301" s="328">
        <f t="shared" si="19"/>
        <v>0.70416666666666661</v>
      </c>
      <c r="N301" s="329">
        <f t="shared" si="21"/>
        <v>1.1076923076923066</v>
      </c>
      <c r="O301" s="327"/>
      <c r="P301" s="327"/>
      <c r="Q301" s="327"/>
      <c r="R301" s="327"/>
    </row>
    <row r="302" spans="12:18">
      <c r="L302" s="325">
        <f t="shared" si="17"/>
        <v>299</v>
      </c>
      <c r="M302" s="328">
        <f t="shared" si="19"/>
        <v>0.70624999999999982</v>
      </c>
      <c r="N302" s="329">
        <f t="shared" si="21"/>
        <v>1.1307692307692296</v>
      </c>
      <c r="O302" s="327"/>
      <c r="P302" s="327"/>
      <c r="Q302" s="327"/>
      <c r="R302" s="327"/>
    </row>
    <row r="303" spans="12:18">
      <c r="L303" s="325">
        <f t="shared" si="17"/>
        <v>300</v>
      </c>
      <c r="M303" s="328">
        <f t="shared" si="19"/>
        <v>0.70833333333333326</v>
      </c>
      <c r="N303" s="329">
        <f t="shared" si="21"/>
        <v>1.1538461538461526</v>
      </c>
      <c r="O303" s="327"/>
      <c r="P303" s="327"/>
      <c r="Q303" s="327"/>
      <c r="R303" s="327"/>
    </row>
    <row r="304" spans="12:18">
      <c r="L304" s="325">
        <f t="shared" si="17"/>
        <v>301</v>
      </c>
      <c r="M304" s="328">
        <f t="shared" si="19"/>
        <v>0.71124999999999994</v>
      </c>
      <c r="N304" s="329">
        <f t="shared" si="21"/>
        <v>1.1307692307692307</v>
      </c>
      <c r="O304" s="327"/>
      <c r="P304" s="327"/>
      <c r="Q304" s="327"/>
      <c r="R304" s="327"/>
    </row>
    <row r="305" spans="12:18">
      <c r="L305" s="325">
        <f t="shared" si="17"/>
        <v>302</v>
      </c>
      <c r="M305" s="328">
        <f t="shared" si="19"/>
        <v>0.71416666666666662</v>
      </c>
      <c r="N305" s="329">
        <f t="shared" si="21"/>
        <v>1.1076923076923075</v>
      </c>
      <c r="O305" s="327"/>
      <c r="P305" s="327"/>
      <c r="Q305" s="327"/>
      <c r="R305" s="327"/>
    </row>
    <row r="306" spans="12:18">
      <c r="L306" s="325">
        <f t="shared" si="17"/>
        <v>303</v>
      </c>
      <c r="M306" s="328">
        <f t="shared" si="19"/>
        <v>0.71708333333333329</v>
      </c>
      <c r="N306" s="329">
        <f t="shared" si="21"/>
        <v>1.0846153846153845</v>
      </c>
      <c r="O306" s="327"/>
      <c r="P306" s="327"/>
      <c r="Q306" s="327"/>
      <c r="R306" s="327"/>
    </row>
    <row r="307" spans="12:18">
      <c r="L307" s="325">
        <f t="shared" si="17"/>
        <v>304</v>
      </c>
      <c r="M307" s="328">
        <f t="shared" si="19"/>
        <v>0.72</v>
      </c>
      <c r="N307" s="329">
        <f t="shared" si="21"/>
        <v>1.0615384615384613</v>
      </c>
      <c r="O307" s="327"/>
      <c r="P307" s="327"/>
      <c r="Q307" s="327"/>
      <c r="R307" s="327"/>
    </row>
    <row r="308" spans="12:18">
      <c r="L308" s="325">
        <f t="shared" si="17"/>
        <v>305</v>
      </c>
      <c r="M308" s="328">
        <f t="shared" si="19"/>
        <v>0.72291666666666665</v>
      </c>
      <c r="N308" s="329">
        <f t="shared" si="21"/>
        <v>1.0384615384615381</v>
      </c>
      <c r="O308" s="327"/>
      <c r="P308" s="327"/>
      <c r="Q308" s="327"/>
      <c r="R308" s="327"/>
    </row>
    <row r="309" spans="12:18">
      <c r="L309" s="325">
        <f t="shared" si="17"/>
        <v>306</v>
      </c>
      <c r="M309" s="328">
        <f t="shared" si="19"/>
        <v>0.72583333333333333</v>
      </c>
      <c r="N309" s="329">
        <f t="shared" si="21"/>
        <v>1.0153846153846149</v>
      </c>
      <c r="O309" s="327"/>
      <c r="P309" s="327"/>
      <c r="Q309" s="327"/>
      <c r="R309" s="327"/>
    </row>
    <row r="310" spans="12:18">
      <c r="L310" s="325">
        <f t="shared" si="17"/>
        <v>307</v>
      </c>
      <c r="M310" s="328">
        <f t="shared" si="19"/>
        <v>0.72875000000000001</v>
      </c>
      <c r="N310" s="329">
        <f t="shared" si="21"/>
        <v>0.99230769230769167</v>
      </c>
      <c r="O310" s="327"/>
      <c r="P310" s="327"/>
      <c r="Q310" s="327"/>
      <c r="R310" s="327"/>
    </row>
    <row r="311" spans="12:18">
      <c r="L311" s="325">
        <f t="shared" si="17"/>
        <v>308</v>
      </c>
      <c r="M311" s="328">
        <f t="shared" si="19"/>
        <v>0.73166666666666669</v>
      </c>
      <c r="N311" s="329">
        <f t="shared" si="21"/>
        <v>0.96923076923076856</v>
      </c>
      <c r="O311" s="327"/>
      <c r="P311" s="327"/>
      <c r="Q311" s="327"/>
      <c r="R311" s="327"/>
    </row>
    <row r="312" spans="12:18">
      <c r="L312" s="325">
        <f t="shared" si="17"/>
        <v>309</v>
      </c>
      <c r="M312" s="328">
        <f t="shared" si="19"/>
        <v>0.73458333333333337</v>
      </c>
      <c r="N312" s="329">
        <f t="shared" si="21"/>
        <v>0.94615384615384535</v>
      </c>
      <c r="O312" s="327"/>
      <c r="P312" s="327"/>
      <c r="Q312" s="327"/>
      <c r="R312" s="327"/>
    </row>
    <row r="313" spans="12:18">
      <c r="L313" s="325">
        <f t="shared" si="17"/>
        <v>310</v>
      </c>
      <c r="M313" s="328">
        <f t="shared" si="19"/>
        <v>0.73750000000000004</v>
      </c>
      <c r="N313" s="329">
        <f t="shared" si="21"/>
        <v>0.92307692307692224</v>
      </c>
      <c r="O313" s="327"/>
      <c r="P313" s="327"/>
      <c r="Q313" s="327"/>
      <c r="R313" s="327"/>
    </row>
    <row r="314" spans="12:18">
      <c r="L314" s="325">
        <f t="shared" si="17"/>
        <v>311</v>
      </c>
      <c r="M314" s="328">
        <f t="shared" si="19"/>
        <v>0.74041666666666672</v>
      </c>
      <c r="N314" s="329">
        <f t="shared" si="21"/>
        <v>0.89999999999999902</v>
      </c>
      <c r="O314" s="327"/>
      <c r="P314" s="327"/>
      <c r="Q314" s="327"/>
      <c r="R314" s="327"/>
    </row>
    <row r="315" spans="12:18">
      <c r="L315" s="325">
        <f t="shared" si="17"/>
        <v>312</v>
      </c>
      <c r="M315" s="328">
        <f t="shared" si="19"/>
        <v>0.7433333333333334</v>
      </c>
      <c r="N315" s="329">
        <f t="shared" si="21"/>
        <v>0.87692307692307581</v>
      </c>
      <c r="O315" s="327"/>
      <c r="P315" s="327"/>
      <c r="Q315" s="327"/>
      <c r="R315" s="327"/>
    </row>
    <row r="316" spans="12:18">
      <c r="L316" s="325">
        <f t="shared" si="17"/>
        <v>313</v>
      </c>
      <c r="M316" s="328">
        <f t="shared" si="19"/>
        <v>0.74625000000000008</v>
      </c>
      <c r="N316" s="329">
        <f t="shared" ref="N316:N331" si="22">N116</f>
        <v>0.85384615384615259</v>
      </c>
      <c r="O316" s="327"/>
      <c r="P316" s="327"/>
      <c r="Q316" s="327"/>
      <c r="R316" s="327"/>
    </row>
    <row r="317" spans="12:18">
      <c r="L317" s="325">
        <f t="shared" si="17"/>
        <v>314</v>
      </c>
      <c r="M317" s="328">
        <f t="shared" si="19"/>
        <v>0.74916666666666676</v>
      </c>
      <c r="N317" s="329">
        <f t="shared" si="22"/>
        <v>0.83076923076922948</v>
      </c>
      <c r="O317" s="327"/>
      <c r="P317" s="327"/>
      <c r="Q317" s="327"/>
      <c r="R317" s="327"/>
    </row>
    <row r="318" spans="12:18">
      <c r="L318" s="325">
        <f t="shared" si="17"/>
        <v>315</v>
      </c>
      <c r="M318" s="328">
        <f t="shared" si="19"/>
        <v>0.75208333333333344</v>
      </c>
      <c r="N318" s="329">
        <f t="shared" si="22"/>
        <v>0.80769230769230638</v>
      </c>
      <c r="O318" s="327"/>
      <c r="P318" s="327"/>
      <c r="Q318" s="327"/>
      <c r="R318" s="327"/>
    </row>
    <row r="319" spans="12:18">
      <c r="L319" s="325">
        <f t="shared" si="17"/>
        <v>316</v>
      </c>
      <c r="M319" s="328">
        <f t="shared" si="19"/>
        <v>0.75500000000000012</v>
      </c>
      <c r="N319" s="329">
        <f t="shared" si="22"/>
        <v>0.78461538461538316</v>
      </c>
      <c r="O319" s="327"/>
      <c r="P319" s="327"/>
      <c r="Q319" s="327"/>
      <c r="R319" s="327"/>
    </row>
    <row r="320" spans="12:18">
      <c r="L320" s="325">
        <f t="shared" si="17"/>
        <v>317</v>
      </c>
      <c r="M320" s="328">
        <f t="shared" si="19"/>
        <v>0.75791666666666679</v>
      </c>
      <c r="N320" s="329">
        <f t="shared" si="22"/>
        <v>0.76153846153845994</v>
      </c>
      <c r="O320" s="327"/>
      <c r="P320" s="327"/>
      <c r="Q320" s="327"/>
      <c r="R320" s="327"/>
    </row>
    <row r="321" spans="12:18">
      <c r="L321" s="325">
        <f t="shared" si="17"/>
        <v>318</v>
      </c>
      <c r="M321" s="328">
        <f t="shared" si="19"/>
        <v>0.76083333333333347</v>
      </c>
      <c r="N321" s="329">
        <f t="shared" si="22"/>
        <v>0.73846153846153673</v>
      </c>
      <c r="O321" s="327"/>
      <c r="P321" s="327"/>
      <c r="Q321" s="327"/>
      <c r="R321" s="327"/>
    </row>
    <row r="322" spans="12:18">
      <c r="L322" s="325">
        <f t="shared" si="17"/>
        <v>319</v>
      </c>
      <c r="M322" s="328">
        <f t="shared" si="19"/>
        <v>0.76375000000000015</v>
      </c>
      <c r="N322" s="329">
        <f t="shared" si="22"/>
        <v>0.71538461538461362</v>
      </c>
      <c r="O322" s="327"/>
      <c r="P322" s="327"/>
      <c r="Q322" s="327"/>
      <c r="R322" s="327"/>
    </row>
    <row r="323" spans="12:18">
      <c r="L323" s="325">
        <f t="shared" si="17"/>
        <v>320</v>
      </c>
      <c r="M323" s="328">
        <f t="shared" si="19"/>
        <v>0.76666666666666683</v>
      </c>
      <c r="N323" s="329">
        <f t="shared" si="22"/>
        <v>0.69230769230769051</v>
      </c>
      <c r="O323" s="327"/>
      <c r="P323" s="327"/>
      <c r="Q323" s="327"/>
      <c r="R323" s="327"/>
    </row>
    <row r="324" spans="12:18">
      <c r="L324" s="325">
        <f t="shared" si="17"/>
        <v>321</v>
      </c>
      <c r="M324" s="328">
        <f t="shared" si="19"/>
        <v>0.76958333333333351</v>
      </c>
      <c r="N324" s="329">
        <f t="shared" si="22"/>
        <v>0.6692307692307673</v>
      </c>
      <c r="O324" s="327"/>
      <c r="P324" s="327"/>
      <c r="Q324" s="327"/>
      <c r="R324" s="327"/>
    </row>
    <row r="325" spans="12:18">
      <c r="L325" s="325">
        <f t="shared" ref="L325:L388" si="23">L324+1</f>
        <v>322</v>
      </c>
      <c r="M325" s="328">
        <f t="shared" si="19"/>
        <v>0.77250000000000019</v>
      </c>
      <c r="N325" s="329">
        <f t="shared" si="22"/>
        <v>0.64615384615384408</v>
      </c>
      <c r="O325" s="327"/>
      <c r="P325" s="327"/>
      <c r="Q325" s="327"/>
      <c r="R325" s="327"/>
    </row>
    <row r="326" spans="12:18">
      <c r="L326" s="325">
        <f t="shared" si="23"/>
        <v>323</v>
      </c>
      <c r="M326" s="328">
        <f t="shared" si="19"/>
        <v>0.77541666666666687</v>
      </c>
      <c r="N326" s="329">
        <f t="shared" si="22"/>
        <v>0.62307692307692086</v>
      </c>
      <c r="O326" s="327"/>
      <c r="P326" s="327"/>
      <c r="Q326" s="327"/>
      <c r="R326" s="327"/>
    </row>
    <row r="327" spans="12:18">
      <c r="L327" s="325">
        <f t="shared" si="23"/>
        <v>324</v>
      </c>
      <c r="M327" s="328">
        <f t="shared" si="19"/>
        <v>0.77833333333333354</v>
      </c>
      <c r="N327" s="329">
        <f t="shared" si="22"/>
        <v>0.59999999999999776</v>
      </c>
      <c r="O327" s="327"/>
      <c r="P327" s="327"/>
      <c r="Q327" s="327"/>
      <c r="R327" s="327"/>
    </row>
    <row r="328" spans="12:18">
      <c r="L328" s="325">
        <f t="shared" si="23"/>
        <v>325</v>
      </c>
      <c r="M328" s="328">
        <f t="shared" si="19"/>
        <v>0.78125000000000022</v>
      </c>
      <c r="N328" s="329">
        <f t="shared" si="22"/>
        <v>0.57692307692307454</v>
      </c>
      <c r="O328" s="327"/>
      <c r="P328" s="327"/>
      <c r="Q328" s="327"/>
      <c r="R328" s="327"/>
    </row>
    <row r="329" spans="12:18">
      <c r="L329" s="325">
        <f t="shared" si="23"/>
        <v>326</v>
      </c>
      <c r="M329" s="328">
        <f t="shared" si="19"/>
        <v>0.7841666666666669</v>
      </c>
      <c r="N329" s="329">
        <f t="shared" si="22"/>
        <v>0.55384615384615132</v>
      </c>
      <c r="O329" s="327"/>
      <c r="P329" s="327"/>
      <c r="Q329" s="327"/>
      <c r="R329" s="327"/>
    </row>
    <row r="330" spans="12:18">
      <c r="L330" s="325">
        <f t="shared" si="23"/>
        <v>327</v>
      </c>
      <c r="M330" s="328">
        <f t="shared" si="19"/>
        <v>0.78708333333333358</v>
      </c>
      <c r="N330" s="329">
        <f t="shared" si="22"/>
        <v>0.53076923076922822</v>
      </c>
      <c r="O330" s="327"/>
      <c r="P330" s="327"/>
      <c r="Q330" s="327"/>
      <c r="R330" s="327"/>
    </row>
    <row r="331" spans="12:18">
      <c r="L331" s="325">
        <f t="shared" si="23"/>
        <v>328</v>
      </c>
      <c r="M331" s="328">
        <f t="shared" si="19"/>
        <v>0.79000000000000026</v>
      </c>
      <c r="N331" s="329">
        <f t="shared" si="22"/>
        <v>0.507692307692305</v>
      </c>
      <c r="O331" s="327"/>
      <c r="P331" s="327"/>
      <c r="Q331" s="327"/>
      <c r="R331" s="327"/>
    </row>
    <row r="332" spans="12:18">
      <c r="L332" s="325">
        <f t="shared" si="23"/>
        <v>329</v>
      </c>
      <c r="M332" s="328">
        <f t="shared" si="19"/>
        <v>0.79291666666666694</v>
      </c>
      <c r="N332" s="329">
        <f t="shared" ref="N332:N347" si="24">N132</f>
        <v>0.48461538461538189</v>
      </c>
      <c r="O332" s="327"/>
      <c r="P332" s="327"/>
      <c r="Q332" s="327"/>
      <c r="R332" s="327"/>
    </row>
    <row r="333" spans="12:18">
      <c r="L333" s="325">
        <f t="shared" si="23"/>
        <v>330</v>
      </c>
      <c r="M333" s="328">
        <f t="shared" ref="M333:M396" si="25">1/($B$29*10^3)*10^6+M133</f>
        <v>0.79583333333333361</v>
      </c>
      <c r="N333" s="329">
        <f t="shared" si="24"/>
        <v>0.46153846153845868</v>
      </c>
      <c r="O333" s="327"/>
      <c r="P333" s="327"/>
      <c r="Q333" s="327"/>
      <c r="R333" s="327"/>
    </row>
    <row r="334" spans="12:18">
      <c r="L334" s="325">
        <f t="shared" si="23"/>
        <v>331</v>
      </c>
      <c r="M334" s="328">
        <f t="shared" si="25"/>
        <v>0.79875000000000029</v>
      </c>
      <c r="N334" s="329">
        <f t="shared" si="24"/>
        <v>0.43846153846153546</v>
      </c>
      <c r="O334" s="327"/>
      <c r="P334" s="327"/>
      <c r="Q334" s="327"/>
      <c r="R334" s="327"/>
    </row>
    <row r="335" spans="12:18">
      <c r="L335" s="325">
        <f t="shared" si="23"/>
        <v>332</v>
      </c>
      <c r="M335" s="328">
        <f t="shared" si="25"/>
        <v>0.80166666666666697</v>
      </c>
      <c r="N335" s="329">
        <f t="shared" si="24"/>
        <v>0.41538461538461235</v>
      </c>
      <c r="O335" s="327"/>
      <c r="P335" s="327"/>
      <c r="Q335" s="327"/>
      <c r="R335" s="327"/>
    </row>
    <row r="336" spans="12:18">
      <c r="L336" s="325">
        <f t="shared" si="23"/>
        <v>333</v>
      </c>
      <c r="M336" s="328">
        <f t="shared" si="25"/>
        <v>0.80458333333333365</v>
      </c>
      <c r="N336" s="329">
        <f t="shared" si="24"/>
        <v>0.39230769230768914</v>
      </c>
      <c r="O336" s="327"/>
      <c r="P336" s="327"/>
      <c r="Q336" s="327"/>
      <c r="R336" s="327"/>
    </row>
    <row r="337" spans="12:18">
      <c r="L337" s="325">
        <f t="shared" si="23"/>
        <v>334</v>
      </c>
      <c r="M337" s="328">
        <f t="shared" si="25"/>
        <v>0.80750000000000033</v>
      </c>
      <c r="N337" s="329">
        <f t="shared" si="24"/>
        <v>0.36923076923076592</v>
      </c>
      <c r="O337" s="327"/>
      <c r="P337" s="327"/>
      <c r="Q337" s="327"/>
      <c r="R337" s="327"/>
    </row>
    <row r="338" spans="12:18">
      <c r="L338" s="325">
        <f t="shared" si="23"/>
        <v>335</v>
      </c>
      <c r="M338" s="328">
        <f t="shared" si="25"/>
        <v>0.81041666666666701</v>
      </c>
      <c r="N338" s="329">
        <f t="shared" si="24"/>
        <v>0.34615384615384281</v>
      </c>
      <c r="O338" s="327"/>
      <c r="P338" s="327"/>
      <c r="Q338" s="327"/>
      <c r="R338" s="327"/>
    </row>
    <row r="339" spans="12:18">
      <c r="L339" s="325">
        <f t="shared" si="23"/>
        <v>336</v>
      </c>
      <c r="M339" s="328">
        <f t="shared" si="25"/>
        <v>0.81333333333333369</v>
      </c>
      <c r="N339" s="329">
        <f t="shared" si="24"/>
        <v>0.3230769230769196</v>
      </c>
      <c r="O339" s="327"/>
      <c r="P339" s="327"/>
      <c r="Q339" s="327"/>
      <c r="R339" s="327"/>
    </row>
    <row r="340" spans="12:18">
      <c r="L340" s="325">
        <f t="shared" si="23"/>
        <v>337</v>
      </c>
      <c r="M340" s="328">
        <f t="shared" si="25"/>
        <v>0.81625000000000036</v>
      </c>
      <c r="N340" s="329">
        <f t="shared" si="24"/>
        <v>0.29999999999999638</v>
      </c>
      <c r="O340" s="327"/>
      <c r="P340" s="327"/>
      <c r="Q340" s="327"/>
      <c r="R340" s="327"/>
    </row>
    <row r="341" spans="12:18">
      <c r="L341" s="325">
        <f t="shared" si="23"/>
        <v>338</v>
      </c>
      <c r="M341" s="328">
        <f t="shared" si="25"/>
        <v>0.81916666666666704</v>
      </c>
      <c r="N341" s="329">
        <f t="shared" si="24"/>
        <v>0.27692307692307327</v>
      </c>
      <c r="O341" s="327"/>
      <c r="P341" s="327"/>
      <c r="Q341" s="327"/>
      <c r="R341" s="327"/>
    </row>
    <row r="342" spans="12:18">
      <c r="L342" s="325">
        <f t="shared" si="23"/>
        <v>339</v>
      </c>
      <c r="M342" s="328">
        <f t="shared" si="25"/>
        <v>0.82208333333333372</v>
      </c>
      <c r="N342" s="329">
        <f t="shared" si="24"/>
        <v>0.25384615384615006</v>
      </c>
      <c r="O342" s="327"/>
      <c r="P342" s="327"/>
      <c r="Q342" s="327"/>
      <c r="R342" s="327"/>
    </row>
    <row r="343" spans="12:18">
      <c r="L343" s="325">
        <f t="shared" si="23"/>
        <v>340</v>
      </c>
      <c r="M343" s="328">
        <f t="shared" si="25"/>
        <v>0.8250000000000004</v>
      </c>
      <c r="N343" s="329">
        <f t="shared" si="24"/>
        <v>0.23076923076922695</v>
      </c>
      <c r="O343" s="327"/>
      <c r="P343" s="327"/>
      <c r="Q343" s="327"/>
      <c r="R343" s="327"/>
    </row>
    <row r="344" spans="12:18">
      <c r="L344" s="325">
        <f t="shared" si="23"/>
        <v>341</v>
      </c>
      <c r="M344" s="328">
        <f t="shared" si="25"/>
        <v>0.82791666666666708</v>
      </c>
      <c r="N344" s="329">
        <f t="shared" si="24"/>
        <v>0.20769230769230373</v>
      </c>
      <c r="O344" s="327"/>
      <c r="P344" s="327"/>
      <c r="Q344" s="327"/>
      <c r="R344" s="327"/>
    </row>
    <row r="345" spans="12:18">
      <c r="L345" s="325">
        <f t="shared" si="23"/>
        <v>342</v>
      </c>
      <c r="M345" s="328">
        <f t="shared" si="25"/>
        <v>0.83083333333333376</v>
      </c>
      <c r="N345" s="329">
        <f t="shared" si="24"/>
        <v>0.18461538461538052</v>
      </c>
      <c r="O345" s="327"/>
      <c r="P345" s="327"/>
      <c r="Q345" s="327"/>
      <c r="R345" s="327"/>
    </row>
    <row r="346" spans="12:18">
      <c r="L346" s="325">
        <f t="shared" si="23"/>
        <v>343</v>
      </c>
      <c r="M346" s="328">
        <f t="shared" si="25"/>
        <v>0.83375000000000044</v>
      </c>
      <c r="N346" s="329">
        <f t="shared" si="24"/>
        <v>0.16153846153845741</v>
      </c>
      <c r="O346" s="327"/>
      <c r="P346" s="327"/>
      <c r="Q346" s="327"/>
      <c r="R346" s="327"/>
    </row>
    <row r="347" spans="12:18">
      <c r="L347" s="325">
        <f t="shared" si="23"/>
        <v>344</v>
      </c>
      <c r="M347" s="328">
        <f t="shared" si="25"/>
        <v>0.83666666666666711</v>
      </c>
      <c r="N347" s="329">
        <f t="shared" si="24"/>
        <v>0.13846153846153419</v>
      </c>
      <c r="O347" s="327"/>
      <c r="P347" s="327"/>
      <c r="Q347" s="327"/>
      <c r="R347" s="327"/>
    </row>
    <row r="348" spans="12:18">
      <c r="L348" s="325">
        <f t="shared" si="23"/>
        <v>345</v>
      </c>
      <c r="M348" s="328">
        <f t="shared" si="25"/>
        <v>0.83958333333333379</v>
      </c>
      <c r="N348" s="329">
        <f t="shared" ref="N348:N363" si="26">N148</f>
        <v>0.11538461538461098</v>
      </c>
      <c r="O348" s="327"/>
      <c r="P348" s="327"/>
      <c r="Q348" s="327"/>
      <c r="R348" s="327"/>
    </row>
    <row r="349" spans="12:18">
      <c r="L349" s="325">
        <f t="shared" si="23"/>
        <v>346</v>
      </c>
      <c r="M349" s="328">
        <f t="shared" si="25"/>
        <v>0.84250000000000047</v>
      </c>
      <c r="N349" s="329">
        <f t="shared" si="26"/>
        <v>9.2307692307687761E-2</v>
      </c>
      <c r="O349" s="327"/>
      <c r="P349" s="327"/>
      <c r="Q349" s="327"/>
      <c r="R349" s="327"/>
    </row>
    <row r="350" spans="12:18">
      <c r="L350" s="325">
        <f t="shared" si="23"/>
        <v>347</v>
      </c>
      <c r="M350" s="328">
        <f t="shared" si="25"/>
        <v>0.84541666666666715</v>
      </c>
      <c r="N350" s="329">
        <f t="shared" si="26"/>
        <v>6.9230769230764766E-2</v>
      </c>
      <c r="O350" s="327"/>
      <c r="P350" s="327"/>
      <c r="Q350" s="327"/>
      <c r="R350" s="327"/>
    </row>
    <row r="351" spans="12:18">
      <c r="L351" s="325">
        <f t="shared" si="23"/>
        <v>348</v>
      </c>
      <c r="M351" s="328">
        <f t="shared" si="25"/>
        <v>0.84833333333333383</v>
      </c>
      <c r="N351" s="329">
        <f t="shared" si="26"/>
        <v>4.6153846153841549E-2</v>
      </c>
      <c r="O351" s="327"/>
      <c r="P351" s="327"/>
      <c r="Q351" s="327"/>
      <c r="R351" s="327"/>
    </row>
    <row r="352" spans="12:18">
      <c r="L352" s="325">
        <f t="shared" si="23"/>
        <v>349</v>
      </c>
      <c r="M352" s="328">
        <f t="shared" si="25"/>
        <v>0.85125000000000051</v>
      </c>
      <c r="N352" s="329">
        <f t="shared" si="26"/>
        <v>2.3076923076918332E-2</v>
      </c>
      <c r="O352" s="327"/>
      <c r="P352" s="327"/>
      <c r="Q352" s="327"/>
      <c r="R352" s="327"/>
    </row>
    <row r="353" spans="12:18">
      <c r="L353" s="325">
        <f t="shared" si="23"/>
        <v>350</v>
      </c>
      <c r="M353" s="328">
        <f t="shared" si="25"/>
        <v>0.85416666666666718</v>
      </c>
      <c r="N353" s="329">
        <f t="shared" si="26"/>
        <v>-4.8849813083506888E-15</v>
      </c>
      <c r="O353" s="327"/>
      <c r="P353" s="327"/>
      <c r="Q353" s="327"/>
      <c r="R353" s="327"/>
    </row>
    <row r="354" spans="12:18">
      <c r="L354" s="325">
        <f t="shared" si="23"/>
        <v>351</v>
      </c>
      <c r="M354" s="328">
        <f t="shared" si="25"/>
        <v>0.85708333333333386</v>
      </c>
      <c r="N354" s="329">
        <f t="shared" si="26"/>
        <v>-2.3076923076928102E-2</v>
      </c>
      <c r="O354" s="327"/>
      <c r="P354" s="327"/>
      <c r="Q354" s="327"/>
      <c r="R354" s="327"/>
    </row>
    <row r="355" spans="12:18">
      <c r="L355" s="325">
        <f t="shared" si="23"/>
        <v>352</v>
      </c>
      <c r="M355" s="328">
        <f t="shared" si="25"/>
        <v>0.86000000000000054</v>
      </c>
      <c r="N355" s="329">
        <f t="shared" si="26"/>
        <v>-4.6153846153851319E-2</v>
      </c>
      <c r="O355" s="327"/>
      <c r="P355" s="327"/>
      <c r="Q355" s="327"/>
      <c r="R355" s="327"/>
    </row>
    <row r="356" spans="12:18">
      <c r="L356" s="325">
        <f t="shared" si="23"/>
        <v>353</v>
      </c>
      <c r="M356" s="328">
        <f t="shared" si="25"/>
        <v>0.86291666666666722</v>
      </c>
      <c r="N356" s="329">
        <f t="shared" si="26"/>
        <v>-6.9230769230774314E-2</v>
      </c>
      <c r="O356" s="327"/>
      <c r="P356" s="327"/>
      <c r="Q356" s="327"/>
      <c r="R356" s="327"/>
    </row>
    <row r="357" spans="12:18">
      <c r="L357" s="325">
        <f t="shared" si="23"/>
        <v>354</v>
      </c>
      <c r="M357" s="328">
        <f t="shared" si="25"/>
        <v>0.8658333333333339</v>
      </c>
      <c r="N357" s="329">
        <f t="shared" si="26"/>
        <v>-9.2307692307697531E-2</v>
      </c>
      <c r="O357" s="327"/>
      <c r="P357" s="327"/>
      <c r="Q357" s="327"/>
      <c r="R357" s="327"/>
    </row>
    <row r="358" spans="12:18">
      <c r="L358" s="325">
        <f t="shared" si="23"/>
        <v>355</v>
      </c>
      <c r="M358" s="328">
        <f t="shared" si="25"/>
        <v>0.86875000000000058</v>
      </c>
      <c r="N358" s="329">
        <f t="shared" si="26"/>
        <v>-0.11538461538462075</v>
      </c>
      <c r="O358" s="327"/>
      <c r="P358" s="327"/>
      <c r="Q358" s="327"/>
      <c r="R358" s="327"/>
    </row>
    <row r="359" spans="12:18">
      <c r="L359" s="325">
        <f t="shared" si="23"/>
        <v>356</v>
      </c>
      <c r="M359" s="328">
        <f t="shared" si="25"/>
        <v>0.87166666666666726</v>
      </c>
      <c r="N359" s="329">
        <f t="shared" si="26"/>
        <v>-0.13846153846154396</v>
      </c>
      <c r="O359" s="327"/>
      <c r="P359" s="327"/>
      <c r="Q359" s="327"/>
      <c r="R359" s="327"/>
    </row>
    <row r="360" spans="12:18">
      <c r="L360" s="325">
        <f t="shared" si="23"/>
        <v>357</v>
      </c>
      <c r="M360" s="328">
        <f t="shared" si="25"/>
        <v>0.87458333333333393</v>
      </c>
      <c r="N360" s="329">
        <f t="shared" si="26"/>
        <v>-0.16153846153846718</v>
      </c>
      <c r="O360" s="327"/>
      <c r="P360" s="327"/>
      <c r="Q360" s="327"/>
      <c r="R360" s="327"/>
    </row>
    <row r="361" spans="12:18">
      <c r="L361" s="325">
        <f t="shared" si="23"/>
        <v>358</v>
      </c>
      <c r="M361" s="328">
        <f t="shared" si="25"/>
        <v>0.87750000000000061</v>
      </c>
      <c r="N361" s="329">
        <f t="shared" si="26"/>
        <v>-0.18461538461539018</v>
      </c>
      <c r="O361" s="327"/>
      <c r="P361" s="327"/>
      <c r="Q361" s="327"/>
      <c r="R361" s="327"/>
    </row>
    <row r="362" spans="12:18">
      <c r="L362" s="325">
        <f t="shared" si="23"/>
        <v>359</v>
      </c>
      <c r="M362" s="328">
        <f t="shared" si="25"/>
        <v>0.88041666666666729</v>
      </c>
      <c r="N362" s="329">
        <f t="shared" si="26"/>
        <v>-0.20769230769231339</v>
      </c>
      <c r="O362" s="327"/>
      <c r="P362" s="327"/>
      <c r="Q362" s="327"/>
      <c r="R362" s="327"/>
    </row>
    <row r="363" spans="12:18">
      <c r="L363" s="325">
        <f t="shared" si="23"/>
        <v>360</v>
      </c>
      <c r="M363" s="328">
        <f t="shared" si="25"/>
        <v>0.88333333333333397</v>
      </c>
      <c r="N363" s="329">
        <f t="shared" si="26"/>
        <v>-0.23076923076923661</v>
      </c>
      <c r="O363" s="327"/>
      <c r="P363" s="327"/>
      <c r="Q363" s="327"/>
      <c r="R363" s="327"/>
    </row>
    <row r="364" spans="12:18">
      <c r="L364" s="325">
        <f t="shared" si="23"/>
        <v>361</v>
      </c>
      <c r="M364" s="328">
        <f t="shared" si="25"/>
        <v>0.88625000000000065</v>
      </c>
      <c r="N364" s="329">
        <f t="shared" ref="N364:N379" si="27">N164</f>
        <v>-0.25384615384615983</v>
      </c>
      <c r="O364" s="327"/>
      <c r="P364" s="327"/>
      <c r="Q364" s="327"/>
      <c r="R364" s="327"/>
    </row>
    <row r="365" spans="12:18">
      <c r="L365" s="325">
        <f t="shared" si="23"/>
        <v>362</v>
      </c>
      <c r="M365" s="328">
        <f t="shared" si="25"/>
        <v>0.88916666666666733</v>
      </c>
      <c r="N365" s="329">
        <f t="shared" si="27"/>
        <v>-0.27692307692308304</v>
      </c>
      <c r="O365" s="327"/>
      <c r="P365" s="327"/>
      <c r="Q365" s="327"/>
      <c r="R365" s="327"/>
    </row>
    <row r="366" spans="12:18">
      <c r="L366" s="325">
        <f t="shared" si="23"/>
        <v>363</v>
      </c>
      <c r="M366" s="328">
        <f t="shared" si="25"/>
        <v>0.89208333333333401</v>
      </c>
      <c r="N366" s="329">
        <f t="shared" si="27"/>
        <v>-0.30000000000000626</v>
      </c>
      <c r="O366" s="327"/>
      <c r="P366" s="327"/>
      <c r="Q366" s="327"/>
      <c r="R366" s="327"/>
    </row>
    <row r="367" spans="12:18">
      <c r="L367" s="325">
        <f t="shared" si="23"/>
        <v>364</v>
      </c>
      <c r="M367" s="328">
        <f t="shared" si="25"/>
        <v>0.89500000000000068</v>
      </c>
      <c r="N367" s="329">
        <f t="shared" si="27"/>
        <v>-0.32307692307692926</v>
      </c>
      <c r="O367" s="327"/>
      <c r="P367" s="327"/>
      <c r="Q367" s="327"/>
      <c r="R367" s="327"/>
    </row>
    <row r="368" spans="12:18">
      <c r="L368" s="325">
        <f t="shared" si="23"/>
        <v>365</v>
      </c>
      <c r="M368" s="328">
        <f t="shared" si="25"/>
        <v>0.89791666666666736</v>
      </c>
      <c r="N368" s="329">
        <f t="shared" si="27"/>
        <v>-0.34615384615385247</v>
      </c>
      <c r="O368" s="327"/>
      <c r="P368" s="327"/>
      <c r="Q368" s="327"/>
      <c r="R368" s="327"/>
    </row>
    <row r="369" spans="12:18">
      <c r="L369" s="325">
        <f t="shared" si="23"/>
        <v>366</v>
      </c>
      <c r="M369" s="328">
        <f t="shared" si="25"/>
        <v>0.90083333333333404</v>
      </c>
      <c r="N369" s="329">
        <f t="shared" si="27"/>
        <v>-0.36923076923077569</v>
      </c>
      <c r="O369" s="327"/>
      <c r="P369" s="327"/>
      <c r="Q369" s="327"/>
      <c r="R369" s="327"/>
    </row>
    <row r="370" spans="12:18">
      <c r="L370" s="325">
        <f t="shared" si="23"/>
        <v>367</v>
      </c>
      <c r="M370" s="328">
        <f t="shared" si="25"/>
        <v>0.90375000000000072</v>
      </c>
      <c r="N370" s="329">
        <f t="shared" si="27"/>
        <v>-0.39230769230769891</v>
      </c>
      <c r="O370" s="327"/>
      <c r="P370" s="327"/>
      <c r="Q370" s="327"/>
      <c r="R370" s="327"/>
    </row>
    <row r="371" spans="12:18">
      <c r="L371" s="325">
        <f t="shared" si="23"/>
        <v>368</v>
      </c>
      <c r="M371" s="328">
        <f t="shared" si="25"/>
        <v>0.9066666666666674</v>
      </c>
      <c r="N371" s="329">
        <f t="shared" si="27"/>
        <v>-0.41538461538462212</v>
      </c>
      <c r="O371" s="327"/>
      <c r="P371" s="327"/>
      <c r="Q371" s="327"/>
      <c r="R371" s="327"/>
    </row>
    <row r="372" spans="12:18">
      <c r="L372" s="325">
        <f t="shared" si="23"/>
        <v>369</v>
      </c>
      <c r="M372" s="328">
        <f t="shared" si="25"/>
        <v>0.90958333333333408</v>
      </c>
      <c r="N372" s="329">
        <f t="shared" si="27"/>
        <v>-0.43846153846154512</v>
      </c>
      <c r="O372" s="327"/>
      <c r="P372" s="327"/>
      <c r="Q372" s="327"/>
      <c r="R372" s="327"/>
    </row>
    <row r="373" spans="12:18">
      <c r="L373" s="325">
        <f t="shared" si="23"/>
        <v>370</v>
      </c>
      <c r="M373" s="328">
        <f t="shared" si="25"/>
        <v>0.91250000000000075</v>
      </c>
      <c r="N373" s="329">
        <f t="shared" si="27"/>
        <v>-0.46153846153846834</v>
      </c>
      <c r="O373" s="327"/>
      <c r="P373" s="327"/>
      <c r="Q373" s="327"/>
      <c r="R373" s="327"/>
    </row>
    <row r="374" spans="12:18">
      <c r="L374" s="325">
        <f t="shared" si="23"/>
        <v>371</v>
      </c>
      <c r="M374" s="328">
        <f t="shared" si="25"/>
        <v>0.91541666666666743</v>
      </c>
      <c r="N374" s="329">
        <f t="shared" si="27"/>
        <v>-0.48461538461539155</v>
      </c>
      <c r="O374" s="327"/>
      <c r="P374" s="327"/>
      <c r="Q374" s="327"/>
      <c r="R374" s="327"/>
    </row>
    <row r="375" spans="12:18">
      <c r="L375" s="325">
        <f t="shared" si="23"/>
        <v>372</v>
      </c>
      <c r="M375" s="328">
        <f t="shared" si="25"/>
        <v>0.91833333333333411</v>
      </c>
      <c r="N375" s="329">
        <f t="shared" si="27"/>
        <v>-0.50769230769231477</v>
      </c>
      <c r="O375" s="327"/>
      <c r="P375" s="327"/>
      <c r="Q375" s="327"/>
      <c r="R375" s="327"/>
    </row>
    <row r="376" spans="12:18">
      <c r="L376" s="325">
        <f t="shared" si="23"/>
        <v>373</v>
      </c>
      <c r="M376" s="328">
        <f t="shared" si="25"/>
        <v>0.92125000000000079</v>
      </c>
      <c r="N376" s="329">
        <f t="shared" si="27"/>
        <v>-0.53076923076923799</v>
      </c>
      <c r="O376" s="327"/>
      <c r="P376" s="327"/>
      <c r="Q376" s="327"/>
      <c r="R376" s="327"/>
    </row>
    <row r="377" spans="12:18">
      <c r="L377" s="325">
        <f t="shared" si="23"/>
        <v>374</v>
      </c>
      <c r="M377" s="328">
        <f t="shared" si="25"/>
        <v>0.92416666666666747</v>
      </c>
      <c r="N377" s="329">
        <f t="shared" si="27"/>
        <v>-0.5538461538461612</v>
      </c>
      <c r="O377" s="327"/>
      <c r="P377" s="327"/>
      <c r="Q377" s="327"/>
      <c r="R377" s="327"/>
    </row>
    <row r="378" spans="12:18">
      <c r="L378" s="325">
        <f t="shared" si="23"/>
        <v>375</v>
      </c>
      <c r="M378" s="328">
        <f t="shared" si="25"/>
        <v>0.92708333333333415</v>
      </c>
      <c r="N378" s="329">
        <f t="shared" si="27"/>
        <v>-0.5769230769230842</v>
      </c>
      <c r="O378" s="327"/>
      <c r="P378" s="327"/>
      <c r="Q378" s="327"/>
      <c r="R378" s="327"/>
    </row>
    <row r="379" spans="12:18">
      <c r="L379" s="325">
        <f t="shared" si="23"/>
        <v>376</v>
      </c>
      <c r="M379" s="328">
        <f t="shared" si="25"/>
        <v>0.93000000000000083</v>
      </c>
      <c r="N379" s="329">
        <f t="shared" si="27"/>
        <v>-0.60000000000000742</v>
      </c>
      <c r="O379" s="327"/>
      <c r="P379" s="327"/>
      <c r="Q379" s="327"/>
      <c r="R379" s="327"/>
    </row>
    <row r="380" spans="12:18">
      <c r="L380" s="325">
        <f t="shared" si="23"/>
        <v>377</v>
      </c>
      <c r="M380" s="328">
        <f t="shared" si="25"/>
        <v>0.9329166666666675</v>
      </c>
      <c r="N380" s="329">
        <f t="shared" ref="N380:N395" si="28">N180</f>
        <v>-0.62307692307693063</v>
      </c>
      <c r="O380" s="327"/>
      <c r="P380" s="327"/>
      <c r="Q380" s="327"/>
      <c r="R380" s="327"/>
    </row>
    <row r="381" spans="12:18">
      <c r="L381" s="325">
        <f t="shared" si="23"/>
        <v>378</v>
      </c>
      <c r="M381" s="328">
        <f t="shared" si="25"/>
        <v>0.93583333333333418</v>
      </c>
      <c r="N381" s="329">
        <f t="shared" si="28"/>
        <v>-0.64615384615385385</v>
      </c>
      <c r="O381" s="327"/>
      <c r="P381" s="327"/>
      <c r="Q381" s="327"/>
      <c r="R381" s="327"/>
    </row>
    <row r="382" spans="12:18">
      <c r="L382" s="325">
        <f t="shared" si="23"/>
        <v>379</v>
      </c>
      <c r="M382" s="328">
        <f t="shared" si="25"/>
        <v>0.93875000000000086</v>
      </c>
      <c r="N382" s="329">
        <f t="shared" si="28"/>
        <v>-0.66923076923077707</v>
      </c>
      <c r="O382" s="327"/>
      <c r="P382" s="327"/>
      <c r="Q382" s="327"/>
      <c r="R382" s="327"/>
    </row>
    <row r="383" spans="12:18">
      <c r="L383" s="325">
        <f t="shared" si="23"/>
        <v>380</v>
      </c>
      <c r="M383" s="328">
        <f t="shared" si="25"/>
        <v>0.94166666666666754</v>
      </c>
      <c r="N383" s="329">
        <f t="shared" si="28"/>
        <v>-0.69230769230770006</v>
      </c>
      <c r="O383" s="327"/>
      <c r="P383" s="327"/>
      <c r="Q383" s="327"/>
      <c r="R383" s="327"/>
    </row>
    <row r="384" spans="12:18">
      <c r="L384" s="325">
        <f t="shared" si="23"/>
        <v>381</v>
      </c>
      <c r="M384" s="328">
        <f t="shared" si="25"/>
        <v>0.94458333333333422</v>
      </c>
      <c r="N384" s="329">
        <f t="shared" si="28"/>
        <v>-0.71538461538462328</v>
      </c>
      <c r="O384" s="327"/>
      <c r="P384" s="327"/>
      <c r="Q384" s="327"/>
      <c r="R384" s="327"/>
    </row>
    <row r="385" spans="12:18">
      <c r="L385" s="325">
        <f t="shared" si="23"/>
        <v>382</v>
      </c>
      <c r="M385" s="328">
        <f t="shared" si="25"/>
        <v>0.9475000000000009</v>
      </c>
      <c r="N385" s="329">
        <f t="shared" si="28"/>
        <v>-0.7384615384615465</v>
      </c>
      <c r="O385" s="327"/>
      <c r="P385" s="327"/>
      <c r="Q385" s="327"/>
      <c r="R385" s="327"/>
    </row>
    <row r="386" spans="12:18">
      <c r="L386" s="325">
        <f t="shared" si="23"/>
        <v>383</v>
      </c>
      <c r="M386" s="328">
        <f t="shared" si="25"/>
        <v>0.95041666666666758</v>
      </c>
      <c r="N386" s="329">
        <f t="shared" si="28"/>
        <v>-0.76153846153846971</v>
      </c>
      <c r="O386" s="327"/>
      <c r="P386" s="327"/>
      <c r="Q386" s="327"/>
      <c r="R386" s="327"/>
    </row>
    <row r="387" spans="12:18">
      <c r="L387" s="325">
        <f t="shared" si="23"/>
        <v>384</v>
      </c>
      <c r="M387" s="328">
        <f t="shared" si="25"/>
        <v>0.95333333333333425</v>
      </c>
      <c r="N387" s="329">
        <f t="shared" si="28"/>
        <v>-0.78461538461539293</v>
      </c>
      <c r="O387" s="327"/>
      <c r="P387" s="327"/>
      <c r="Q387" s="327"/>
      <c r="R387" s="327"/>
    </row>
    <row r="388" spans="12:18">
      <c r="L388" s="325">
        <f t="shared" si="23"/>
        <v>385</v>
      </c>
      <c r="M388" s="328">
        <f t="shared" si="25"/>
        <v>0.95625000000000093</v>
      </c>
      <c r="N388" s="329">
        <f t="shared" si="28"/>
        <v>-0.80769230769231615</v>
      </c>
      <c r="O388" s="327"/>
      <c r="P388" s="327"/>
      <c r="Q388" s="327"/>
      <c r="R388" s="327"/>
    </row>
    <row r="389" spans="12:18">
      <c r="L389" s="325">
        <f t="shared" ref="L389:L404" si="29">L388+1</f>
        <v>386</v>
      </c>
      <c r="M389" s="328">
        <f t="shared" si="25"/>
        <v>0.95916666666666761</v>
      </c>
      <c r="N389" s="329">
        <f t="shared" si="28"/>
        <v>-0.83076923076923914</v>
      </c>
      <c r="O389" s="327"/>
      <c r="P389" s="327"/>
      <c r="Q389" s="327"/>
      <c r="R389" s="327"/>
    </row>
    <row r="390" spans="12:18">
      <c r="L390" s="325">
        <f t="shared" si="29"/>
        <v>387</v>
      </c>
      <c r="M390" s="328">
        <f t="shared" si="25"/>
        <v>0.96208333333333429</v>
      </c>
      <c r="N390" s="329">
        <f t="shared" si="28"/>
        <v>-0.85384615384616258</v>
      </c>
      <c r="O390" s="327"/>
      <c r="P390" s="327"/>
      <c r="Q390" s="327"/>
      <c r="R390" s="327"/>
    </row>
    <row r="391" spans="12:18">
      <c r="L391" s="325">
        <f t="shared" si="29"/>
        <v>388</v>
      </c>
      <c r="M391" s="328">
        <f t="shared" si="25"/>
        <v>0.96500000000000097</v>
      </c>
      <c r="N391" s="329">
        <f t="shared" si="28"/>
        <v>-0.87692307692308558</v>
      </c>
      <c r="O391" s="327"/>
      <c r="P391" s="327"/>
      <c r="Q391" s="327"/>
      <c r="R391" s="327"/>
    </row>
    <row r="392" spans="12:18">
      <c r="L392" s="325">
        <f t="shared" si="29"/>
        <v>389</v>
      </c>
      <c r="M392" s="328">
        <f t="shared" si="25"/>
        <v>0.96791666666666765</v>
      </c>
      <c r="N392" s="329">
        <f t="shared" si="28"/>
        <v>-0.90000000000000857</v>
      </c>
      <c r="O392" s="327"/>
      <c r="P392" s="327"/>
      <c r="Q392" s="327"/>
      <c r="R392" s="327"/>
    </row>
    <row r="393" spans="12:18">
      <c r="L393" s="325">
        <f t="shared" si="29"/>
        <v>390</v>
      </c>
      <c r="M393" s="328">
        <f t="shared" si="25"/>
        <v>0.97083333333333433</v>
      </c>
      <c r="N393" s="329">
        <f t="shared" si="28"/>
        <v>-0.92307692307693201</v>
      </c>
      <c r="O393" s="327"/>
      <c r="P393" s="327"/>
      <c r="Q393" s="327"/>
      <c r="R393" s="327"/>
    </row>
    <row r="394" spans="12:18">
      <c r="L394" s="325">
        <f t="shared" si="29"/>
        <v>391</v>
      </c>
      <c r="M394" s="328">
        <f t="shared" si="25"/>
        <v>0.973750000000001</v>
      </c>
      <c r="N394" s="329">
        <f t="shared" si="28"/>
        <v>-0.946153846153855</v>
      </c>
      <c r="O394" s="327"/>
      <c r="P394" s="327"/>
      <c r="Q394" s="327"/>
      <c r="R394" s="327"/>
    </row>
    <row r="395" spans="12:18">
      <c r="L395" s="325">
        <f t="shared" si="29"/>
        <v>392</v>
      </c>
      <c r="M395" s="328">
        <f t="shared" si="25"/>
        <v>0.97666666666666768</v>
      </c>
      <c r="N395" s="329">
        <f t="shared" si="28"/>
        <v>-0.96923076923077844</v>
      </c>
      <c r="O395" s="327"/>
      <c r="P395" s="327"/>
      <c r="Q395" s="327"/>
      <c r="R395" s="327"/>
    </row>
    <row r="396" spans="12:18">
      <c r="L396" s="325">
        <f t="shared" si="29"/>
        <v>393</v>
      </c>
      <c r="M396" s="328">
        <f t="shared" si="25"/>
        <v>0.97958333333333436</v>
      </c>
      <c r="N396" s="329">
        <f t="shared" ref="N396:N402" si="30">N196</f>
        <v>-0.99230769230770144</v>
      </c>
      <c r="O396" s="327"/>
      <c r="P396" s="327"/>
      <c r="Q396" s="327"/>
      <c r="R396" s="327"/>
    </row>
    <row r="397" spans="12:18">
      <c r="L397" s="325">
        <f t="shared" si="29"/>
        <v>394</v>
      </c>
      <c r="M397" s="328">
        <f t="shared" ref="M397:M403" si="31">1/($B$29*10^3)*10^6+M197</f>
        <v>0.98250000000000104</v>
      </c>
      <c r="N397" s="329">
        <f t="shared" si="30"/>
        <v>-1.0153846153846244</v>
      </c>
      <c r="O397" s="327"/>
      <c r="P397" s="327"/>
      <c r="Q397" s="327"/>
      <c r="R397" s="327"/>
    </row>
    <row r="398" spans="12:18">
      <c r="L398" s="325">
        <f t="shared" si="29"/>
        <v>395</v>
      </c>
      <c r="M398" s="328">
        <f t="shared" si="31"/>
        <v>0.98541666666666772</v>
      </c>
      <c r="N398" s="329">
        <f t="shared" si="30"/>
        <v>-1.0384615384615479</v>
      </c>
      <c r="O398" s="327"/>
      <c r="P398" s="327"/>
      <c r="Q398" s="327"/>
      <c r="R398" s="327"/>
    </row>
    <row r="399" spans="12:18">
      <c r="L399" s="325">
        <f t="shared" si="29"/>
        <v>396</v>
      </c>
      <c r="M399" s="328">
        <f t="shared" si="31"/>
        <v>0.9883333333333344</v>
      </c>
      <c r="N399" s="329">
        <f t="shared" si="30"/>
        <v>-1.0615384615384709</v>
      </c>
      <c r="O399" s="327"/>
      <c r="P399" s="327"/>
      <c r="Q399" s="327"/>
      <c r="R399" s="327"/>
    </row>
    <row r="400" spans="12:18">
      <c r="L400" s="325">
        <f t="shared" si="29"/>
        <v>397</v>
      </c>
      <c r="M400" s="328">
        <f t="shared" si="31"/>
        <v>0.99125000000000107</v>
      </c>
      <c r="N400" s="329">
        <f t="shared" si="30"/>
        <v>-1.0846153846153943</v>
      </c>
      <c r="O400" s="327"/>
      <c r="P400" s="327"/>
      <c r="Q400" s="327"/>
      <c r="R400" s="327"/>
    </row>
    <row r="401" spans="12:18">
      <c r="L401" s="325">
        <f t="shared" si="29"/>
        <v>398</v>
      </c>
      <c r="M401" s="328">
        <f t="shared" si="31"/>
        <v>0.99416666666666775</v>
      </c>
      <c r="N401" s="329">
        <f t="shared" si="30"/>
        <v>-1.1076923076923173</v>
      </c>
      <c r="O401" s="327"/>
      <c r="P401" s="327"/>
      <c r="Q401" s="327"/>
      <c r="R401" s="327"/>
    </row>
    <row r="402" spans="12:18">
      <c r="L402" s="325">
        <f t="shared" si="29"/>
        <v>399</v>
      </c>
      <c r="M402" s="328">
        <f t="shared" si="31"/>
        <v>0.99708333333333443</v>
      </c>
      <c r="N402" s="329">
        <f t="shared" si="30"/>
        <v>-1.1307692307692407</v>
      </c>
      <c r="O402" s="327"/>
      <c r="P402" s="327"/>
      <c r="Q402" s="327"/>
      <c r="R402" s="327"/>
    </row>
    <row r="403" spans="12:18">
      <c r="L403" s="325">
        <f t="shared" si="29"/>
        <v>400</v>
      </c>
      <c r="M403" s="328">
        <f t="shared" si="31"/>
        <v>1.0000000000000009</v>
      </c>
      <c r="N403" s="329">
        <f>N203</f>
        <v>-1.1538461538461633</v>
      </c>
      <c r="O403" s="327"/>
      <c r="P403" s="327"/>
      <c r="Q403" s="327"/>
      <c r="R403" s="327"/>
    </row>
    <row r="404" spans="12:18">
      <c r="L404" s="325">
        <f t="shared" si="29"/>
        <v>401</v>
      </c>
      <c r="M404" s="328">
        <f>M403</f>
        <v>1.0000000000000009</v>
      </c>
      <c r="N404" s="329">
        <f>N403</f>
        <v>-1.1538461538461633</v>
      </c>
      <c r="O404" s="327"/>
      <c r="P404" s="327"/>
      <c r="Q404" s="327"/>
      <c r="R404" s="327"/>
    </row>
  </sheetData>
  <phoneticPr fontId="13"/>
  <conditionalFormatting sqref="B30">
    <cfRule type="cellIs" dxfId="0" priority="1" stopIfTrue="1" operator="lessThan">
      <formula>$F$30</formula>
    </cfRule>
  </conditionalFormatting>
  <pageMargins left="0.78700000000000003" right="0.78700000000000003" top="0.98399999999999999" bottom="0.98399999999999999" header="0.51200000000000001" footer="0.51200000000000001"/>
  <pageSetup paperSize="9" orientation="portrait"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06FBEA1-8DF9-4A8E-A90E-D91EAC779F43}">
  <ds:schemaRefs>
    <ds:schemaRef ds:uri="http://schemas.microsoft.com/DataMashup"/>
  </ds:schemaRefs>
</ds:datastoreItem>
</file>

<file path=docMetadata/LabelInfo.xml><?xml version="1.0" encoding="utf-8"?>
<clbl:labelList xmlns:clbl="http://schemas.microsoft.com/office/2020/mipLabelMetadata">
  <clbl:label id="{4863f5d6-4760-4589-be9c-42f82e075739}" enabled="0" method="" siteId="{4863f5d6-4760-4589-be9c-42f82e07573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Automotive</vt:lpstr>
      <vt:lpstr>PN-&gt;Parameter</vt:lpstr>
      <vt:lpstr>DCDC Ref</vt:lpstr>
      <vt:lpstr>Non Auto</vt:lpstr>
      <vt:lpstr>Disclaimer</vt:lpstr>
      <vt:lpstr>All Data</vt:lpstr>
      <vt:lpstr>Automotive!Print_Area</vt:lpstr>
      <vt:lpstr>'DCDC Ref'!Print_Area</vt:lpstr>
      <vt:lpstr>Disclaimer!Print_Area</vt:lpstr>
      <vt:lpstr>'PN-&gt;Parameter'!Print_Area</vt:lpstr>
      <vt:lpstr>Wav!Print_Area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Kimura, Masahiko (木村　政彦)</dc:creator>
  <cp:keywords/>
  <dc:description/>
  <cp:lastModifiedBy>Samuel Hasan</cp:lastModifiedBy>
  <cp:revision/>
  <dcterms:created xsi:type="dcterms:W3CDTF">2014-01-06T04:54:53Z</dcterms:created>
  <dcterms:modified xsi:type="dcterms:W3CDTF">2026-03-05T21:21:00Z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e4da7592-a641-49f0-911e-69da5b5c2c09</vt:lpwstr>
  </property>
</Properties>
</file>