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wenxin.snp/PycharmProjects/viewCEM/io/Energy_Flow/"/>
    </mc:Choice>
  </mc:AlternateContent>
  <xr:revisionPtr revIDLastSave="0" documentId="13_ncr:1_{7256AB1E-897B-144C-AEB2-E37394A567DF}" xr6:coauthVersionLast="47" xr6:coauthVersionMax="47" xr10:uidLastSave="{00000000-0000-0000-0000-000000000000}"/>
  <bookViews>
    <workbookView xWindow="0" yWindow="460" windowWidth="28000" windowHeight="15760" tabRatio="909" activeTab="6" xr2:uid="{00000000-000D-0000-FFFF-FFFF00000000}"/>
  </bookViews>
  <sheets>
    <sheet name="source_data" sheetId="21" r:id="rId1"/>
    <sheet name="line_prep" sheetId="22" r:id="rId2"/>
    <sheet name="node_prep" sheetId="23" r:id="rId3"/>
    <sheet name="line_to_other" sheetId="30" r:id="rId4"/>
    <sheet name="line_to_power" sheetId="26" r:id="rId5"/>
    <sheet name="line_from_other" sheetId="27" r:id="rId6"/>
    <sheet name="line_to_final" sheetId="28" r:id="rId7"/>
    <sheet name="nodes" sheetId="25" r:id="rId8"/>
    <sheet name="lines" sheetId="31" r:id="rId9"/>
  </sheets>
  <externalReferences>
    <externalReference r:id="rId10"/>
  </externalReferences>
  <definedNames>
    <definedName name="_xlnm._FilterDatabase" localSheetId="5" hidden="1">line_from_other!$A$3:$V$9</definedName>
    <definedName name="_xlnm._FilterDatabase" localSheetId="1" hidden="1">line_prep!$A$1:$E$38</definedName>
    <definedName name="_xlnm._FilterDatabase" localSheetId="6" hidden="1">line_to_final!$A$3:$V$22</definedName>
    <definedName name="_xlnm._FilterDatabase" localSheetId="3" hidden="1">line_to_other!$A$3:$V$7</definedName>
    <definedName name="_xlnm._FilterDatabase" localSheetId="4" hidden="1">line_to_power!$A$3:$V$11</definedName>
    <definedName name="_xlnm._FilterDatabase" localSheetId="2" hidden="1">node_prep!$A$1:$C$23</definedName>
    <definedName name="_xlnm._FilterDatabase" localSheetId="7" hidden="1">nodes!$A$3:$Q$23</definedName>
    <definedName name="_xlnm._FilterDatabase" localSheetId="0" hidden="1">source_data!$A$1:$C$42</definedName>
    <definedName name="EFCVariables">[1]variables_by_tiers!$D$2:$D$3381</definedName>
    <definedName name="EPSVariables">[1]variables_by_tiers!$A$2:$A$3381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1" l="1"/>
  <c r="N6" i="31"/>
  <c r="N7" i="31"/>
  <c r="N8" i="31"/>
  <c r="N9" i="31"/>
  <c r="N10" i="31"/>
  <c r="N11" i="31"/>
  <c r="N12" i="31"/>
  <c r="S12" i="31" s="1"/>
  <c r="N13" i="31"/>
  <c r="N14" i="31"/>
  <c r="N15" i="31"/>
  <c r="N16" i="31"/>
  <c r="N17" i="31"/>
  <c r="N4" i="31"/>
  <c r="L16" i="31"/>
  <c r="L17" i="31"/>
  <c r="L18" i="31"/>
  <c r="L19" i="31"/>
  <c r="L20" i="31"/>
  <c r="M20" i="31" s="1"/>
  <c r="L21" i="31"/>
  <c r="L22" i="31"/>
  <c r="L23" i="31"/>
  <c r="L24" i="31"/>
  <c r="L30" i="31"/>
  <c r="L36" i="31"/>
  <c r="L4" i="31"/>
  <c r="M4" i="31" s="1"/>
  <c r="Q40" i="31"/>
  <c r="U40" i="31" s="1"/>
  <c r="F40" i="31"/>
  <c r="E40" i="31"/>
  <c r="D40" i="31"/>
  <c r="A40" i="31"/>
  <c r="T39" i="31"/>
  <c r="Q39" i="31"/>
  <c r="F39" i="31"/>
  <c r="E39" i="31"/>
  <c r="D39" i="31"/>
  <c r="A39" i="31"/>
  <c r="Q38" i="31"/>
  <c r="U38" i="31" s="1"/>
  <c r="F38" i="31"/>
  <c r="E38" i="31"/>
  <c r="D38" i="31"/>
  <c r="A38" i="31"/>
  <c r="Q37" i="31"/>
  <c r="F37" i="31"/>
  <c r="E37" i="31"/>
  <c r="D37" i="31"/>
  <c r="A37" i="31"/>
  <c r="T36" i="31"/>
  <c r="Q36" i="31"/>
  <c r="U36" i="31" s="1"/>
  <c r="F36" i="31"/>
  <c r="E36" i="31"/>
  <c r="D36" i="31"/>
  <c r="A36" i="31"/>
  <c r="T35" i="31"/>
  <c r="Q35" i="31"/>
  <c r="U35" i="31" s="1"/>
  <c r="F35" i="31"/>
  <c r="E35" i="31"/>
  <c r="D35" i="31"/>
  <c r="A35" i="31"/>
  <c r="T34" i="31"/>
  <c r="Q34" i="31"/>
  <c r="U34" i="31" s="1"/>
  <c r="F34" i="31"/>
  <c r="E34" i="31"/>
  <c r="D34" i="31"/>
  <c r="A34" i="31"/>
  <c r="T33" i="31"/>
  <c r="Q33" i="31"/>
  <c r="F33" i="31"/>
  <c r="E33" i="31"/>
  <c r="D33" i="31"/>
  <c r="A33" i="31"/>
  <c r="T32" i="31"/>
  <c r="Q32" i="31"/>
  <c r="F32" i="31"/>
  <c r="E32" i="31"/>
  <c r="D32" i="31"/>
  <c r="A32" i="31"/>
  <c r="T31" i="31"/>
  <c r="Q31" i="31"/>
  <c r="F31" i="31"/>
  <c r="E31" i="31"/>
  <c r="D31" i="31"/>
  <c r="A31" i="31"/>
  <c r="T30" i="31"/>
  <c r="Q30" i="31"/>
  <c r="M30" i="31"/>
  <c r="F30" i="31"/>
  <c r="E30" i="31"/>
  <c r="D30" i="31"/>
  <c r="A30" i="31"/>
  <c r="Q29" i="31"/>
  <c r="U29" i="31" s="1"/>
  <c r="F29" i="31"/>
  <c r="E29" i="31"/>
  <c r="D29" i="31"/>
  <c r="A29" i="31"/>
  <c r="T28" i="31"/>
  <c r="Q28" i="31"/>
  <c r="U28" i="31" s="1"/>
  <c r="F28" i="31"/>
  <c r="E28" i="31"/>
  <c r="D28" i="31"/>
  <c r="A28" i="31"/>
  <c r="U27" i="31"/>
  <c r="T27" i="31"/>
  <c r="Q27" i="31"/>
  <c r="F27" i="31"/>
  <c r="E27" i="31"/>
  <c r="D27" i="31"/>
  <c r="A27" i="31"/>
  <c r="U26" i="31"/>
  <c r="T26" i="31"/>
  <c r="Q26" i="31"/>
  <c r="F26" i="31"/>
  <c r="E26" i="31"/>
  <c r="D26" i="31"/>
  <c r="A26" i="31"/>
  <c r="T25" i="31"/>
  <c r="Q25" i="31"/>
  <c r="F25" i="31"/>
  <c r="E25" i="31"/>
  <c r="D25" i="31"/>
  <c r="A25" i="31"/>
  <c r="T24" i="31"/>
  <c r="Q24" i="31"/>
  <c r="M24" i="31"/>
  <c r="F24" i="31"/>
  <c r="E24" i="31"/>
  <c r="D24" i="31"/>
  <c r="A24" i="31"/>
  <c r="T23" i="31"/>
  <c r="Q23" i="31"/>
  <c r="M23" i="31"/>
  <c r="F23" i="31"/>
  <c r="E23" i="31"/>
  <c r="D23" i="31"/>
  <c r="A23" i="31"/>
  <c r="T22" i="31"/>
  <c r="Q22" i="31"/>
  <c r="M22" i="31"/>
  <c r="G22" i="31"/>
  <c r="H22" i="31" s="1"/>
  <c r="F22" i="31"/>
  <c r="E22" i="31"/>
  <c r="D22" i="31"/>
  <c r="A22" i="31"/>
  <c r="T21" i="31"/>
  <c r="Q21" i="31"/>
  <c r="M21" i="31"/>
  <c r="F21" i="31"/>
  <c r="E21" i="31"/>
  <c r="D21" i="31"/>
  <c r="A21" i="31"/>
  <c r="Q20" i="31"/>
  <c r="F20" i="31"/>
  <c r="E20" i="31"/>
  <c r="D20" i="31"/>
  <c r="A20" i="31"/>
  <c r="T19" i="31"/>
  <c r="Q19" i="31"/>
  <c r="M19" i="31"/>
  <c r="F19" i="31"/>
  <c r="E19" i="31"/>
  <c r="D19" i="31"/>
  <c r="A19" i="31"/>
  <c r="Q18" i="31"/>
  <c r="M18" i="31"/>
  <c r="G18" i="31"/>
  <c r="H18" i="31" s="1"/>
  <c r="F18" i="31"/>
  <c r="E18" i="31"/>
  <c r="D18" i="31"/>
  <c r="A18" i="31"/>
  <c r="T17" i="31"/>
  <c r="S17" i="31"/>
  <c r="Q17" i="31"/>
  <c r="O17" i="31"/>
  <c r="M17" i="31"/>
  <c r="F17" i="31"/>
  <c r="E17" i="31"/>
  <c r="D17" i="31"/>
  <c r="A17" i="31"/>
  <c r="T16" i="31"/>
  <c r="S16" i="31"/>
  <c r="Q16" i="31"/>
  <c r="O16" i="31"/>
  <c r="M16" i="31"/>
  <c r="J16" i="31"/>
  <c r="R16" i="31" s="1"/>
  <c r="F16" i="31"/>
  <c r="E16" i="31"/>
  <c r="D16" i="31"/>
  <c r="A16" i="31"/>
  <c r="T15" i="31"/>
  <c r="S15" i="31"/>
  <c r="Q15" i="31"/>
  <c r="O15" i="31"/>
  <c r="J15" i="31"/>
  <c r="R15" i="31" s="1"/>
  <c r="G15" i="31"/>
  <c r="H15" i="31" s="1"/>
  <c r="F15" i="31"/>
  <c r="E15" i="31"/>
  <c r="D15" i="31"/>
  <c r="A15" i="31"/>
  <c r="T14" i="31"/>
  <c r="S14" i="31"/>
  <c r="Q14" i="31"/>
  <c r="O14" i="31"/>
  <c r="G14" i="31"/>
  <c r="H14" i="31" s="1"/>
  <c r="F14" i="31"/>
  <c r="E14" i="31"/>
  <c r="D14" i="31"/>
  <c r="A14" i="31"/>
  <c r="T13" i="31"/>
  <c r="S13" i="31"/>
  <c r="Q13" i="31"/>
  <c r="O13" i="31"/>
  <c r="J13" i="31"/>
  <c r="R13" i="31" s="1"/>
  <c r="F13" i="31"/>
  <c r="E13" i="31"/>
  <c r="D13" i="31"/>
  <c r="A13" i="31"/>
  <c r="U12" i="31"/>
  <c r="Q12" i="31"/>
  <c r="G12" i="31"/>
  <c r="H12" i="31" s="1"/>
  <c r="F12" i="31"/>
  <c r="E12" i="31"/>
  <c r="D12" i="31"/>
  <c r="A12" i="31"/>
  <c r="S11" i="31"/>
  <c r="Q11" i="31"/>
  <c r="U11" i="31" s="1"/>
  <c r="O11" i="31"/>
  <c r="H11" i="31"/>
  <c r="G11" i="31"/>
  <c r="F11" i="31"/>
  <c r="E11" i="31"/>
  <c r="D11" i="31"/>
  <c r="A11" i="31"/>
  <c r="T10" i="31"/>
  <c r="S10" i="31"/>
  <c r="Q10" i="31"/>
  <c r="O10" i="31"/>
  <c r="G10" i="31"/>
  <c r="H10" i="31" s="1"/>
  <c r="F10" i="31"/>
  <c r="E10" i="31"/>
  <c r="D10" i="31"/>
  <c r="A10" i="31"/>
  <c r="T9" i="31"/>
  <c r="S9" i="31"/>
  <c r="Q9" i="31"/>
  <c r="O9" i="31"/>
  <c r="J9" i="31"/>
  <c r="R9" i="31" s="1"/>
  <c r="G9" i="31"/>
  <c r="H9" i="31" s="1"/>
  <c r="F9" i="31"/>
  <c r="E9" i="31"/>
  <c r="D9" i="31"/>
  <c r="A9" i="31"/>
  <c r="T8" i="31"/>
  <c r="S8" i="31"/>
  <c r="Q8" i="31"/>
  <c r="O8" i="31"/>
  <c r="F8" i="31"/>
  <c r="E8" i="31"/>
  <c r="D8" i="31"/>
  <c r="A8" i="31"/>
  <c r="Q7" i="31"/>
  <c r="O7" i="31"/>
  <c r="J7" i="31"/>
  <c r="G7" i="31"/>
  <c r="H7" i="31" s="1"/>
  <c r="F7" i="31"/>
  <c r="E7" i="31"/>
  <c r="D7" i="31"/>
  <c r="A7" i="31"/>
  <c r="Q6" i="31"/>
  <c r="O6" i="31"/>
  <c r="F6" i="31"/>
  <c r="E6" i="31"/>
  <c r="D6" i="31"/>
  <c r="A6" i="31"/>
  <c r="Q5" i="31"/>
  <c r="O5" i="31"/>
  <c r="F5" i="31"/>
  <c r="E5" i="31"/>
  <c r="D5" i="31"/>
  <c r="A5" i="31"/>
  <c r="Q4" i="31"/>
  <c r="O4" i="31"/>
  <c r="G4" i="31"/>
  <c r="H4" i="31" s="1"/>
  <c r="F4" i="31"/>
  <c r="E4" i="31"/>
  <c r="D4" i="31"/>
  <c r="A4" i="31"/>
  <c r="L23" i="25"/>
  <c r="J23" i="25"/>
  <c r="I23" i="25" s="1"/>
  <c r="E23" i="25"/>
  <c r="C23" i="25"/>
  <c r="J37" i="31" s="1"/>
  <c r="B23" i="25"/>
  <c r="K23" i="25" s="1"/>
  <c r="L22" i="25"/>
  <c r="J22" i="25"/>
  <c r="I22" i="25" s="1"/>
  <c r="E22" i="25"/>
  <c r="C22" i="25"/>
  <c r="J33" i="31" s="1"/>
  <c r="R33" i="31" s="1"/>
  <c r="B22" i="25"/>
  <c r="K22" i="25" s="1"/>
  <c r="L21" i="25"/>
  <c r="E21" i="25"/>
  <c r="C21" i="25"/>
  <c r="J29" i="31" s="1"/>
  <c r="B21" i="25"/>
  <c r="K21" i="25" s="1"/>
  <c r="M20" i="25"/>
  <c r="L20" i="25"/>
  <c r="K20" i="25"/>
  <c r="E20" i="25"/>
  <c r="C20" i="25"/>
  <c r="J17" i="31" s="1"/>
  <c r="B20" i="25"/>
  <c r="J20" i="25" s="1"/>
  <c r="L19" i="25"/>
  <c r="J19" i="25"/>
  <c r="I19" i="25" s="1"/>
  <c r="E19" i="25"/>
  <c r="C19" i="25"/>
  <c r="J23" i="31" s="1"/>
  <c r="B19" i="25"/>
  <c r="K19" i="25" s="1"/>
  <c r="L18" i="25"/>
  <c r="E18" i="25"/>
  <c r="C18" i="25"/>
  <c r="J22" i="31" s="1"/>
  <c r="B18" i="25"/>
  <c r="K18" i="25" s="1"/>
  <c r="L17" i="25"/>
  <c r="E17" i="25"/>
  <c r="G33" i="31" s="1"/>
  <c r="H33" i="31" s="1"/>
  <c r="C17" i="25"/>
  <c r="J21" i="31" s="1"/>
  <c r="B17" i="25"/>
  <c r="J17" i="25" s="1"/>
  <c r="I17" i="25" s="1"/>
  <c r="L16" i="25"/>
  <c r="E16" i="25"/>
  <c r="G38" i="31" s="1"/>
  <c r="H38" i="31" s="1"/>
  <c r="C16" i="25"/>
  <c r="J20" i="31" s="1"/>
  <c r="B16" i="25"/>
  <c r="J16" i="25" s="1"/>
  <c r="I16" i="25" s="1"/>
  <c r="L15" i="25"/>
  <c r="J15" i="25"/>
  <c r="I15" i="25"/>
  <c r="E15" i="25"/>
  <c r="G31" i="31" s="1"/>
  <c r="H31" i="31" s="1"/>
  <c r="C15" i="25"/>
  <c r="J19" i="31" s="1"/>
  <c r="B15" i="25"/>
  <c r="K15" i="25" s="1"/>
  <c r="L14" i="25"/>
  <c r="E14" i="25"/>
  <c r="G25" i="31" s="1"/>
  <c r="H25" i="31" s="1"/>
  <c r="C14" i="25"/>
  <c r="B14" i="25"/>
  <c r="K14" i="25" s="1"/>
  <c r="M13" i="25"/>
  <c r="L13" i="25"/>
  <c r="E13" i="25"/>
  <c r="G17" i="31" s="1"/>
  <c r="H17" i="31" s="1"/>
  <c r="C13" i="25"/>
  <c r="J14" i="31" s="1"/>
  <c r="R14" i="31" s="1"/>
  <c r="B13" i="25"/>
  <c r="M12" i="25"/>
  <c r="L12" i="25"/>
  <c r="E12" i="25"/>
  <c r="C12" i="25"/>
  <c r="J8" i="31" s="1"/>
  <c r="R8" i="31" s="1"/>
  <c r="B12" i="25"/>
  <c r="J12" i="25" s="1"/>
  <c r="L11" i="25"/>
  <c r="K11" i="25"/>
  <c r="E11" i="25"/>
  <c r="C11" i="25"/>
  <c r="B11" i="25"/>
  <c r="J11" i="25" s="1"/>
  <c r="I11" i="25" s="1"/>
  <c r="L10" i="25"/>
  <c r="K10" i="25"/>
  <c r="E10" i="25"/>
  <c r="C10" i="25"/>
  <c r="B10" i="25"/>
  <c r="J10" i="25" s="1"/>
  <c r="I10" i="25" s="1"/>
  <c r="L9" i="25"/>
  <c r="J9" i="25"/>
  <c r="I9" i="25"/>
  <c r="E9" i="25"/>
  <c r="G13" i="31" s="1"/>
  <c r="H13" i="31" s="1"/>
  <c r="C9" i="25"/>
  <c r="B9" i="25"/>
  <c r="K9" i="25" s="1"/>
  <c r="L8" i="25"/>
  <c r="E8" i="25"/>
  <c r="G8" i="31" s="1"/>
  <c r="H8" i="31" s="1"/>
  <c r="C8" i="25"/>
  <c r="B8" i="25"/>
  <c r="K8" i="25" s="1"/>
  <c r="L7" i="25"/>
  <c r="J7" i="25"/>
  <c r="I7" i="25" s="1"/>
  <c r="E7" i="25"/>
  <c r="C7" i="25"/>
  <c r="B7" i="25"/>
  <c r="K7" i="25" s="1"/>
  <c r="L6" i="25"/>
  <c r="J6" i="25"/>
  <c r="I6" i="25" s="1"/>
  <c r="E6" i="25"/>
  <c r="G6" i="31" s="1"/>
  <c r="H6" i="31" s="1"/>
  <c r="C6" i="25"/>
  <c r="B6" i="25"/>
  <c r="K6" i="25" s="1"/>
  <c r="L5" i="25"/>
  <c r="J5" i="25"/>
  <c r="I5" i="25" s="1"/>
  <c r="E5" i="25"/>
  <c r="G5" i="31" s="1"/>
  <c r="H5" i="31" s="1"/>
  <c r="C5" i="25"/>
  <c r="B5" i="25"/>
  <c r="K5" i="25" s="1"/>
  <c r="M4" i="25"/>
  <c r="L4" i="25"/>
  <c r="K4" i="25"/>
  <c r="H4" i="25"/>
  <c r="E4" i="25"/>
  <c r="C4" i="25"/>
  <c r="B4" i="25"/>
  <c r="J4" i="25" s="1"/>
  <c r="Q22" i="28"/>
  <c r="U22" i="28" s="1"/>
  <c r="J22" i="28"/>
  <c r="F22" i="28"/>
  <c r="E22" i="28"/>
  <c r="D22" i="28"/>
  <c r="A22" i="28"/>
  <c r="T21" i="28"/>
  <c r="Q21" i="28"/>
  <c r="J21" i="28"/>
  <c r="R21" i="28" s="1"/>
  <c r="F21" i="28"/>
  <c r="E21" i="28"/>
  <c r="D21" i="28"/>
  <c r="A21" i="28"/>
  <c r="U20" i="28"/>
  <c r="Q20" i="28"/>
  <c r="J20" i="28"/>
  <c r="G20" i="28"/>
  <c r="F20" i="28"/>
  <c r="E20" i="28"/>
  <c r="D20" i="28"/>
  <c r="A20" i="28"/>
  <c r="Q19" i="28"/>
  <c r="J19" i="28"/>
  <c r="G19" i="28"/>
  <c r="F19" i="28"/>
  <c r="E19" i="28"/>
  <c r="D19" i="28"/>
  <c r="A19" i="28"/>
  <c r="T18" i="28"/>
  <c r="Q18" i="28"/>
  <c r="U18" i="28" s="1"/>
  <c r="J18" i="28"/>
  <c r="R18" i="28" s="1"/>
  <c r="G18" i="28"/>
  <c r="F18" i="28"/>
  <c r="E18" i="28"/>
  <c r="D18" i="28"/>
  <c r="A18" i="28"/>
  <c r="U17" i="28"/>
  <c r="T17" i="28"/>
  <c r="Q17" i="28"/>
  <c r="J17" i="28"/>
  <c r="G17" i="28"/>
  <c r="F17" i="28"/>
  <c r="E17" i="28"/>
  <c r="D17" i="28"/>
  <c r="A17" i="28"/>
  <c r="U16" i="28"/>
  <c r="T16" i="28"/>
  <c r="Q16" i="28"/>
  <c r="J16" i="28"/>
  <c r="F16" i="28"/>
  <c r="E16" i="28"/>
  <c r="D16" i="28"/>
  <c r="A16" i="28"/>
  <c r="T15" i="28"/>
  <c r="Q15" i="28"/>
  <c r="J15" i="28"/>
  <c r="R15" i="28" s="1"/>
  <c r="G15" i="28"/>
  <c r="F15" i="28"/>
  <c r="E15" i="28"/>
  <c r="D15" i="28"/>
  <c r="A15" i="28"/>
  <c r="T14" i="28"/>
  <c r="Q14" i="28"/>
  <c r="J14" i="28"/>
  <c r="R14" i="28" s="1"/>
  <c r="F14" i="28"/>
  <c r="E14" i="28"/>
  <c r="D14" i="28"/>
  <c r="A14" i="28"/>
  <c r="T13" i="28"/>
  <c r="Q13" i="28"/>
  <c r="J13" i="28"/>
  <c r="R13" i="28" s="1"/>
  <c r="H13" i="28"/>
  <c r="G13" i="28"/>
  <c r="F13" i="28"/>
  <c r="E13" i="28"/>
  <c r="D13" i="28"/>
  <c r="A13" i="28"/>
  <c r="T12" i="28"/>
  <c r="R12" i="28"/>
  <c r="Q12" i="28"/>
  <c r="J12" i="28"/>
  <c r="F12" i="28"/>
  <c r="E12" i="28"/>
  <c r="D12" i="28"/>
  <c r="A12" i="28"/>
  <c r="U11" i="28"/>
  <c r="Q11" i="28"/>
  <c r="J11" i="28"/>
  <c r="F11" i="28"/>
  <c r="E11" i="28"/>
  <c r="D11" i="28"/>
  <c r="A11" i="28"/>
  <c r="U10" i="28"/>
  <c r="T10" i="28"/>
  <c r="Q10" i="28"/>
  <c r="J10" i="28"/>
  <c r="G10" i="28"/>
  <c r="F10" i="28"/>
  <c r="E10" i="28"/>
  <c r="D10" i="28"/>
  <c r="A10" i="28"/>
  <c r="U9" i="28"/>
  <c r="T9" i="28"/>
  <c r="Q9" i="28"/>
  <c r="J9" i="28"/>
  <c r="G9" i="28"/>
  <c r="F9" i="28"/>
  <c r="E9" i="28"/>
  <c r="D9" i="28"/>
  <c r="A9" i="28"/>
  <c r="U8" i="28"/>
  <c r="T8" i="28"/>
  <c r="Q8" i="28"/>
  <c r="J8" i="28"/>
  <c r="H8" i="28"/>
  <c r="G8" i="28"/>
  <c r="F8" i="28"/>
  <c r="E8" i="28"/>
  <c r="D8" i="28"/>
  <c r="A8" i="28"/>
  <c r="T7" i="28"/>
  <c r="Q7" i="28"/>
  <c r="J7" i="28"/>
  <c r="H7" i="28"/>
  <c r="G7" i="28"/>
  <c r="F7" i="28"/>
  <c r="E7" i="28"/>
  <c r="D7" i="28"/>
  <c r="A7" i="28"/>
  <c r="T6" i="28"/>
  <c r="R6" i="28"/>
  <c r="Q6" i="28"/>
  <c r="J6" i="28"/>
  <c r="G6" i="28"/>
  <c r="H6" i="28" s="1"/>
  <c r="F6" i="28"/>
  <c r="E6" i="28"/>
  <c r="D6" i="28"/>
  <c r="A6" i="28"/>
  <c r="T5" i="28"/>
  <c r="Q5" i="28"/>
  <c r="J5" i="28"/>
  <c r="G5" i="28"/>
  <c r="H5" i="28" s="1"/>
  <c r="F5" i="28"/>
  <c r="E5" i="28"/>
  <c r="D5" i="28"/>
  <c r="A5" i="28"/>
  <c r="T4" i="28"/>
  <c r="Q4" i="28"/>
  <c r="J4" i="28"/>
  <c r="R4" i="28" s="1"/>
  <c r="H4" i="28"/>
  <c r="G4" i="28"/>
  <c r="F4" i="28"/>
  <c r="E4" i="28"/>
  <c r="D4" i="28"/>
  <c r="A4" i="28"/>
  <c r="T9" i="27"/>
  <c r="Q9" i="27"/>
  <c r="J9" i="27"/>
  <c r="I9" i="27"/>
  <c r="G9" i="27"/>
  <c r="F9" i="27"/>
  <c r="E9" i="27"/>
  <c r="D9" i="27"/>
  <c r="A9" i="27"/>
  <c r="T8" i="27"/>
  <c r="Q8" i="27"/>
  <c r="J8" i="27"/>
  <c r="I8" i="27"/>
  <c r="H8" i="27"/>
  <c r="G8" i="27"/>
  <c r="K8" i="27" s="1"/>
  <c r="F8" i="27"/>
  <c r="E8" i="27"/>
  <c r="D8" i="27"/>
  <c r="A8" i="27"/>
  <c r="T7" i="27"/>
  <c r="Q7" i="27"/>
  <c r="J7" i="27"/>
  <c r="I7" i="27"/>
  <c r="G7" i="27"/>
  <c r="H7" i="27" s="1"/>
  <c r="K7" i="27" s="1"/>
  <c r="F7" i="27"/>
  <c r="E7" i="27"/>
  <c r="D7" i="27"/>
  <c r="A7" i="27"/>
  <c r="Q6" i="27"/>
  <c r="J6" i="27"/>
  <c r="I6" i="27" s="1"/>
  <c r="H6" i="27"/>
  <c r="G6" i="27"/>
  <c r="F6" i="27"/>
  <c r="E6" i="27"/>
  <c r="D6" i="27"/>
  <c r="A6" i="27"/>
  <c r="T5" i="27"/>
  <c r="Q5" i="27"/>
  <c r="J5" i="27"/>
  <c r="I5" i="27" s="1"/>
  <c r="H5" i="27"/>
  <c r="G5" i="27"/>
  <c r="F5" i="27"/>
  <c r="E5" i="27"/>
  <c r="D5" i="27"/>
  <c r="A5" i="27"/>
  <c r="Q4" i="27"/>
  <c r="G4" i="27"/>
  <c r="H4" i="27" s="1"/>
  <c r="F4" i="27"/>
  <c r="E4" i="27"/>
  <c r="D4" i="27"/>
  <c r="A4" i="27"/>
  <c r="S11" i="26"/>
  <c r="Q11" i="26"/>
  <c r="U11" i="26" s="1"/>
  <c r="O11" i="26"/>
  <c r="J11" i="26"/>
  <c r="R11" i="26" s="1"/>
  <c r="G11" i="26"/>
  <c r="F11" i="26"/>
  <c r="E11" i="26"/>
  <c r="D11" i="26"/>
  <c r="A11" i="26"/>
  <c r="T10" i="26"/>
  <c r="S10" i="26"/>
  <c r="Q10" i="26"/>
  <c r="O10" i="26"/>
  <c r="J10" i="26"/>
  <c r="R10" i="26" s="1"/>
  <c r="G10" i="26"/>
  <c r="F10" i="26"/>
  <c r="E10" i="26"/>
  <c r="D10" i="26"/>
  <c r="A10" i="26"/>
  <c r="T9" i="26"/>
  <c r="S9" i="26"/>
  <c r="Q9" i="26"/>
  <c r="O9" i="26"/>
  <c r="J9" i="26"/>
  <c r="R9" i="26" s="1"/>
  <c r="G9" i="26"/>
  <c r="F9" i="26"/>
  <c r="E9" i="26"/>
  <c r="D9" i="26"/>
  <c r="A9" i="26"/>
  <c r="T8" i="26"/>
  <c r="S8" i="26"/>
  <c r="Q8" i="26"/>
  <c r="O8" i="26"/>
  <c r="J8" i="26"/>
  <c r="R8" i="26" s="1"/>
  <c r="H8" i="26"/>
  <c r="G8" i="26"/>
  <c r="F8" i="26"/>
  <c r="E8" i="26"/>
  <c r="D8" i="26"/>
  <c r="A8" i="26"/>
  <c r="Q7" i="26"/>
  <c r="O7" i="26"/>
  <c r="J7" i="26"/>
  <c r="G7" i="26"/>
  <c r="F7" i="26"/>
  <c r="E7" i="26"/>
  <c r="D7" i="26"/>
  <c r="A7" i="26"/>
  <c r="Q6" i="26"/>
  <c r="O6" i="26"/>
  <c r="J6" i="26"/>
  <c r="G6" i="26"/>
  <c r="H6" i="26" s="1"/>
  <c r="F6" i="26"/>
  <c r="E6" i="26"/>
  <c r="D6" i="26"/>
  <c r="A6" i="26"/>
  <c r="Q5" i="26"/>
  <c r="J5" i="26"/>
  <c r="H5" i="26"/>
  <c r="G5" i="26"/>
  <c r="F5" i="26"/>
  <c r="E5" i="26"/>
  <c r="D5" i="26"/>
  <c r="A5" i="26"/>
  <c r="Q4" i="26"/>
  <c r="L4" i="26"/>
  <c r="M4" i="26" s="1"/>
  <c r="J4" i="26"/>
  <c r="H4" i="26"/>
  <c r="G4" i="26"/>
  <c r="F4" i="26"/>
  <c r="E4" i="26"/>
  <c r="D4" i="26"/>
  <c r="A4" i="26"/>
  <c r="T7" i="30"/>
  <c r="Q7" i="30"/>
  <c r="J7" i="30"/>
  <c r="R7" i="30" s="1"/>
  <c r="G7" i="30"/>
  <c r="H7" i="30" s="1"/>
  <c r="F7" i="30"/>
  <c r="E7" i="30"/>
  <c r="D7" i="30"/>
  <c r="A7" i="30"/>
  <c r="T6" i="30"/>
  <c r="Q6" i="30"/>
  <c r="J6" i="30"/>
  <c r="R6" i="30" s="1"/>
  <c r="G6" i="30"/>
  <c r="F6" i="30"/>
  <c r="E6" i="30"/>
  <c r="D6" i="30"/>
  <c r="A6" i="30"/>
  <c r="T5" i="30"/>
  <c r="Q5" i="30"/>
  <c r="J5" i="30"/>
  <c r="R5" i="30" s="1"/>
  <c r="G5" i="30"/>
  <c r="F5" i="30"/>
  <c r="E5" i="30"/>
  <c r="D5" i="30"/>
  <c r="A5" i="30"/>
  <c r="Q4" i="30"/>
  <c r="U4" i="30" s="1"/>
  <c r="J4" i="30"/>
  <c r="R4" i="30" s="1"/>
  <c r="H4" i="30"/>
  <c r="G4" i="30"/>
  <c r="F4" i="30"/>
  <c r="E4" i="30"/>
  <c r="D4" i="30"/>
  <c r="A4" i="30"/>
  <c r="B20" i="23"/>
  <c r="E38" i="22"/>
  <c r="A38" i="22"/>
  <c r="E37" i="22"/>
  <c r="A37" i="22"/>
  <c r="E36" i="22"/>
  <c r="A36" i="22"/>
  <c r="E35" i="22"/>
  <c r="A35" i="22"/>
  <c r="E34" i="22"/>
  <c r="A34" i="22"/>
  <c r="E33" i="22"/>
  <c r="A33" i="22"/>
  <c r="E32" i="22"/>
  <c r="A32" i="22"/>
  <c r="E31" i="22"/>
  <c r="A31" i="22"/>
  <c r="E30" i="22"/>
  <c r="A30" i="22"/>
  <c r="E29" i="22"/>
  <c r="A29" i="22"/>
  <c r="E28" i="22"/>
  <c r="A28" i="22"/>
  <c r="E27" i="22"/>
  <c r="A27" i="22"/>
  <c r="E26" i="22"/>
  <c r="A26" i="22"/>
  <c r="E25" i="22"/>
  <c r="A25" i="22"/>
  <c r="E24" i="22"/>
  <c r="A24" i="22"/>
  <c r="E23" i="22"/>
  <c r="A23" i="22"/>
  <c r="E22" i="22"/>
  <c r="A22" i="22"/>
  <c r="E21" i="22"/>
  <c r="A21" i="22"/>
  <c r="E20" i="22"/>
  <c r="A20" i="22"/>
  <c r="E19" i="22"/>
  <c r="A19" i="22"/>
  <c r="E18" i="22"/>
  <c r="A18" i="22"/>
  <c r="E17" i="22"/>
  <c r="A17" i="22"/>
  <c r="E16" i="22"/>
  <c r="A16" i="22"/>
  <c r="E15" i="22"/>
  <c r="A15" i="22"/>
  <c r="E14" i="22"/>
  <c r="A14" i="22"/>
  <c r="E13" i="22"/>
  <c r="A13" i="22"/>
  <c r="E12" i="22"/>
  <c r="A12" i="22"/>
  <c r="E11" i="22"/>
  <c r="A11" i="22"/>
  <c r="E10" i="22"/>
  <c r="A10" i="22"/>
  <c r="E9" i="22"/>
  <c r="A9" i="22"/>
  <c r="E8" i="22"/>
  <c r="A8" i="22"/>
  <c r="E7" i="22"/>
  <c r="A7" i="22"/>
  <c r="E6" i="22"/>
  <c r="A6" i="22"/>
  <c r="E5" i="22"/>
  <c r="A5" i="22"/>
  <c r="E4" i="22"/>
  <c r="A4" i="22"/>
  <c r="E3" i="22"/>
  <c r="A3" i="22"/>
  <c r="E2" i="22"/>
  <c r="A2" i="22"/>
  <c r="K13" i="25" l="1"/>
  <c r="J13" i="25"/>
  <c r="G29" i="31"/>
  <c r="H29" i="31" s="1"/>
  <c r="G39" i="31"/>
  <c r="H39" i="31" s="1"/>
  <c r="G34" i="31"/>
  <c r="H34" i="31" s="1"/>
  <c r="G21" i="28"/>
  <c r="H9" i="26"/>
  <c r="H10" i="26"/>
  <c r="H11" i="26"/>
  <c r="K5" i="27"/>
  <c r="I4" i="25"/>
  <c r="F4" i="25"/>
  <c r="G5" i="25" s="1"/>
  <c r="I20" i="25"/>
  <c r="H20" i="25"/>
  <c r="F20" i="25"/>
  <c r="H9" i="28"/>
  <c r="G11" i="28"/>
  <c r="H12" i="25"/>
  <c r="F12" i="25"/>
  <c r="H5" i="30"/>
  <c r="H9" i="27"/>
  <c r="K9" i="27" s="1"/>
  <c r="G16" i="28"/>
  <c r="H18" i="28"/>
  <c r="H15" i="28"/>
  <c r="H7" i="26"/>
  <c r="G24" i="31"/>
  <c r="H24" i="31" s="1"/>
  <c r="G16" i="31"/>
  <c r="H16" i="31" s="1"/>
  <c r="G36" i="31"/>
  <c r="H36" i="31" s="1"/>
  <c r="G30" i="31"/>
  <c r="H30" i="31" s="1"/>
  <c r="K17" i="25"/>
  <c r="G12" i="28"/>
  <c r="I12" i="25"/>
  <c r="G40" i="31"/>
  <c r="H40" i="31" s="1"/>
  <c r="G35" i="31"/>
  <c r="H35" i="31" s="1"/>
  <c r="G22" i="28"/>
  <c r="H6" i="30"/>
  <c r="H10" i="28"/>
  <c r="K16" i="25"/>
  <c r="K6" i="27"/>
  <c r="H17" i="28"/>
  <c r="J18" i="31"/>
  <c r="J4" i="27"/>
  <c r="I4" i="27" s="1"/>
  <c r="K4" i="27" s="1"/>
  <c r="K12" i="25"/>
  <c r="J18" i="25"/>
  <c r="I18" i="25" s="1"/>
  <c r="J21" i="25"/>
  <c r="I21" i="25" s="1"/>
  <c r="J4" i="31"/>
  <c r="J10" i="31"/>
  <c r="R10" i="31" s="1"/>
  <c r="J12" i="31"/>
  <c r="R12" i="31" s="1"/>
  <c r="G20" i="31"/>
  <c r="H20" i="31" s="1"/>
  <c r="G21" i="31"/>
  <c r="H21" i="31" s="1"/>
  <c r="J31" i="31"/>
  <c r="R31" i="31" s="1"/>
  <c r="J35" i="31"/>
  <c r="J40" i="31"/>
  <c r="H20" i="28"/>
  <c r="J25" i="31"/>
  <c r="J27" i="31"/>
  <c r="G32" i="31"/>
  <c r="H32" i="31" s="1"/>
  <c r="J38" i="31"/>
  <c r="H19" i="28"/>
  <c r="J5" i="31"/>
  <c r="I17" i="31"/>
  <c r="R17" i="31" s="1"/>
  <c r="G26" i="31"/>
  <c r="H26" i="31" s="1"/>
  <c r="G28" i="31"/>
  <c r="H28" i="31" s="1"/>
  <c r="J30" i="31"/>
  <c r="R30" i="31" s="1"/>
  <c r="J32" i="31"/>
  <c r="R32" i="31" s="1"/>
  <c r="J36" i="31"/>
  <c r="R36" i="31" s="1"/>
  <c r="G14" i="28"/>
  <c r="J8" i="25"/>
  <c r="I8" i="25" s="1"/>
  <c r="J14" i="25"/>
  <c r="I14" i="25" s="1"/>
  <c r="J6" i="31"/>
  <c r="J11" i="31"/>
  <c r="R11" i="31" s="1"/>
  <c r="J24" i="31"/>
  <c r="R24" i="31" s="1"/>
  <c r="J26" i="31"/>
  <c r="J34" i="31"/>
  <c r="G37" i="31"/>
  <c r="H37" i="31" s="1"/>
  <c r="I4" i="31"/>
  <c r="K4" i="31" s="1"/>
  <c r="I16" i="31"/>
  <c r="K16" i="31" s="1"/>
  <c r="G19" i="31"/>
  <c r="H19" i="31" s="1"/>
  <c r="J28" i="31"/>
  <c r="J39" i="31"/>
  <c r="R39" i="31" s="1"/>
  <c r="G23" i="31"/>
  <c r="H23" i="31" s="1"/>
  <c r="G27" i="31"/>
  <c r="H27" i="31" s="1"/>
  <c r="O12" i="31"/>
  <c r="P16" i="31"/>
  <c r="K17" i="31"/>
  <c r="M36" i="31"/>
  <c r="P17" i="31"/>
  <c r="P4" i="31"/>
  <c r="H16" i="28" l="1"/>
  <c r="H13" i="25"/>
  <c r="I13" i="25"/>
  <c r="F13" i="25"/>
  <c r="G21" i="25"/>
  <c r="H14" i="28"/>
  <c r="N4" i="28"/>
  <c r="H12" i="28"/>
  <c r="F5" i="25"/>
  <c r="G6" i="25" s="1"/>
  <c r="L5" i="31"/>
  <c r="M5" i="31" s="1"/>
  <c r="H5" i="25"/>
  <c r="M5" i="25"/>
  <c r="L5" i="26"/>
  <c r="H21" i="28"/>
  <c r="L4" i="28"/>
  <c r="N4" i="26"/>
  <c r="H11" i="28"/>
  <c r="H22" i="28"/>
  <c r="M5" i="26" l="1"/>
  <c r="N29" i="31"/>
  <c r="N24" i="31"/>
  <c r="F21" i="25"/>
  <c r="G22" i="25" s="1"/>
  <c r="N25" i="31"/>
  <c r="O25" i="31" s="1"/>
  <c r="M21" i="25"/>
  <c r="N26" i="31"/>
  <c r="N27" i="31"/>
  <c r="N28" i="31"/>
  <c r="H21" i="25"/>
  <c r="N6" i="28" s="1"/>
  <c r="P5" i="31"/>
  <c r="I5" i="31"/>
  <c r="K5" i="31" s="1"/>
  <c r="O4" i="26"/>
  <c r="N5" i="26"/>
  <c r="I4" i="26"/>
  <c r="K4" i="26" s="1"/>
  <c r="P4" i="26"/>
  <c r="H6" i="25"/>
  <c r="F6" i="25"/>
  <c r="G7" i="25" s="1"/>
  <c r="L6" i="31"/>
  <c r="M6" i="25"/>
  <c r="L6" i="26"/>
  <c r="M4" i="28"/>
  <c r="L6" i="28"/>
  <c r="P4" i="28"/>
  <c r="G14" i="25"/>
  <c r="N4" i="30"/>
  <c r="L5" i="28"/>
  <c r="N5" i="28"/>
  <c r="S4" i="28"/>
  <c r="I4" i="28"/>
  <c r="K4" i="28" s="1"/>
  <c r="O4" i="28"/>
  <c r="O5" i="28" l="1"/>
  <c r="S5" i="28"/>
  <c r="F22" i="25"/>
  <c r="G23" i="25" s="1"/>
  <c r="N30" i="31"/>
  <c r="N31" i="31"/>
  <c r="N32" i="31"/>
  <c r="N33" i="31"/>
  <c r="N34" i="31"/>
  <c r="N35" i="31"/>
  <c r="H22" i="25"/>
  <c r="N12" i="28" s="1"/>
  <c r="M22" i="25"/>
  <c r="O24" i="31"/>
  <c r="P24" i="31" s="1"/>
  <c r="S24" i="31"/>
  <c r="I24" i="31"/>
  <c r="K24" i="31" s="1"/>
  <c r="S29" i="31"/>
  <c r="O29" i="31"/>
  <c r="M6" i="31"/>
  <c r="I6" i="31" s="1"/>
  <c r="K6" i="31" s="1"/>
  <c r="P6" i="31"/>
  <c r="H7" i="25"/>
  <c r="F7" i="25"/>
  <c r="G8" i="25" s="1"/>
  <c r="M7" i="25"/>
  <c r="L7" i="26"/>
  <c r="L7" i="31"/>
  <c r="M7" i="31" s="1"/>
  <c r="S28" i="31"/>
  <c r="O28" i="31"/>
  <c r="S27" i="31"/>
  <c r="O27" i="31"/>
  <c r="O4" i="30"/>
  <c r="S4" i="30"/>
  <c r="N5" i="30"/>
  <c r="O26" i="31"/>
  <c r="S26" i="31"/>
  <c r="M5" i="28"/>
  <c r="I5" i="28" s="1"/>
  <c r="I5" i="26"/>
  <c r="K5" i="26" s="1"/>
  <c r="O5" i="26"/>
  <c r="P5" i="26" s="1"/>
  <c r="N7" i="28"/>
  <c r="O6" i="28"/>
  <c r="S6" i="28"/>
  <c r="I6" i="28"/>
  <c r="K6" i="28" s="1"/>
  <c r="M14" i="25"/>
  <c r="L25" i="31"/>
  <c r="G15" i="25"/>
  <c r="N18" i="31"/>
  <c r="L37" i="31"/>
  <c r="M37" i="31" s="1"/>
  <c r="H14" i="25"/>
  <c r="L7" i="28"/>
  <c r="F14" i="25"/>
  <c r="L4" i="27"/>
  <c r="N4" i="27"/>
  <c r="O4" i="27" s="1"/>
  <c r="L19" i="28"/>
  <c r="L12" i="28"/>
  <c r="P6" i="28"/>
  <c r="M6" i="28"/>
  <c r="M6" i="26"/>
  <c r="I6" i="26" s="1"/>
  <c r="K6" i="26" s="1"/>
  <c r="R5" i="28" l="1"/>
  <c r="K5" i="28"/>
  <c r="S32" i="31"/>
  <c r="O32" i="31"/>
  <c r="G16" i="25"/>
  <c r="L13" i="28"/>
  <c r="L26" i="31"/>
  <c r="H15" i="25"/>
  <c r="M15" i="25"/>
  <c r="L8" i="28"/>
  <c r="N19" i="31"/>
  <c r="L31" i="31"/>
  <c r="F15" i="25"/>
  <c r="N5" i="27"/>
  <c r="O5" i="27" s="1"/>
  <c r="L5" i="27"/>
  <c r="M25" i="31"/>
  <c r="I25" i="31" s="1"/>
  <c r="K25" i="31" s="1"/>
  <c r="P25" i="31"/>
  <c r="L8" i="31"/>
  <c r="M8" i="25"/>
  <c r="L12" i="31"/>
  <c r="H8" i="25"/>
  <c r="F8" i="25"/>
  <c r="G9" i="25" s="1"/>
  <c r="L8" i="26"/>
  <c r="L4" i="30"/>
  <c r="S31" i="31"/>
  <c r="O31" i="31"/>
  <c r="M4" i="27"/>
  <c r="P4" i="27" s="1"/>
  <c r="P5" i="28"/>
  <c r="O30" i="31"/>
  <c r="P30" i="31" s="1"/>
  <c r="S30" i="31"/>
  <c r="I30" i="31"/>
  <c r="K30" i="31" s="1"/>
  <c r="N37" i="31"/>
  <c r="N38" i="31"/>
  <c r="N39" i="31"/>
  <c r="N40" i="31"/>
  <c r="H23" i="25"/>
  <c r="N18" i="28" s="1"/>
  <c r="F23" i="25"/>
  <c r="M23" i="25"/>
  <c r="N36" i="31"/>
  <c r="P6" i="26"/>
  <c r="S12" i="28"/>
  <c r="I12" i="28"/>
  <c r="K12" i="28" s="1"/>
  <c r="N13" i="28"/>
  <c r="O12" i="28"/>
  <c r="P12" i="28" s="1"/>
  <c r="M19" i="28"/>
  <c r="P7" i="28"/>
  <c r="M7" i="28"/>
  <c r="N6" i="30"/>
  <c r="S5" i="30"/>
  <c r="O5" i="30"/>
  <c r="S35" i="31"/>
  <c r="O35" i="31"/>
  <c r="O7" i="28"/>
  <c r="N8" i="28"/>
  <c r="I7" i="28"/>
  <c r="K7" i="28" s="1"/>
  <c r="P7" i="31"/>
  <c r="I7" i="31"/>
  <c r="K7" i="31" s="1"/>
  <c r="S34" i="31"/>
  <c r="O34" i="31"/>
  <c r="M12" i="28"/>
  <c r="L18" i="28"/>
  <c r="O18" i="31"/>
  <c r="I18" i="31"/>
  <c r="K18" i="31" s="1"/>
  <c r="P18" i="31"/>
  <c r="M7" i="26"/>
  <c r="I7" i="26" s="1"/>
  <c r="K7" i="26" s="1"/>
  <c r="P7" i="26"/>
  <c r="S33" i="31"/>
  <c r="O33" i="31"/>
  <c r="M8" i="26" l="1"/>
  <c r="I8" i="26" s="1"/>
  <c r="K8" i="26" s="1"/>
  <c r="M5" i="27"/>
  <c r="P5" i="27"/>
  <c r="M26" i="31"/>
  <c r="I26" i="31" s="1"/>
  <c r="P26" i="31"/>
  <c r="N20" i="28"/>
  <c r="S18" i="28"/>
  <c r="O18" i="28"/>
  <c r="N19" i="28"/>
  <c r="L9" i="31"/>
  <c r="M9" i="31" s="1"/>
  <c r="H9" i="25"/>
  <c r="L13" i="31"/>
  <c r="M9" i="25"/>
  <c r="L5" i="30"/>
  <c r="L9" i="26"/>
  <c r="F9" i="25"/>
  <c r="G10" i="25" s="1"/>
  <c r="M13" i="28"/>
  <c r="P13" i="28" s="1"/>
  <c r="O13" i="28"/>
  <c r="S13" i="28"/>
  <c r="N14" i="28"/>
  <c r="S40" i="31"/>
  <c r="O40" i="31"/>
  <c r="L32" i="31"/>
  <c r="M16" i="25"/>
  <c r="L20" i="28"/>
  <c r="L9" i="28"/>
  <c r="L27" i="31"/>
  <c r="G17" i="25"/>
  <c r="L38" i="31"/>
  <c r="L14" i="28"/>
  <c r="N20" i="31"/>
  <c r="H16" i="25"/>
  <c r="F16" i="25"/>
  <c r="N6" i="27"/>
  <c r="O6" i="27" s="1"/>
  <c r="L6" i="27"/>
  <c r="S39" i="31"/>
  <c r="O39" i="31"/>
  <c r="M12" i="31"/>
  <c r="I12" i="31" s="1"/>
  <c r="K12" i="31" s="1"/>
  <c r="P12" i="31"/>
  <c r="M31" i="31"/>
  <c r="I31" i="31" s="1"/>
  <c r="K31" i="31" s="1"/>
  <c r="P31" i="31"/>
  <c r="N9" i="28"/>
  <c r="O8" i="28"/>
  <c r="S8" i="28"/>
  <c r="S6" i="30"/>
  <c r="N7" i="30"/>
  <c r="O6" i="30"/>
  <c r="S38" i="31"/>
  <c r="O38" i="31"/>
  <c r="O19" i="31"/>
  <c r="P19" i="31" s="1"/>
  <c r="I19" i="31"/>
  <c r="K19" i="31" s="1"/>
  <c r="P18" i="28"/>
  <c r="M18" i="28"/>
  <c r="I18" i="28" s="1"/>
  <c r="K18" i="28" s="1"/>
  <c r="I37" i="31"/>
  <c r="K37" i="31" s="1"/>
  <c r="O37" i="31"/>
  <c r="P37" i="31" s="1"/>
  <c r="M8" i="31"/>
  <c r="I8" i="31" s="1"/>
  <c r="K8" i="31" s="1"/>
  <c r="P8" i="31"/>
  <c r="M8" i="28"/>
  <c r="I8" i="28" s="1"/>
  <c r="P8" i="28"/>
  <c r="O36" i="31"/>
  <c r="P36" i="31"/>
  <c r="S36" i="31"/>
  <c r="I36" i="31"/>
  <c r="K36" i="31" s="1"/>
  <c r="M4" i="30"/>
  <c r="I4" i="30" s="1"/>
  <c r="K4" i="30" s="1"/>
  <c r="P4" i="30"/>
  <c r="R8" i="28" l="1"/>
  <c r="K8" i="28"/>
  <c r="S9" i="28"/>
  <c r="N10" i="28"/>
  <c r="O9" i="28"/>
  <c r="M6" i="27"/>
  <c r="P6" i="27" s="1"/>
  <c r="M27" i="31"/>
  <c r="I27" i="31" s="1"/>
  <c r="S20" i="28"/>
  <c r="N21" i="28"/>
  <c r="O20" i="28"/>
  <c r="P9" i="28"/>
  <c r="M9" i="28"/>
  <c r="I9" i="28" s="1"/>
  <c r="M13" i="31"/>
  <c r="I13" i="31" s="1"/>
  <c r="K13" i="31" s="1"/>
  <c r="P13" i="31"/>
  <c r="O7" i="30"/>
  <c r="S7" i="30"/>
  <c r="M20" i="28"/>
  <c r="I20" i="28" s="1"/>
  <c r="I13" i="28"/>
  <c r="K13" i="28" s="1"/>
  <c r="R26" i="31"/>
  <c r="K26" i="31"/>
  <c r="P9" i="31"/>
  <c r="I9" i="31"/>
  <c r="K9" i="31" s="1"/>
  <c r="O20" i="31"/>
  <c r="I20" i="31"/>
  <c r="K20" i="31" s="1"/>
  <c r="P20" i="31"/>
  <c r="M32" i="31"/>
  <c r="I32" i="31" s="1"/>
  <c r="K32" i="31" s="1"/>
  <c r="O19" i="28"/>
  <c r="I19" i="28"/>
  <c r="K19" i="28" s="1"/>
  <c r="M14" i="28"/>
  <c r="P14" i="28" s="1"/>
  <c r="L10" i="31"/>
  <c r="M10" i="25"/>
  <c r="L10" i="26"/>
  <c r="L14" i="31"/>
  <c r="H10" i="25"/>
  <c r="L6" i="30"/>
  <c r="F10" i="25"/>
  <c r="G11" i="25" s="1"/>
  <c r="M38" i="31"/>
  <c r="I38" i="31" s="1"/>
  <c r="P38" i="31"/>
  <c r="M9" i="26"/>
  <c r="I9" i="26" s="1"/>
  <c r="K9" i="26" s="1"/>
  <c r="P9" i="26"/>
  <c r="P8" i="26"/>
  <c r="N21" i="31"/>
  <c r="L33" i="31"/>
  <c r="G18" i="25"/>
  <c r="L7" i="27"/>
  <c r="L28" i="31"/>
  <c r="F17" i="25"/>
  <c r="M17" i="25"/>
  <c r="H17" i="25"/>
  <c r="L15" i="28"/>
  <c r="N7" i="27"/>
  <c r="O7" i="27" s="1"/>
  <c r="L10" i="28"/>
  <c r="N15" i="28"/>
  <c r="O14" i="28"/>
  <c r="I14" i="28"/>
  <c r="K14" i="28" s="1"/>
  <c r="S14" i="28"/>
  <c r="M5" i="30"/>
  <c r="I5" i="30" s="1"/>
  <c r="K5" i="30" s="1"/>
  <c r="P5" i="30"/>
  <c r="P19" i="28"/>
  <c r="R9" i="28" l="1"/>
  <c r="K9" i="28"/>
  <c r="R20" i="28"/>
  <c r="K20" i="28"/>
  <c r="M10" i="26"/>
  <c r="I10" i="26" s="1"/>
  <c r="K10" i="26" s="1"/>
  <c r="M10" i="31"/>
  <c r="I10" i="31" s="1"/>
  <c r="K10" i="31" s="1"/>
  <c r="P10" i="31"/>
  <c r="P20" i="28"/>
  <c r="P7" i="27"/>
  <c r="M7" i="27"/>
  <c r="R38" i="31"/>
  <c r="K38" i="31"/>
  <c r="O21" i="28"/>
  <c r="N22" i="28"/>
  <c r="S21" i="28"/>
  <c r="M28" i="31"/>
  <c r="I28" i="31" s="1"/>
  <c r="N16" i="28"/>
  <c r="S15" i="28"/>
  <c r="O15" i="28"/>
  <c r="P10" i="28"/>
  <c r="M10" i="28"/>
  <c r="L21" i="28"/>
  <c r="N22" i="31"/>
  <c r="L34" i="31"/>
  <c r="L16" i="28"/>
  <c r="F18" i="25"/>
  <c r="L8" i="27"/>
  <c r="M18" i="25"/>
  <c r="L29" i="31"/>
  <c r="L39" i="31"/>
  <c r="G19" i="25"/>
  <c r="L11" i="28"/>
  <c r="H18" i="25"/>
  <c r="N8" i="27"/>
  <c r="O8" i="27" s="1"/>
  <c r="L11" i="31"/>
  <c r="F11" i="25"/>
  <c r="L15" i="31"/>
  <c r="M11" i="25"/>
  <c r="H11" i="25"/>
  <c r="L7" i="30"/>
  <c r="L11" i="26"/>
  <c r="S10" i="28"/>
  <c r="N11" i="28"/>
  <c r="I10" i="28"/>
  <c r="O10" i="28"/>
  <c r="M33" i="31"/>
  <c r="I33" i="31" s="1"/>
  <c r="K33" i="31" s="1"/>
  <c r="M6" i="30"/>
  <c r="I6" i="30" s="1"/>
  <c r="K6" i="30" s="1"/>
  <c r="M15" i="28"/>
  <c r="P15" i="28" s="1"/>
  <c r="O21" i="31"/>
  <c r="P21" i="31" s="1"/>
  <c r="I21" i="31"/>
  <c r="K21" i="31" s="1"/>
  <c r="R27" i="31"/>
  <c r="K27" i="31"/>
  <c r="M14" i="31"/>
  <c r="I14" i="31" s="1"/>
  <c r="K14" i="31" s="1"/>
  <c r="P32" i="31"/>
  <c r="P27" i="31"/>
  <c r="R10" i="28" l="1"/>
  <c r="K10" i="28"/>
  <c r="O22" i="28"/>
  <c r="S22" i="28"/>
  <c r="M11" i="31"/>
  <c r="I11" i="31" s="1"/>
  <c r="K11" i="31" s="1"/>
  <c r="P11" i="31"/>
  <c r="P8" i="27"/>
  <c r="M8" i="27"/>
  <c r="I15" i="28"/>
  <c r="K15" i="28" s="1"/>
  <c r="P14" i="31"/>
  <c r="M11" i="26"/>
  <c r="I11" i="26" s="1"/>
  <c r="K11" i="26" s="1"/>
  <c r="M16" i="28"/>
  <c r="P10" i="26"/>
  <c r="S11" i="28"/>
  <c r="O11" i="28"/>
  <c r="P6" i="30"/>
  <c r="M34" i="31"/>
  <c r="I34" i="31" s="1"/>
  <c r="P34" i="31"/>
  <c r="M7" i="30"/>
  <c r="I7" i="30" s="1"/>
  <c r="K7" i="30" s="1"/>
  <c r="M11" i="28"/>
  <c r="P11" i="28" s="1"/>
  <c r="S16" i="28"/>
  <c r="N17" i="28"/>
  <c r="I16" i="28"/>
  <c r="O16" i="28"/>
  <c r="P16" i="28" s="1"/>
  <c r="P33" i="31"/>
  <c r="L40" i="31"/>
  <c r="F19" i="25"/>
  <c r="N23" i="31"/>
  <c r="L35" i="31"/>
  <c r="L9" i="27"/>
  <c r="H19" i="25"/>
  <c r="L22" i="28"/>
  <c r="N9" i="27"/>
  <c r="O9" i="27" s="1"/>
  <c r="L17" i="28"/>
  <c r="M19" i="25"/>
  <c r="O22" i="31"/>
  <c r="P22" i="31"/>
  <c r="I22" i="31"/>
  <c r="K22" i="31" s="1"/>
  <c r="P28" i="31"/>
  <c r="M39" i="31"/>
  <c r="I39" i="31" s="1"/>
  <c r="K39" i="31" s="1"/>
  <c r="P39" i="31"/>
  <c r="M21" i="28"/>
  <c r="I21" i="28" s="1"/>
  <c r="K21" i="28" s="1"/>
  <c r="K28" i="31"/>
  <c r="R28" i="31"/>
  <c r="M15" i="31"/>
  <c r="I15" i="31" s="1"/>
  <c r="K15" i="31" s="1"/>
  <c r="P15" i="31"/>
  <c r="M29" i="31"/>
  <c r="I29" i="31" s="1"/>
  <c r="P29" i="31"/>
  <c r="P7" i="30" l="1"/>
  <c r="M22" i="28"/>
  <c r="I22" i="28" s="1"/>
  <c r="M40" i="31"/>
  <c r="I40" i="31" s="1"/>
  <c r="K29" i="31"/>
  <c r="R29" i="31"/>
  <c r="M9" i="27"/>
  <c r="P9" i="27" s="1"/>
  <c r="S17" i="28"/>
  <c r="I17" i="28"/>
  <c r="O17" i="28"/>
  <c r="P11" i="26"/>
  <c r="M35" i="31"/>
  <c r="I35" i="31" s="1"/>
  <c r="P35" i="31"/>
  <c r="I11" i="28"/>
  <c r="P17" i="28"/>
  <c r="M17" i="28"/>
  <c r="R16" i="28"/>
  <c r="K16" i="28"/>
  <c r="K34" i="31"/>
  <c r="R34" i="31"/>
  <c r="O23" i="31"/>
  <c r="P23" i="31" s="1"/>
  <c r="I23" i="31"/>
  <c r="K23" i="31" s="1"/>
  <c r="P21" i="28"/>
  <c r="K35" i="31" l="1"/>
  <c r="R35" i="31"/>
  <c r="R40" i="31"/>
  <c r="K40" i="31"/>
  <c r="P40" i="31"/>
  <c r="R11" i="28"/>
  <c r="K11" i="28"/>
  <c r="R17" i="28"/>
  <c r="K17" i="28"/>
  <c r="R22" i="28"/>
  <c r="K22" i="28"/>
  <c r="P22" i="28"/>
</calcChain>
</file>

<file path=xl/sharedStrings.xml><?xml version="1.0" encoding="utf-8"?>
<sst xmlns="http://schemas.openxmlformats.org/spreadsheetml/2006/main" count="585" uniqueCount="98">
  <si>
    <t>Source</t>
  </si>
  <si>
    <t>Target</t>
  </si>
  <si>
    <t>Value</t>
  </si>
  <si>
    <t>Coal</t>
  </si>
  <si>
    <t>Power</t>
  </si>
  <si>
    <t>Gas</t>
  </si>
  <si>
    <t>Oil</t>
  </si>
  <si>
    <t>Hydro</t>
  </si>
  <si>
    <t>Solar</t>
  </si>
  <si>
    <t>Wind</t>
  </si>
  <si>
    <t>Nuclear</t>
  </si>
  <si>
    <t>Biomass</t>
  </si>
  <si>
    <t>Power loss</t>
  </si>
  <si>
    <t>Industry</t>
  </si>
  <si>
    <t>Buildings</t>
  </si>
  <si>
    <t>Transportation</t>
  </si>
  <si>
    <t>Other energy supply</t>
  </si>
  <si>
    <t>Heat</t>
  </si>
  <si>
    <t>Hydrogen</t>
  </si>
  <si>
    <t>Coal products</t>
  </si>
  <si>
    <t>Oil products</t>
  </si>
  <si>
    <t>Gas products</t>
  </si>
  <si>
    <t>Biomass products</t>
  </si>
  <si>
    <t>Other energy supply loss</t>
  </si>
  <si>
    <t>Name</t>
  </si>
  <si>
    <t>Width</t>
  </si>
  <si>
    <t>Loss</t>
  </si>
  <si>
    <t>Node_name</t>
  </si>
  <si>
    <t>Node_value</t>
  </si>
  <si>
    <t>Node_width</t>
  </si>
  <si>
    <t>Sum of Width</t>
  </si>
  <si>
    <t>Grand Total</t>
  </si>
  <si>
    <t>name</t>
  </si>
  <si>
    <t>from</t>
  </si>
  <si>
    <t>to</t>
  </si>
  <si>
    <t>width_original</t>
  </si>
  <si>
    <t>width</t>
  </si>
  <si>
    <t>width_increment</t>
  </si>
  <si>
    <t>x1</t>
  </si>
  <si>
    <t>x2</t>
  </si>
  <si>
    <t>x3</t>
  </si>
  <si>
    <t>x4</t>
  </si>
  <si>
    <t>x</t>
  </si>
  <si>
    <t>y1</t>
  </si>
  <si>
    <t>y2</t>
  </si>
  <si>
    <t>y3</t>
  </si>
  <si>
    <t>y4</t>
  </si>
  <si>
    <t>y</t>
  </si>
  <si>
    <t>color</t>
  </si>
  <si>
    <t>xa</t>
  </si>
  <si>
    <t>ya</t>
  </si>
  <si>
    <t>annot</t>
  </si>
  <si>
    <t>annot_color</t>
  </si>
  <si>
    <t>font_size</t>
  </si>
  <si>
    <t>斜率（控制线中间段的斜率，用来自动计算x3，优化值为2）</t>
  </si>
  <si>
    <t>实际线宽</t>
  </si>
  <si>
    <t>渲染线宽</t>
  </si>
  <si>
    <t>填充颜色</t>
  </si>
  <si>
    <t>注记x</t>
  </si>
  <si>
    <t>注记文字颜色</t>
  </si>
  <si>
    <t>边框线宽度</t>
  </si>
  <si>
    <t>注记字号</t>
  </si>
  <si>
    <t>线平滑值</t>
  </si>
  <si>
    <t>smoothing</t>
  </si>
  <si>
    <t xml:space="preserve"> </t>
  </si>
  <si>
    <t>斜率（控制线中间段的斜率，用来自动计算x3）</t>
  </si>
  <si>
    <t>渲染高度倍率</t>
  </si>
  <si>
    <t>名称</t>
  </si>
  <si>
    <t>实际高度</t>
  </si>
  <si>
    <t>左x</t>
  </si>
  <si>
    <t>中心x</t>
  </si>
  <si>
    <t>右x</t>
  </si>
  <si>
    <t>底边y</t>
  </si>
  <si>
    <t>中心y</t>
  </si>
  <si>
    <t>顶边y</t>
  </si>
  <si>
    <t>渲染高度-实际高度</t>
  </si>
  <si>
    <t>渲染高度</t>
  </si>
  <si>
    <t>注记文字</t>
  </si>
  <si>
    <t>颜色</t>
  </si>
  <si>
    <t>x0</t>
  </si>
  <si>
    <t>xmid</t>
  </si>
  <si>
    <t>y0</t>
  </si>
  <si>
    <t>ymid</t>
  </si>
  <si>
    <t>annotation</t>
  </si>
  <si>
    <t>line_width</t>
  </si>
  <si>
    <t>#ffd16a</t>
  </si>
  <si>
    <t>black</t>
  </si>
  <si>
    <t>#ff8700</t>
  </si>
  <si>
    <t>#29b09d</t>
  </si>
  <si>
    <t>#7defa1</t>
  </si>
  <si>
    <t>#2ca02c</t>
  </si>
  <si>
    <t>#83c9ff</t>
  </si>
  <si>
    <t>#0068c9</t>
  </si>
  <si>
    <t>#4d95d9</t>
  </si>
  <si>
    <t>#ffabab</t>
  </si>
  <si>
    <t>#FF6692</t>
  </si>
  <si>
    <t>#6D3FC0</t>
  </si>
  <si>
    <t>#d5dae5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</si>
</sst>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>
    <font>
      <sz val="12"/>
      <color theme="1"/>
      <name val="等线"/>
      <charset val="134"/>
      <scheme val="minor"/>
    </font>
    <font>
      <sz val="12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theme="0" tint="-4.9989318521683403E-2"/>
      <name val="等线"/>
      <family val="2"/>
      <scheme val="minor"/>
    </font>
    <font>
      <b/>
      <sz val="12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5" fillId="0" borderId="0" xfId="3"/>
    <xf numFmtId="176" fontId="0" fillId="0" borderId="0" xfId="0" applyNumberFormat="1">
      <alignment vertical="center"/>
    </xf>
  </cellXfs>
  <cellStyles count="4">
    <cellStyle name="Normal" xfId="0" builtinId="0"/>
    <cellStyle name="Normal 2" xfId="1" xr:uid="{00000000-0005-0000-0000-000031000000}"/>
    <cellStyle name="Normal 3" xfId="2" xr:uid="{00000000-0005-0000-0000-000032000000}"/>
    <cellStyle name="Normal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ergyinnovation.sharepoint.com/sites/ChinaTeam/Shared%20Documents/China%20Modeling/Energy%20Foundation%20China/Annual%20Synthesis%20Report%202024/EFC_data_template_2024_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_template"/>
      <sheetName val="new_data_template"/>
      <sheetName val="variables_by_tiers"/>
      <sheetName val="Sheet7"/>
      <sheetName val="Discrepencies"/>
      <sheetName val="Other team submission Round1"/>
      <sheetName val="Cpol30_netzero_EI_output"/>
      <sheetName val="Cpol30_netzero_EI_XH"/>
      <sheetName val="test"/>
      <sheetName val="Cpol30_netzero_EI"/>
      <sheetName val="Sheet1"/>
      <sheetName val="Aclt30_netzero_EI_output"/>
      <sheetName val="Sheet4"/>
      <sheetName val="Sheet3"/>
      <sheetName val="Sheet2"/>
      <sheetName val="Aclt30_netzero_EI_XH"/>
      <sheetName val="Aclt30_netzero_EI"/>
      <sheetName val="comments_XH"/>
      <sheetName val="unique vars"/>
      <sheetName val="comments "/>
      <sheetName val="con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wenxin.snp" refreshedDate="45916.477453703701" createdVersion="5" refreshedVersion="5" minRefreshableVersion="3" recordCount="37" xr:uid="{00000000-000A-0000-FFFF-FFFF00000000}">
  <cacheSource type="worksheet">
    <worksheetSource ref="A1:E38" sheet="line_prep"/>
  </cacheSource>
  <cacheFields count="5">
    <cacheField name="Name" numFmtId="0">
      <sharedItems count="37">
        <s v="Biomass-Other energy supply"/>
        <s v="Biomass-Power"/>
        <s v="Biomass products-Buildings"/>
        <s v="Biomass products-Transportation"/>
        <s v="Coal-Other energy supply"/>
        <s v="Coal-Power"/>
        <s v="Coal products-Buildings"/>
        <s v="Coal products-Industry"/>
        <s v="Gas-Other energy supply"/>
        <s v="Gas-Power"/>
        <s v="Gas products-Buildings"/>
        <s v="Gas products-Industry"/>
        <s v="Gas products-Transportation"/>
        <s v="Heat-Buildings"/>
        <s v="Heat-Industry"/>
        <s v="Hydro-Power"/>
        <s v="Hydrogen-Industry"/>
        <s v="Hydrogen-Transportation"/>
        <s v="Nuclear-Power"/>
        <s v="Oil-Other energy supply"/>
        <s v="Oil-Power"/>
        <s v="Oil products-Buildings"/>
        <s v="Oil products-Industry"/>
        <s v="Oil products-Transportation"/>
        <s v="Other energy supply-Biomass products"/>
        <s v="Other energy supply-Coal products"/>
        <s v="Other energy supply-Gas products"/>
        <s v="Other energy supply-Heat"/>
        <s v="Other energy supply-Hydrogen"/>
        <s v="Other energy supply-Oil products"/>
        <s v="Other energy supply-Other energy supply loss"/>
        <s v="Power-Buildings"/>
        <s v="Power-Industry"/>
        <s v="Power-Power loss"/>
        <s v="Power-Transportation"/>
        <s v="Solar-Power"/>
        <s v="Wind-Power"/>
      </sharedItems>
    </cacheField>
    <cacheField name="Source" numFmtId="0">
      <sharedItems count="16">
        <s v="Biomass"/>
        <s v="Biomass products"/>
        <s v="Coal"/>
        <s v="Coal products"/>
        <s v="Gas"/>
        <s v="Gas products"/>
        <s v="Heat"/>
        <s v="Hydro"/>
        <s v="Hydrogen"/>
        <s v="Nuclear"/>
        <s v="Oil"/>
        <s v="Oil products"/>
        <s v="Other energy supply"/>
        <s v="Power"/>
        <s v="Solar"/>
        <s v="Wind"/>
      </sharedItems>
    </cacheField>
    <cacheField name="Target" numFmtId="0">
      <sharedItems count="14">
        <s v="Other energy supply"/>
        <s v="Power"/>
        <s v="Buildings"/>
        <s v="Transportation"/>
        <s v="Industry"/>
        <s v="Biomass products"/>
        <s v="Coal products"/>
        <s v="Gas products"/>
        <s v="Heat"/>
        <s v="Hydrogen"/>
        <s v="Oil products"/>
        <s v="Other energy supply loss"/>
        <s v="Power loss"/>
        <s v="Biomss products" u="1"/>
      </sharedItems>
    </cacheField>
    <cacheField name="Value" numFmtId="176">
      <sharedItems containsSemiMixedTypes="0" containsString="0" containsNumber="1" minValue="0" maxValue="38.877553851783802" count="35">
        <n v="2.6891096936660499E-2"/>
        <n v="5.8904333930948898"/>
        <n v="0"/>
        <n v="24.176335102378001"/>
        <n v="30.8840855680624"/>
        <n v="1.07598225063452"/>
        <n v="14.8370529264109"/>
        <n v="25.441668066250301"/>
        <n v="11.3411522419375"/>
        <n v="2.8129945590643799"/>
        <n v="6.6138787113793898"/>
        <n v="0.392576960531966"/>
        <n v="1.4772188397164301"/>
        <n v="6.1996197526243799"/>
        <n v="6.9818353148595804"/>
        <n v="0.93778051878530999"/>
        <n v="0.78543061314727902"/>
        <n v="3.3776380175303702"/>
        <n v="11.5360520013332"/>
        <n v="1.30507588457657E-2"/>
        <n v="0.60795721075292897"/>
        <n v="5.1160024970053399"/>
        <n v="13.7385073738833"/>
        <n v="15.913035177045399"/>
        <n v="9.8233088862396407"/>
        <n v="7.67386724958972"/>
        <n v="1.72321113193258"/>
        <n v="19.462467081641599"/>
        <n v="6.5581656435125302"/>
        <n v="21.225511600000001"/>
        <n v="26.226040399999999"/>
        <n v="38.877553851783802"/>
        <n v="3.0532299699999998"/>
        <n v="12.368944713473001"/>
        <n v="18.525195813980201"/>
      </sharedItems>
    </cacheField>
    <cacheField name="Width" numFmtId="0">
      <sharedItems containsSemiMixedTypes="0" containsString="0" containsNumber="1" containsInteger="1" minValue="0" maxValue="40" count="15">
        <n v="2"/>
        <n v="6"/>
        <n v="0"/>
        <n v="26"/>
        <n v="32"/>
        <n v="16"/>
        <n v="12"/>
        <n v="4"/>
        <n v="8"/>
        <n v="14"/>
        <n v="10"/>
        <n v="20"/>
        <n v="22"/>
        <n v="28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x v="0"/>
  </r>
  <r>
    <x v="1"/>
    <x v="0"/>
    <x v="1"/>
    <x v="1"/>
    <x v="1"/>
  </r>
  <r>
    <x v="2"/>
    <x v="1"/>
    <x v="2"/>
    <x v="2"/>
    <x v="2"/>
  </r>
  <r>
    <x v="3"/>
    <x v="1"/>
    <x v="3"/>
    <x v="0"/>
    <x v="0"/>
  </r>
  <r>
    <x v="4"/>
    <x v="2"/>
    <x v="0"/>
    <x v="3"/>
    <x v="3"/>
  </r>
  <r>
    <x v="5"/>
    <x v="2"/>
    <x v="1"/>
    <x v="4"/>
    <x v="4"/>
  </r>
  <r>
    <x v="6"/>
    <x v="3"/>
    <x v="2"/>
    <x v="5"/>
    <x v="0"/>
  </r>
  <r>
    <x v="7"/>
    <x v="3"/>
    <x v="4"/>
    <x v="6"/>
    <x v="5"/>
  </r>
  <r>
    <x v="8"/>
    <x v="4"/>
    <x v="0"/>
    <x v="7"/>
    <x v="3"/>
  </r>
  <r>
    <x v="9"/>
    <x v="4"/>
    <x v="1"/>
    <x v="8"/>
    <x v="6"/>
  </r>
  <r>
    <x v="10"/>
    <x v="5"/>
    <x v="2"/>
    <x v="9"/>
    <x v="7"/>
  </r>
  <r>
    <x v="11"/>
    <x v="5"/>
    <x v="4"/>
    <x v="10"/>
    <x v="8"/>
  </r>
  <r>
    <x v="12"/>
    <x v="5"/>
    <x v="3"/>
    <x v="11"/>
    <x v="0"/>
  </r>
  <r>
    <x v="13"/>
    <x v="6"/>
    <x v="2"/>
    <x v="12"/>
    <x v="0"/>
  </r>
  <r>
    <x v="14"/>
    <x v="6"/>
    <x v="4"/>
    <x v="13"/>
    <x v="8"/>
  </r>
  <r>
    <x v="15"/>
    <x v="7"/>
    <x v="1"/>
    <x v="14"/>
    <x v="8"/>
  </r>
  <r>
    <x v="16"/>
    <x v="8"/>
    <x v="4"/>
    <x v="15"/>
    <x v="0"/>
  </r>
  <r>
    <x v="17"/>
    <x v="8"/>
    <x v="3"/>
    <x v="16"/>
    <x v="0"/>
  </r>
  <r>
    <x v="18"/>
    <x v="9"/>
    <x v="1"/>
    <x v="17"/>
    <x v="7"/>
  </r>
  <r>
    <x v="19"/>
    <x v="10"/>
    <x v="0"/>
    <x v="18"/>
    <x v="6"/>
  </r>
  <r>
    <x v="20"/>
    <x v="10"/>
    <x v="1"/>
    <x v="19"/>
    <x v="0"/>
  </r>
  <r>
    <x v="21"/>
    <x v="11"/>
    <x v="2"/>
    <x v="20"/>
    <x v="0"/>
  </r>
  <r>
    <x v="22"/>
    <x v="11"/>
    <x v="4"/>
    <x v="21"/>
    <x v="1"/>
  </r>
  <r>
    <x v="23"/>
    <x v="11"/>
    <x v="3"/>
    <x v="22"/>
    <x v="9"/>
  </r>
  <r>
    <x v="24"/>
    <x v="12"/>
    <x v="5"/>
    <x v="0"/>
    <x v="0"/>
  </r>
  <r>
    <x v="25"/>
    <x v="12"/>
    <x v="6"/>
    <x v="23"/>
    <x v="5"/>
  </r>
  <r>
    <x v="26"/>
    <x v="12"/>
    <x v="7"/>
    <x v="24"/>
    <x v="10"/>
  </r>
  <r>
    <x v="27"/>
    <x v="12"/>
    <x v="8"/>
    <x v="25"/>
    <x v="8"/>
  </r>
  <r>
    <x v="28"/>
    <x v="12"/>
    <x v="9"/>
    <x v="26"/>
    <x v="0"/>
  </r>
  <r>
    <x v="29"/>
    <x v="12"/>
    <x v="10"/>
    <x v="27"/>
    <x v="11"/>
  </r>
  <r>
    <x v="30"/>
    <x v="12"/>
    <x v="11"/>
    <x v="28"/>
    <x v="8"/>
  </r>
  <r>
    <x v="31"/>
    <x v="13"/>
    <x v="2"/>
    <x v="29"/>
    <x v="12"/>
  </r>
  <r>
    <x v="32"/>
    <x v="13"/>
    <x v="4"/>
    <x v="30"/>
    <x v="13"/>
  </r>
  <r>
    <x v="33"/>
    <x v="13"/>
    <x v="12"/>
    <x v="31"/>
    <x v="14"/>
  </r>
  <r>
    <x v="34"/>
    <x v="13"/>
    <x v="3"/>
    <x v="32"/>
    <x v="7"/>
  </r>
  <r>
    <x v="35"/>
    <x v="14"/>
    <x v="1"/>
    <x v="33"/>
    <x v="9"/>
  </r>
  <r>
    <x v="36"/>
    <x v="15"/>
    <x v="1"/>
    <x v="3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E2:F19" firstHeaderRow="1" firstDataRow="1" firstDataCol="1"/>
  <pivotFields count="5">
    <pivotField compact="0" showAll="0">
      <items count="38">
        <item x="0"/>
        <item x="1"/>
        <item x="6"/>
        <item x="7"/>
        <item x="4"/>
        <item x="5"/>
        <item x="10"/>
        <item x="11"/>
        <item x="12"/>
        <item x="8"/>
        <item x="9"/>
        <item x="13"/>
        <item x="14"/>
        <item x="16"/>
        <item x="17"/>
        <item x="15"/>
        <item x="18"/>
        <item x="21"/>
        <item x="22"/>
        <item x="23"/>
        <item x="19"/>
        <item x="2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2"/>
        <item x="3"/>
        <item x="24"/>
        <item t="default"/>
      </items>
    </pivotField>
    <pivotField axis="axisRow" compact="0" showAll="0">
      <items count="1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"/>
        <item t="default"/>
      </items>
    </pivotField>
    <pivotField compact="0" showAll="0">
      <items count="15">
        <item m="1" x="13"/>
        <item x="2"/>
        <item x="6"/>
        <item x="7"/>
        <item x="8"/>
        <item x="9"/>
        <item x="4"/>
        <item x="10"/>
        <item x="0"/>
        <item x="11"/>
        <item x="1"/>
        <item x="12"/>
        <item x="3"/>
        <item x="5"/>
        <item t="default"/>
      </items>
    </pivotField>
    <pivotField compact="0" showAll="0">
      <items count="36">
        <item x="2"/>
        <item x="19"/>
        <item x="0"/>
        <item x="11"/>
        <item x="20"/>
        <item x="16"/>
        <item x="15"/>
        <item x="5"/>
        <item x="12"/>
        <item x="26"/>
        <item x="9"/>
        <item x="32"/>
        <item x="17"/>
        <item x="21"/>
        <item x="1"/>
        <item x="13"/>
        <item x="28"/>
        <item x="10"/>
        <item x="14"/>
        <item x="25"/>
        <item x="24"/>
        <item x="8"/>
        <item x="18"/>
        <item x="33"/>
        <item x="22"/>
        <item x="6"/>
        <item x="23"/>
        <item x="34"/>
        <item x="27"/>
        <item x="29"/>
        <item x="3"/>
        <item x="7"/>
        <item x="30"/>
        <item x="4"/>
        <item x="31"/>
        <item t="default"/>
      </items>
    </pivotField>
    <pivotField dataField="1" compact="0" showAll="0">
      <items count="16">
        <item x="2"/>
        <item x="0"/>
        <item x="7"/>
        <item x="1"/>
        <item x="8"/>
        <item x="10"/>
        <item x="6"/>
        <item x="9"/>
        <item x="5"/>
        <item x="11"/>
        <item x="12"/>
        <item x="3"/>
        <item x="13"/>
        <item x="4"/>
        <item x="14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Wid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16" zoomScale="110" zoomScaleNormal="110" workbookViewId="0">
      <selection activeCell="E32" sqref="E32"/>
    </sheetView>
  </sheetViews>
  <sheetFormatPr baseColWidth="10" defaultColWidth="10.83203125" defaultRowHeight="13"/>
  <cols>
    <col min="1" max="1" width="10.83203125" style="20"/>
    <col min="2" max="2" width="22" style="20" customWidth="1"/>
    <col min="3" max="3" width="11.5" style="20"/>
    <col min="4" max="16384" width="10.83203125" style="20"/>
  </cols>
  <sheetData>
    <row r="1" spans="1:3" ht="16">
      <c r="A1" t="s">
        <v>0</v>
      </c>
      <c r="B1" t="s">
        <v>1</v>
      </c>
      <c r="C1" t="s">
        <v>2</v>
      </c>
    </row>
    <row r="2" spans="1:3" ht="16">
      <c r="A2" t="s">
        <v>3</v>
      </c>
      <c r="B2" t="s">
        <v>4</v>
      </c>
      <c r="C2" s="21">
        <v>30.8840855680624</v>
      </c>
    </row>
    <row r="3" spans="1:3" ht="16">
      <c r="A3" t="s">
        <v>5</v>
      </c>
      <c r="B3" t="s">
        <v>4</v>
      </c>
      <c r="C3" s="21">
        <v>11.3411522419375</v>
      </c>
    </row>
    <row r="4" spans="1:3" ht="16">
      <c r="A4" t="s">
        <v>6</v>
      </c>
      <c r="B4" t="s">
        <v>4</v>
      </c>
      <c r="C4" s="21">
        <v>1.30507588457657E-2</v>
      </c>
    </row>
    <row r="5" spans="1:3" ht="16">
      <c r="A5" t="s">
        <v>7</v>
      </c>
      <c r="B5" t="s">
        <v>4</v>
      </c>
      <c r="C5" s="21">
        <v>6.9818353148595804</v>
      </c>
    </row>
    <row r="6" spans="1:3" ht="16">
      <c r="A6" t="s">
        <v>8</v>
      </c>
      <c r="B6" t="s">
        <v>4</v>
      </c>
      <c r="C6" s="21">
        <v>12.368944713473001</v>
      </c>
    </row>
    <row r="7" spans="1:3" ht="16">
      <c r="A7" t="s">
        <v>9</v>
      </c>
      <c r="B7" t="s">
        <v>4</v>
      </c>
      <c r="C7" s="21">
        <v>18.525195813980201</v>
      </c>
    </row>
    <row r="8" spans="1:3" ht="16">
      <c r="A8" t="s">
        <v>10</v>
      </c>
      <c r="B8" t="s">
        <v>4</v>
      </c>
      <c r="C8" s="21">
        <v>3.3776380175303702</v>
      </c>
    </row>
    <row r="9" spans="1:3" ht="16">
      <c r="A9" t="s">
        <v>11</v>
      </c>
      <c r="B9" t="s">
        <v>4</v>
      </c>
      <c r="C9" s="21">
        <v>5.8904333930948898</v>
      </c>
    </row>
    <row r="10" spans="1:3" ht="16">
      <c r="A10" t="s">
        <v>4</v>
      </c>
      <c r="B10" t="s">
        <v>12</v>
      </c>
      <c r="C10" s="21">
        <v>38.877553851783802</v>
      </c>
    </row>
    <row r="11" spans="1:3" ht="16">
      <c r="A11" t="s">
        <v>4</v>
      </c>
      <c r="B11" t="s">
        <v>13</v>
      </c>
      <c r="C11" s="21">
        <v>26.226040399999999</v>
      </c>
    </row>
    <row r="12" spans="1:3" ht="16">
      <c r="A12" t="s">
        <v>4</v>
      </c>
      <c r="B12" t="s">
        <v>14</v>
      </c>
      <c r="C12" s="21">
        <v>21.225511600000001</v>
      </c>
    </row>
    <row r="13" spans="1:3" ht="16">
      <c r="A13" t="s">
        <v>4</v>
      </c>
      <c r="B13" t="s">
        <v>15</v>
      </c>
      <c r="C13" s="21">
        <v>3.0532299699999998</v>
      </c>
    </row>
    <row r="14" spans="1:3" ht="16">
      <c r="A14" t="s">
        <v>3</v>
      </c>
      <c r="B14" t="s">
        <v>16</v>
      </c>
      <c r="C14" s="21">
        <v>24.176335102378001</v>
      </c>
    </row>
    <row r="15" spans="1:3" ht="16">
      <c r="A15" t="s">
        <v>6</v>
      </c>
      <c r="B15" t="s">
        <v>16</v>
      </c>
      <c r="C15" s="21">
        <v>11.5360520013332</v>
      </c>
    </row>
    <row r="16" spans="1:3" ht="16">
      <c r="A16" t="s">
        <v>5</v>
      </c>
      <c r="B16" t="s">
        <v>16</v>
      </c>
      <c r="C16" s="21">
        <v>25.441668066250301</v>
      </c>
    </row>
    <row r="17" spans="1:4" ht="16">
      <c r="A17" t="s">
        <v>11</v>
      </c>
      <c r="B17" t="s">
        <v>16</v>
      </c>
      <c r="C17" s="21">
        <v>2.6891096936660499E-2</v>
      </c>
    </row>
    <row r="18" spans="1:4" ht="16">
      <c r="A18" t="s">
        <v>16</v>
      </c>
      <c r="B18" t="s">
        <v>17</v>
      </c>
      <c r="C18" s="21">
        <v>7.67386724958972</v>
      </c>
    </row>
    <row r="19" spans="1:4" ht="16">
      <c r="A19" t="s">
        <v>16</v>
      </c>
      <c r="B19" t="s">
        <v>18</v>
      </c>
      <c r="C19" s="21">
        <v>1.72321113193258</v>
      </c>
    </row>
    <row r="20" spans="1:4" ht="16">
      <c r="A20" t="s">
        <v>16</v>
      </c>
      <c r="B20" t="s">
        <v>19</v>
      </c>
      <c r="C20" s="21">
        <v>15.913035177045399</v>
      </c>
    </row>
    <row r="21" spans="1:4" ht="16">
      <c r="A21" t="s">
        <v>16</v>
      </c>
      <c r="B21" t="s">
        <v>20</v>
      </c>
      <c r="C21" s="21">
        <v>19.462467081641599</v>
      </c>
    </row>
    <row r="22" spans="1:4" ht="16">
      <c r="A22" t="s">
        <v>16</v>
      </c>
      <c r="B22" t="s">
        <v>21</v>
      </c>
      <c r="C22" s="21">
        <v>9.8233088862396407</v>
      </c>
    </row>
    <row r="23" spans="1:4" ht="16">
      <c r="A23" t="s">
        <v>16</v>
      </c>
      <c r="B23" t="s">
        <v>22</v>
      </c>
      <c r="C23" s="21">
        <v>2.6891096936660499E-2</v>
      </c>
    </row>
    <row r="24" spans="1:4" ht="16">
      <c r="A24" t="s">
        <v>16</v>
      </c>
      <c r="B24" t="s">
        <v>23</v>
      </c>
      <c r="C24" s="21">
        <v>6.5581656435125302</v>
      </c>
      <c r="D24"/>
    </row>
    <row r="25" spans="1:4" ht="16">
      <c r="A25" t="s">
        <v>19</v>
      </c>
      <c r="B25" t="s">
        <v>13</v>
      </c>
      <c r="C25" s="21">
        <v>14.8370529264109</v>
      </c>
      <c r="D25"/>
    </row>
    <row r="26" spans="1:4" ht="15.75" customHeight="1">
      <c r="A26" t="s">
        <v>19</v>
      </c>
      <c r="B26" t="s">
        <v>14</v>
      </c>
      <c r="C26" s="21">
        <v>1.07598225063452</v>
      </c>
      <c r="D26"/>
    </row>
    <row r="27" spans="1:4" ht="15.75" customHeight="1">
      <c r="A27" t="s">
        <v>20</v>
      </c>
      <c r="B27" t="s">
        <v>13</v>
      </c>
      <c r="C27" s="21">
        <v>5.1160024970053399</v>
      </c>
      <c r="D27"/>
    </row>
    <row r="28" spans="1:4" ht="15.75" customHeight="1">
      <c r="A28" t="s">
        <v>20</v>
      </c>
      <c r="B28" t="s">
        <v>14</v>
      </c>
      <c r="C28" s="21">
        <v>0.60795721075292897</v>
      </c>
      <c r="D28"/>
    </row>
    <row r="29" spans="1:4" ht="16">
      <c r="A29" t="s">
        <v>20</v>
      </c>
      <c r="B29" t="s">
        <v>15</v>
      </c>
      <c r="C29" s="21">
        <v>13.7385073738833</v>
      </c>
      <c r="D29"/>
    </row>
    <row r="30" spans="1:4" ht="16">
      <c r="A30" t="s">
        <v>21</v>
      </c>
      <c r="B30" t="s">
        <v>13</v>
      </c>
      <c r="C30" s="21">
        <v>6.6138787113793898</v>
      </c>
      <c r="D30"/>
    </row>
    <row r="31" spans="1:4" ht="16">
      <c r="A31" t="s">
        <v>21</v>
      </c>
      <c r="B31" t="s">
        <v>14</v>
      </c>
      <c r="C31" s="21">
        <v>2.8129945590643799</v>
      </c>
      <c r="D31"/>
    </row>
    <row r="32" spans="1:4" ht="16">
      <c r="A32" t="s">
        <v>21</v>
      </c>
      <c r="B32" t="s">
        <v>15</v>
      </c>
      <c r="C32" s="21">
        <v>0.392576960531966</v>
      </c>
      <c r="D32"/>
    </row>
    <row r="33" spans="1:4" ht="16">
      <c r="A33" t="s">
        <v>17</v>
      </c>
      <c r="B33" t="s">
        <v>13</v>
      </c>
      <c r="C33" s="21">
        <v>6.1996197526243799</v>
      </c>
      <c r="D33"/>
    </row>
    <row r="34" spans="1:4" ht="16">
      <c r="A34" t="s">
        <v>17</v>
      </c>
      <c r="B34" t="s">
        <v>14</v>
      </c>
      <c r="C34" s="21">
        <v>1.4772188397164301</v>
      </c>
      <c r="D34"/>
    </row>
    <row r="35" spans="1:4" ht="16">
      <c r="A35" t="s">
        <v>18</v>
      </c>
      <c r="B35" t="s">
        <v>13</v>
      </c>
      <c r="C35" s="21">
        <v>0.93778051878530999</v>
      </c>
      <c r="D35"/>
    </row>
    <row r="36" spans="1:4" ht="16">
      <c r="A36" t="s">
        <v>18</v>
      </c>
      <c r="B36" t="s">
        <v>15</v>
      </c>
      <c r="C36" s="21">
        <v>0.78543061314727902</v>
      </c>
    </row>
    <row r="37" spans="1:4" ht="16">
      <c r="A37" t="s">
        <v>22</v>
      </c>
      <c r="B37" t="s">
        <v>14</v>
      </c>
      <c r="C37" s="21">
        <v>0</v>
      </c>
    </row>
    <row r="38" spans="1:4" ht="16">
      <c r="A38" t="s">
        <v>22</v>
      </c>
      <c r="B38" t="s">
        <v>15</v>
      </c>
      <c r="C38" s="21">
        <v>2.6891096936660499E-2</v>
      </c>
    </row>
    <row r="39" spans="1:4" ht="16">
      <c r="A39"/>
      <c r="B39"/>
      <c r="C39" s="21"/>
    </row>
    <row r="40" spans="1:4" ht="16">
      <c r="A40"/>
      <c r="B40"/>
      <c r="C40" s="21"/>
    </row>
    <row r="41" spans="1:4" ht="16">
      <c r="A41"/>
      <c r="B41"/>
      <c r="C41" s="21"/>
    </row>
    <row r="42" spans="1:4" ht="16">
      <c r="A42"/>
      <c r="B42"/>
      <c r="C42" s="21"/>
    </row>
  </sheetData>
  <autoFilter ref="A1:C42" xr:uid="{00000000-0009-0000-0000-000000000000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H16" sqref="H16"/>
    </sheetView>
  </sheetViews>
  <sheetFormatPr baseColWidth="10" defaultColWidth="11" defaultRowHeight="13"/>
  <cols>
    <col min="1" max="1" width="15.33203125" style="20" customWidth="1"/>
    <col min="2" max="2" width="16.5" style="20" customWidth="1"/>
    <col min="3" max="4" width="15.33203125" style="20" customWidth="1"/>
    <col min="5" max="16382" width="10.83203125" style="20"/>
    <col min="16383" max="16384" width="11" style="20"/>
  </cols>
  <sheetData>
    <row r="1" spans="1:5" ht="16">
      <c r="A1" s="20" t="s">
        <v>24</v>
      </c>
      <c r="B1" t="s">
        <v>0</v>
      </c>
      <c r="C1" t="s">
        <v>1</v>
      </c>
      <c r="D1" t="s">
        <v>2</v>
      </c>
      <c r="E1" t="s">
        <v>25</v>
      </c>
    </row>
    <row r="2" spans="1:5" ht="16">
      <c r="A2" s="20" t="str">
        <f t="shared" ref="A2:A38" si="0">_xlfn.CONCAT(B2,"-",C2)</f>
        <v>Biomass-Other energy supply</v>
      </c>
      <c r="B2" t="s">
        <v>11</v>
      </c>
      <c r="C2" t="s">
        <v>16</v>
      </c>
      <c r="D2" s="21">
        <v>2.6891096936660499E-2</v>
      </c>
      <c r="E2" s="20">
        <f>IF(D2=0,0,D2)</f>
        <v>2.6891096936660499E-2</v>
      </c>
    </row>
    <row r="3" spans="1:5" ht="16">
      <c r="A3" s="20" t="str">
        <f t="shared" si="0"/>
        <v>Biomass-Power</v>
      </c>
      <c r="B3" t="s">
        <v>11</v>
      </c>
      <c r="C3" t="s">
        <v>4</v>
      </c>
      <c r="D3" s="21">
        <v>5.8904333930948898</v>
      </c>
      <c r="E3" s="20">
        <f t="shared" ref="E3:E38" si="1">IF(D3=0,0,D3)</f>
        <v>5.8904333930948898</v>
      </c>
    </row>
    <row r="4" spans="1:5" ht="16">
      <c r="A4" s="20" t="str">
        <f t="shared" si="0"/>
        <v>Biomass products-Buildings</v>
      </c>
      <c r="B4" t="s">
        <v>22</v>
      </c>
      <c r="C4" t="s">
        <v>14</v>
      </c>
      <c r="D4" s="21">
        <v>0</v>
      </c>
      <c r="E4" s="20">
        <f t="shared" si="1"/>
        <v>0</v>
      </c>
    </row>
    <row r="5" spans="1:5" ht="16">
      <c r="A5" s="20" t="str">
        <f t="shared" si="0"/>
        <v>Biomass products-Transportation</v>
      </c>
      <c r="B5" t="s">
        <v>22</v>
      </c>
      <c r="C5" t="s">
        <v>15</v>
      </c>
      <c r="D5" s="21">
        <v>2.6891096936660499E-2</v>
      </c>
      <c r="E5" s="20">
        <f t="shared" si="1"/>
        <v>2.6891096936660499E-2</v>
      </c>
    </row>
    <row r="6" spans="1:5" ht="16">
      <c r="A6" s="20" t="str">
        <f t="shared" si="0"/>
        <v>Coal-Other energy supply</v>
      </c>
      <c r="B6" t="s">
        <v>3</v>
      </c>
      <c r="C6" t="s">
        <v>16</v>
      </c>
      <c r="D6" s="21">
        <v>24.176335102378001</v>
      </c>
      <c r="E6" s="20">
        <f t="shared" si="1"/>
        <v>24.176335102378001</v>
      </c>
    </row>
    <row r="7" spans="1:5" ht="16">
      <c r="A7" s="20" t="str">
        <f t="shared" si="0"/>
        <v>Coal-Power</v>
      </c>
      <c r="B7" t="s">
        <v>3</v>
      </c>
      <c r="C7" t="s">
        <v>4</v>
      </c>
      <c r="D7" s="21">
        <v>30.8840855680624</v>
      </c>
      <c r="E7" s="20">
        <f t="shared" si="1"/>
        <v>30.8840855680624</v>
      </c>
    </row>
    <row r="8" spans="1:5" ht="16">
      <c r="A8" s="20" t="str">
        <f t="shared" si="0"/>
        <v>Coal products-Buildings</v>
      </c>
      <c r="B8" t="s">
        <v>19</v>
      </c>
      <c r="C8" t="s">
        <v>14</v>
      </c>
      <c r="D8" s="21">
        <v>1.07598225063452</v>
      </c>
      <c r="E8" s="20">
        <f t="shared" si="1"/>
        <v>1.07598225063452</v>
      </c>
    </row>
    <row r="9" spans="1:5" ht="16">
      <c r="A9" s="20" t="str">
        <f t="shared" si="0"/>
        <v>Coal products-Industry</v>
      </c>
      <c r="B9" t="s">
        <v>19</v>
      </c>
      <c r="C9" t="s">
        <v>13</v>
      </c>
      <c r="D9" s="21">
        <v>14.8370529264109</v>
      </c>
      <c r="E9" s="20">
        <f t="shared" si="1"/>
        <v>14.8370529264109</v>
      </c>
    </row>
    <row r="10" spans="1:5" ht="16">
      <c r="A10" s="20" t="str">
        <f t="shared" si="0"/>
        <v>Gas-Other energy supply</v>
      </c>
      <c r="B10" t="s">
        <v>5</v>
      </c>
      <c r="C10" t="s">
        <v>16</v>
      </c>
      <c r="D10" s="21">
        <v>25.441668066250301</v>
      </c>
      <c r="E10" s="20">
        <f t="shared" si="1"/>
        <v>25.441668066250301</v>
      </c>
    </row>
    <row r="11" spans="1:5" ht="16">
      <c r="A11" s="20" t="str">
        <f t="shared" si="0"/>
        <v>Gas-Power</v>
      </c>
      <c r="B11" t="s">
        <v>5</v>
      </c>
      <c r="C11" t="s">
        <v>4</v>
      </c>
      <c r="D11" s="21">
        <v>11.3411522419375</v>
      </c>
      <c r="E11" s="20">
        <f t="shared" si="1"/>
        <v>11.3411522419375</v>
      </c>
    </row>
    <row r="12" spans="1:5" ht="16">
      <c r="A12" s="20" t="str">
        <f t="shared" si="0"/>
        <v>Gas products-Buildings</v>
      </c>
      <c r="B12" t="s">
        <v>21</v>
      </c>
      <c r="C12" t="s">
        <v>14</v>
      </c>
      <c r="D12" s="21">
        <v>2.8129945590643799</v>
      </c>
      <c r="E12" s="20">
        <f t="shared" si="1"/>
        <v>2.8129945590643799</v>
      </c>
    </row>
    <row r="13" spans="1:5" ht="16">
      <c r="A13" s="20" t="str">
        <f t="shared" si="0"/>
        <v>Gas products-Industry</v>
      </c>
      <c r="B13" t="s">
        <v>21</v>
      </c>
      <c r="C13" t="s">
        <v>13</v>
      </c>
      <c r="D13" s="21">
        <v>6.6138787113793898</v>
      </c>
      <c r="E13" s="20">
        <f t="shared" si="1"/>
        <v>6.6138787113793898</v>
      </c>
    </row>
    <row r="14" spans="1:5" ht="16">
      <c r="A14" s="20" t="str">
        <f t="shared" si="0"/>
        <v>Gas products-Transportation</v>
      </c>
      <c r="B14" t="s">
        <v>21</v>
      </c>
      <c r="C14" t="s">
        <v>15</v>
      </c>
      <c r="D14" s="21">
        <v>0.392576960531966</v>
      </c>
      <c r="E14" s="20">
        <f t="shared" si="1"/>
        <v>0.392576960531966</v>
      </c>
    </row>
    <row r="15" spans="1:5" ht="16">
      <c r="A15" s="20" t="str">
        <f t="shared" si="0"/>
        <v>Heat-Buildings</v>
      </c>
      <c r="B15" t="s">
        <v>17</v>
      </c>
      <c r="C15" t="s">
        <v>14</v>
      </c>
      <c r="D15" s="21">
        <v>1.4772188397164301</v>
      </c>
      <c r="E15" s="20">
        <f t="shared" si="1"/>
        <v>1.4772188397164301</v>
      </c>
    </row>
    <row r="16" spans="1:5" ht="16">
      <c r="A16" s="20" t="str">
        <f t="shared" si="0"/>
        <v>Heat-Industry</v>
      </c>
      <c r="B16" t="s">
        <v>17</v>
      </c>
      <c r="C16" t="s">
        <v>13</v>
      </c>
      <c r="D16" s="21">
        <v>6.1996197526243799</v>
      </c>
      <c r="E16" s="20">
        <f t="shared" si="1"/>
        <v>6.1996197526243799</v>
      </c>
    </row>
    <row r="17" spans="1:5" ht="16">
      <c r="A17" s="20" t="str">
        <f t="shared" si="0"/>
        <v>Hydro-Power</v>
      </c>
      <c r="B17" t="s">
        <v>7</v>
      </c>
      <c r="C17" t="s">
        <v>4</v>
      </c>
      <c r="D17" s="21">
        <v>6.9818353148595804</v>
      </c>
      <c r="E17" s="20">
        <f t="shared" si="1"/>
        <v>6.9818353148595804</v>
      </c>
    </row>
    <row r="18" spans="1:5" ht="16">
      <c r="A18" s="20" t="str">
        <f t="shared" si="0"/>
        <v>Hydrogen-Industry</v>
      </c>
      <c r="B18" t="s">
        <v>18</v>
      </c>
      <c r="C18" t="s">
        <v>13</v>
      </c>
      <c r="D18" s="21">
        <v>0.93778051878530999</v>
      </c>
      <c r="E18" s="20">
        <f t="shared" si="1"/>
        <v>0.93778051878530999</v>
      </c>
    </row>
    <row r="19" spans="1:5" ht="16">
      <c r="A19" s="20" t="str">
        <f t="shared" si="0"/>
        <v>Hydrogen-Transportation</v>
      </c>
      <c r="B19" t="s">
        <v>18</v>
      </c>
      <c r="C19" t="s">
        <v>15</v>
      </c>
      <c r="D19" s="21">
        <v>0.78543061314727902</v>
      </c>
      <c r="E19" s="20">
        <f t="shared" si="1"/>
        <v>0.78543061314727902</v>
      </c>
    </row>
    <row r="20" spans="1:5" ht="16">
      <c r="A20" s="20" t="str">
        <f t="shared" si="0"/>
        <v>Nuclear-Power</v>
      </c>
      <c r="B20" t="s">
        <v>10</v>
      </c>
      <c r="C20" t="s">
        <v>4</v>
      </c>
      <c r="D20" s="21">
        <v>3.3776380175303702</v>
      </c>
      <c r="E20" s="20">
        <f t="shared" si="1"/>
        <v>3.3776380175303702</v>
      </c>
    </row>
    <row r="21" spans="1:5" ht="16">
      <c r="A21" s="20" t="str">
        <f t="shared" si="0"/>
        <v>Oil-Other energy supply</v>
      </c>
      <c r="B21" t="s">
        <v>6</v>
      </c>
      <c r="C21" t="s">
        <v>16</v>
      </c>
      <c r="D21" s="21">
        <v>11.5360520013332</v>
      </c>
      <c r="E21" s="20">
        <f t="shared" si="1"/>
        <v>11.5360520013332</v>
      </c>
    </row>
    <row r="22" spans="1:5" ht="16">
      <c r="A22" s="20" t="str">
        <f t="shared" si="0"/>
        <v>Oil-Power</v>
      </c>
      <c r="B22" t="s">
        <v>6</v>
      </c>
      <c r="C22" t="s">
        <v>4</v>
      </c>
      <c r="D22" s="21">
        <v>1.30507588457657E-2</v>
      </c>
      <c r="E22" s="20">
        <f t="shared" si="1"/>
        <v>1.30507588457657E-2</v>
      </c>
    </row>
    <row r="23" spans="1:5" ht="16">
      <c r="A23" s="20" t="str">
        <f t="shared" si="0"/>
        <v>Oil products-Buildings</v>
      </c>
      <c r="B23" t="s">
        <v>20</v>
      </c>
      <c r="C23" t="s">
        <v>14</v>
      </c>
      <c r="D23" s="21">
        <v>0.60795721075292897</v>
      </c>
      <c r="E23" s="20">
        <f t="shared" si="1"/>
        <v>0.60795721075292897</v>
      </c>
    </row>
    <row r="24" spans="1:5" ht="15.75" customHeight="1">
      <c r="A24" s="20" t="str">
        <f t="shared" si="0"/>
        <v>Oil products-Industry</v>
      </c>
      <c r="B24" t="s">
        <v>20</v>
      </c>
      <c r="C24" t="s">
        <v>13</v>
      </c>
      <c r="D24" s="21">
        <v>5.1160024970053399</v>
      </c>
      <c r="E24" s="20">
        <f t="shared" si="1"/>
        <v>5.1160024970053399</v>
      </c>
    </row>
    <row r="25" spans="1:5" ht="15.75" customHeight="1">
      <c r="A25" s="20" t="str">
        <f t="shared" si="0"/>
        <v>Oil products-Transportation</v>
      </c>
      <c r="B25" t="s">
        <v>20</v>
      </c>
      <c r="C25" t="s">
        <v>15</v>
      </c>
      <c r="D25" s="21">
        <v>13.7385073738833</v>
      </c>
      <c r="E25" s="20">
        <f t="shared" si="1"/>
        <v>13.7385073738833</v>
      </c>
    </row>
    <row r="26" spans="1:5" ht="15.75" customHeight="1">
      <c r="A26" s="20" t="str">
        <f t="shared" si="0"/>
        <v>Other energy supply-Biomass products</v>
      </c>
      <c r="B26" t="s">
        <v>16</v>
      </c>
      <c r="C26" t="s">
        <v>22</v>
      </c>
      <c r="D26" s="21">
        <v>2.6891096936660499E-2</v>
      </c>
      <c r="E26" s="20">
        <f t="shared" si="1"/>
        <v>2.6891096936660499E-2</v>
      </c>
    </row>
    <row r="27" spans="1:5" ht="16">
      <c r="A27" s="20" t="str">
        <f t="shared" si="0"/>
        <v>Other energy supply-Coal products</v>
      </c>
      <c r="B27" t="s">
        <v>16</v>
      </c>
      <c r="C27" t="s">
        <v>19</v>
      </c>
      <c r="D27" s="21">
        <v>15.913035177045399</v>
      </c>
      <c r="E27" s="20">
        <f t="shared" si="1"/>
        <v>15.913035177045399</v>
      </c>
    </row>
    <row r="28" spans="1:5" ht="16">
      <c r="A28" s="20" t="str">
        <f t="shared" si="0"/>
        <v>Other energy supply-Gas products</v>
      </c>
      <c r="B28" t="s">
        <v>16</v>
      </c>
      <c r="C28" t="s">
        <v>21</v>
      </c>
      <c r="D28" s="21">
        <v>9.8233088862396407</v>
      </c>
      <c r="E28" s="20">
        <f t="shared" si="1"/>
        <v>9.8233088862396407</v>
      </c>
    </row>
    <row r="29" spans="1:5" ht="16">
      <c r="A29" s="20" t="str">
        <f t="shared" si="0"/>
        <v>Other energy supply-Heat</v>
      </c>
      <c r="B29" t="s">
        <v>16</v>
      </c>
      <c r="C29" t="s">
        <v>17</v>
      </c>
      <c r="D29" s="21">
        <v>7.67386724958972</v>
      </c>
      <c r="E29" s="20">
        <f t="shared" si="1"/>
        <v>7.67386724958972</v>
      </c>
    </row>
    <row r="30" spans="1:5" ht="16">
      <c r="A30" s="20" t="str">
        <f t="shared" si="0"/>
        <v>Other energy supply-Hydrogen</v>
      </c>
      <c r="B30" t="s">
        <v>16</v>
      </c>
      <c r="C30" t="s">
        <v>18</v>
      </c>
      <c r="D30" s="21">
        <v>1.72321113193258</v>
      </c>
      <c r="E30" s="20">
        <f t="shared" si="1"/>
        <v>1.72321113193258</v>
      </c>
    </row>
    <row r="31" spans="1:5" ht="16">
      <c r="A31" s="20" t="str">
        <f t="shared" si="0"/>
        <v>Other energy supply-Oil products</v>
      </c>
      <c r="B31" t="s">
        <v>16</v>
      </c>
      <c r="C31" t="s">
        <v>20</v>
      </c>
      <c r="D31" s="21">
        <v>19.462467081641599</v>
      </c>
      <c r="E31" s="20">
        <f t="shared" si="1"/>
        <v>19.462467081641599</v>
      </c>
    </row>
    <row r="32" spans="1:5" ht="16">
      <c r="A32" s="20" t="str">
        <f t="shared" si="0"/>
        <v>Other energy supply-Loss</v>
      </c>
      <c r="B32" t="s">
        <v>16</v>
      </c>
      <c r="C32" t="s">
        <v>26</v>
      </c>
      <c r="D32" s="21">
        <v>6.5581656435125302</v>
      </c>
      <c r="E32" s="20">
        <f t="shared" si="1"/>
        <v>6.5581656435125302</v>
      </c>
    </row>
    <row r="33" spans="1:5" ht="16">
      <c r="A33" s="20" t="str">
        <f t="shared" si="0"/>
        <v>Power-Buildings</v>
      </c>
      <c r="B33" t="s">
        <v>4</v>
      </c>
      <c r="C33" t="s">
        <v>14</v>
      </c>
      <c r="D33" s="21">
        <v>21.225511600000001</v>
      </c>
      <c r="E33" s="20">
        <f t="shared" si="1"/>
        <v>21.225511600000001</v>
      </c>
    </row>
    <row r="34" spans="1:5" ht="16">
      <c r="A34" s="20" t="str">
        <f t="shared" si="0"/>
        <v>Power-Industry</v>
      </c>
      <c r="B34" t="s">
        <v>4</v>
      </c>
      <c r="C34" t="s">
        <v>13</v>
      </c>
      <c r="D34" s="21">
        <v>26.226040399999999</v>
      </c>
      <c r="E34" s="20">
        <f t="shared" si="1"/>
        <v>26.226040399999999</v>
      </c>
    </row>
    <row r="35" spans="1:5" ht="16">
      <c r="A35" s="20" t="str">
        <f t="shared" si="0"/>
        <v>Power-Loss</v>
      </c>
      <c r="B35" t="s">
        <v>4</v>
      </c>
      <c r="C35" t="s">
        <v>26</v>
      </c>
      <c r="D35" s="21">
        <v>38.877553851783802</v>
      </c>
      <c r="E35" s="20">
        <f t="shared" si="1"/>
        <v>38.877553851783802</v>
      </c>
    </row>
    <row r="36" spans="1:5" ht="16">
      <c r="A36" s="20" t="str">
        <f t="shared" si="0"/>
        <v>Power-Transportation</v>
      </c>
      <c r="B36" t="s">
        <v>4</v>
      </c>
      <c r="C36" t="s">
        <v>15</v>
      </c>
      <c r="D36" s="21">
        <v>3.0532299699999998</v>
      </c>
      <c r="E36" s="20">
        <f t="shared" si="1"/>
        <v>3.0532299699999998</v>
      </c>
    </row>
    <row r="37" spans="1:5" ht="16">
      <c r="A37" s="20" t="str">
        <f t="shared" si="0"/>
        <v>Solar-Power</v>
      </c>
      <c r="B37" t="s">
        <v>8</v>
      </c>
      <c r="C37" t="s">
        <v>4</v>
      </c>
      <c r="D37" s="21">
        <v>12.368944713473001</v>
      </c>
      <c r="E37" s="20">
        <f t="shared" si="1"/>
        <v>12.368944713473001</v>
      </c>
    </row>
    <row r="38" spans="1:5" ht="16">
      <c r="A38" s="20" t="str">
        <f t="shared" si="0"/>
        <v>Wind-Power</v>
      </c>
      <c r="B38" t="s">
        <v>9</v>
      </c>
      <c r="C38" t="s">
        <v>4</v>
      </c>
      <c r="D38" s="21">
        <v>18.525195813980201</v>
      </c>
      <c r="E38" s="20">
        <f t="shared" si="1"/>
        <v>18.525195813980201</v>
      </c>
    </row>
    <row r="39" spans="1:5" ht="16">
      <c r="B39"/>
      <c r="C39"/>
      <c r="D39"/>
    </row>
    <row r="40" spans="1:5" ht="16">
      <c r="B40"/>
      <c r="C40"/>
      <c r="D40"/>
    </row>
  </sheetData>
  <autoFilter ref="A1:E38" xr:uid="{00000000-0009-0000-0000-000001000000}"/>
  <sortState xmlns:xlrd2="http://schemas.microsoft.com/office/spreadsheetml/2017/richdata2" ref="A2:D40">
    <sortCondition ref="B2:B40"/>
    <sortCondition ref="C2:C40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H22" sqref="H22"/>
    </sheetView>
  </sheetViews>
  <sheetFormatPr baseColWidth="10" defaultColWidth="11" defaultRowHeight="16"/>
  <cols>
    <col min="1" max="1" width="28.83203125" customWidth="1"/>
    <col min="2" max="4" width="12.6640625"/>
    <col min="5" max="5" width="18.1640625"/>
    <col min="6" max="7" width="13"/>
  </cols>
  <sheetData>
    <row r="1" spans="1:6">
      <c r="A1" t="s">
        <v>27</v>
      </c>
      <c r="B1" t="s">
        <v>28</v>
      </c>
      <c r="C1" t="s">
        <v>29</v>
      </c>
    </row>
    <row r="2" spans="1:6">
      <c r="A2" t="s">
        <v>11</v>
      </c>
      <c r="B2">
        <v>5.9173244900315503</v>
      </c>
      <c r="C2">
        <v>8</v>
      </c>
      <c r="E2" t="s">
        <v>0</v>
      </c>
      <c r="F2" t="s">
        <v>30</v>
      </c>
    </row>
    <row r="3" spans="1:6">
      <c r="A3" t="s">
        <v>22</v>
      </c>
      <c r="B3">
        <v>2.6891096936660499E-2</v>
      </c>
      <c r="C3">
        <v>2</v>
      </c>
      <c r="E3" t="s">
        <v>11</v>
      </c>
      <c r="F3">
        <v>8</v>
      </c>
    </row>
    <row r="4" spans="1:6">
      <c r="A4" t="s">
        <v>14</v>
      </c>
      <c r="B4">
        <v>27.1996644601683</v>
      </c>
      <c r="C4">
        <v>32</v>
      </c>
      <c r="E4" t="s">
        <v>3</v>
      </c>
      <c r="F4">
        <v>58</v>
      </c>
    </row>
    <row r="5" spans="1:6">
      <c r="A5" t="s">
        <v>3</v>
      </c>
      <c r="B5">
        <v>55.060420670440401</v>
      </c>
      <c r="C5">
        <v>58</v>
      </c>
      <c r="E5" t="s">
        <v>19</v>
      </c>
      <c r="F5">
        <v>18</v>
      </c>
    </row>
    <row r="6" spans="1:6">
      <c r="A6" t="s">
        <v>19</v>
      </c>
      <c r="B6">
        <v>15.913035177045399</v>
      </c>
      <c r="C6">
        <v>18</v>
      </c>
      <c r="E6" t="s">
        <v>5</v>
      </c>
      <c r="F6">
        <v>38</v>
      </c>
    </row>
    <row r="7" spans="1:6">
      <c r="A7" t="s">
        <v>5</v>
      </c>
      <c r="B7">
        <v>36.782820308187802</v>
      </c>
      <c r="C7">
        <v>38</v>
      </c>
      <c r="E7" t="s">
        <v>21</v>
      </c>
      <c r="F7">
        <v>14</v>
      </c>
    </row>
    <row r="8" spans="1:6">
      <c r="A8" t="s">
        <v>21</v>
      </c>
      <c r="B8">
        <v>9.8233088862396407</v>
      </c>
      <c r="C8">
        <v>14</v>
      </c>
      <c r="E8" t="s">
        <v>17</v>
      </c>
      <c r="F8">
        <v>10</v>
      </c>
    </row>
    <row r="9" spans="1:6">
      <c r="A9" t="s">
        <v>17</v>
      </c>
      <c r="B9">
        <v>7.6768385923408102</v>
      </c>
      <c r="C9">
        <v>10</v>
      </c>
      <c r="E9" t="s">
        <v>7</v>
      </c>
      <c r="F9">
        <v>8</v>
      </c>
    </row>
    <row r="10" spans="1:6">
      <c r="A10" t="s">
        <v>7</v>
      </c>
      <c r="B10">
        <v>6.9818353148595804</v>
      </c>
      <c r="C10" s="19">
        <v>8</v>
      </c>
      <c r="E10" t="s">
        <v>18</v>
      </c>
      <c r="F10">
        <v>4</v>
      </c>
    </row>
    <row r="11" spans="1:6">
      <c r="A11" t="s">
        <v>18</v>
      </c>
      <c r="B11">
        <v>1.72321113193258</v>
      </c>
      <c r="C11">
        <v>4</v>
      </c>
      <c r="E11" t="s">
        <v>10</v>
      </c>
      <c r="F11">
        <v>4</v>
      </c>
    </row>
    <row r="12" spans="1:6">
      <c r="A12" t="s">
        <v>13</v>
      </c>
      <c r="B12">
        <v>59.9303748062053</v>
      </c>
      <c r="C12">
        <v>68</v>
      </c>
      <c r="E12" t="s">
        <v>6</v>
      </c>
      <c r="F12">
        <v>14</v>
      </c>
    </row>
    <row r="13" spans="1:6">
      <c r="A13" t="s">
        <v>10</v>
      </c>
      <c r="B13">
        <v>3.3776380175303702</v>
      </c>
      <c r="C13">
        <v>4</v>
      </c>
      <c r="E13" t="s">
        <v>20</v>
      </c>
      <c r="F13">
        <v>22</v>
      </c>
    </row>
    <row r="14" spans="1:6">
      <c r="A14" t="s">
        <v>6</v>
      </c>
      <c r="B14">
        <v>11.549102760179</v>
      </c>
      <c r="C14">
        <v>14</v>
      </c>
      <c r="E14" t="s">
        <v>16</v>
      </c>
      <c r="F14">
        <v>66</v>
      </c>
    </row>
    <row r="15" spans="1:6">
      <c r="A15" t="s">
        <v>20</v>
      </c>
      <c r="B15">
        <v>19.462467081641599</v>
      </c>
      <c r="C15">
        <v>22</v>
      </c>
      <c r="E15" t="s">
        <v>4</v>
      </c>
      <c r="F15">
        <v>94</v>
      </c>
    </row>
    <row r="16" spans="1:6">
      <c r="A16" t="s">
        <v>16</v>
      </c>
      <c r="B16">
        <v>61.180946266898196</v>
      </c>
      <c r="C16">
        <v>66</v>
      </c>
      <c r="E16" t="s">
        <v>8</v>
      </c>
      <c r="F16">
        <v>14</v>
      </c>
    </row>
    <row r="17" spans="1:6">
      <c r="A17" t="s">
        <v>23</v>
      </c>
      <c r="B17">
        <v>6.5581656435125302</v>
      </c>
      <c r="C17">
        <v>8</v>
      </c>
      <c r="E17" t="s">
        <v>9</v>
      </c>
      <c r="F17">
        <v>20</v>
      </c>
    </row>
    <row r="18" spans="1:6">
      <c r="A18" t="s">
        <v>4</v>
      </c>
      <c r="B18">
        <v>89.382335821783698</v>
      </c>
      <c r="C18">
        <v>98</v>
      </c>
      <c r="E18" t="s">
        <v>22</v>
      </c>
      <c r="F18">
        <v>2</v>
      </c>
    </row>
    <row r="19" spans="1:6">
      <c r="A19" t="s">
        <v>12</v>
      </c>
      <c r="B19">
        <v>38.877553851783802</v>
      </c>
      <c r="C19">
        <v>40</v>
      </c>
      <c r="E19" t="s">
        <v>31</v>
      </c>
      <c r="F19">
        <v>394</v>
      </c>
    </row>
    <row r="20" spans="1:6">
      <c r="A20" t="s">
        <v>26</v>
      </c>
      <c r="B20">
        <f>B19+B17</f>
        <v>45.435719495296297</v>
      </c>
    </row>
    <row r="21" spans="1:6">
      <c r="A21" t="s">
        <v>8</v>
      </c>
      <c r="B21">
        <v>12.368944713473001</v>
      </c>
      <c r="C21">
        <v>14</v>
      </c>
    </row>
    <row r="22" spans="1:6">
      <c r="A22" t="s">
        <v>15</v>
      </c>
      <c r="B22">
        <v>17.996636014499199</v>
      </c>
      <c r="C22">
        <v>24</v>
      </c>
    </row>
    <row r="23" spans="1:6">
      <c r="A23" t="s">
        <v>9</v>
      </c>
      <c r="B23">
        <v>18.525195813980201</v>
      </c>
      <c r="C23" s="19">
        <v>20</v>
      </c>
    </row>
  </sheetData>
  <autoFilter ref="A1:C23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2:V7"/>
  <sheetViews>
    <sheetView tabSelected="1" workbookViewId="0">
      <pane xSplit="3" ySplit="3" topLeftCell="D4" activePane="bottomRight" state="frozen"/>
      <selection activeCell="M28" sqref="M28"/>
      <selection pane="topRight" activeCell="M28" sqref="M28"/>
      <selection pane="bottomLeft" activeCell="M28" sqref="M28"/>
      <selection pane="bottomRight" activeCell="M28" sqref="M28"/>
    </sheetView>
  </sheetViews>
  <sheetFormatPr baseColWidth="10" defaultColWidth="4.83203125" defaultRowHeight="19" customHeight="1"/>
  <cols>
    <col min="1" max="1" width="7.1640625" style="1" customWidth="1"/>
    <col min="2" max="2" width="19.6640625" style="1" customWidth="1"/>
    <col min="3" max="3" width="14.83203125" style="1" customWidth="1"/>
    <col min="4" max="4" width="9.1640625" style="1" customWidth="1"/>
    <col min="5" max="13" width="4.83203125" style="1" customWidth="1"/>
    <col min="14" max="14" width="4.83203125" style="6" customWidth="1"/>
    <col min="15" max="16" width="4.83203125" style="1" customWidth="1"/>
    <col min="17" max="17" width="12" style="1" customWidth="1"/>
    <col min="18" max="19" width="4.83203125" style="1" customWidth="1"/>
    <col min="20" max="20" width="8.6640625" style="1" customWidth="1"/>
    <col min="21" max="21" width="8.1640625" style="1" customWidth="1"/>
    <col min="22" max="16383" width="4.83203125" style="1" customWidth="1"/>
    <col min="16384" max="16384" width="4.83203125" style="1"/>
  </cols>
  <sheetData>
    <row r="2" spans="1:22" customFormat="1" ht="19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"/>
      <c r="O2" s="1"/>
      <c r="P2" s="1"/>
      <c r="Q2" s="1"/>
      <c r="R2" s="1"/>
      <c r="S2" s="1"/>
      <c r="T2" s="1"/>
      <c r="U2" s="1"/>
      <c r="V2" s="1"/>
    </row>
    <row r="3" spans="1:22" s="2" customFormat="1" ht="19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</row>
    <row r="4" spans="1:22" ht="19" customHeight="1">
      <c r="A4" s="1" t="str">
        <f>_xlfn.CONCAT(B4,"-",C4)</f>
        <v>Biomass-Other energy supply</v>
      </c>
      <c r="B4" s="1" t="s">
        <v>11</v>
      </c>
      <c r="C4" s="1" t="s">
        <v>16</v>
      </c>
      <c r="D4" s="1">
        <f>_xlfn.IFNA(VLOOKUP(A4,line_prep!A:D,4,0),0)</f>
        <v>2.6891096936660499E-2</v>
      </c>
      <c r="E4" s="1">
        <f>IF(D4=0,0,IF(D4&lt;1,1,D4))</f>
        <v>1</v>
      </c>
      <c r="F4" s="1">
        <f>E4-D4</f>
        <v>0.97310890306333997</v>
      </c>
      <c r="G4" s="4">
        <f>VLOOKUP(B4,nodes!A:E,5,0)</f>
        <v>95</v>
      </c>
      <c r="H4" s="1">
        <f>G4+50</f>
        <v>145</v>
      </c>
      <c r="I4" s="1">
        <f>IF(N4&gt;M4,H4+(N4-M4)/line_to_power!$I$1,H4-(N4-M4)/line_to_power!$I$1)</f>
        <v>201.43391062218359</v>
      </c>
      <c r="J4" s="4">
        <f>VLOOKUP(C4,nodes!A:E,3,0)</f>
        <v>305</v>
      </c>
      <c r="K4" s="1" t="str">
        <f>_xlfn.CONCAT(G4,",",H4,",",I4,",",J4)</f>
        <v>95,145,201.433910622184,305</v>
      </c>
      <c r="L4" s="1">
        <f>VLOOKUP(B4,nodes!A:G,7,0)</f>
        <v>262.95829437781629</v>
      </c>
      <c r="M4" s="1">
        <f>L4</f>
        <v>262.95829437781629</v>
      </c>
      <c r="N4" s="6">
        <f>VLOOKUP(C4,nodes!A:J,8,0)-VLOOKUP(C4,nodes!A:J,9,0)/2-E4/2</f>
        <v>150.09047313344911</v>
      </c>
      <c r="O4" s="1">
        <f>N4</f>
        <v>150.09047313344911</v>
      </c>
      <c r="P4" s="1" t="str">
        <f>_xlfn.CONCAT(L4,",",M4,",",N4,",",O4)</f>
        <v>262.958294377816,262.958294377816,150.090473133449,150.090473133449</v>
      </c>
      <c r="Q4" s="1" t="str">
        <f>VLOOKUP(B4,nodes!A:N,14,0)</f>
        <v>#2ca02c</v>
      </c>
      <c r="R4" s="1">
        <f>J4-75</f>
        <v>230</v>
      </c>
      <c r="S4" s="1">
        <f>N4+8</f>
        <v>158.09047313344911</v>
      </c>
      <c r="T4" s="1">
        <v>0.03</v>
      </c>
      <c r="U4" s="1" t="str">
        <f>Q4</f>
        <v>#2ca02c</v>
      </c>
      <c r="V4" s="1">
        <v>10</v>
      </c>
    </row>
    <row r="5" spans="1:22" ht="19" customHeight="1">
      <c r="A5" s="1" t="str">
        <f>_xlfn.CONCAT(B5,"-",C5)</f>
        <v>Gas-Other energy supply</v>
      </c>
      <c r="B5" s="1" t="s">
        <v>5</v>
      </c>
      <c r="C5" s="1" t="s">
        <v>16</v>
      </c>
      <c r="D5" s="1">
        <f>_xlfn.IFNA(VLOOKUP(A5,line_prep!A:D,4,0),0)</f>
        <v>25.441668066250301</v>
      </c>
      <c r="E5" s="1">
        <f>IF(D5=0,0,IF(D5&lt;1,1,D5))</f>
        <v>25.441668066250301</v>
      </c>
      <c r="F5" s="1">
        <f>E5-D5</f>
        <v>0</v>
      </c>
      <c r="G5" s="4">
        <f>VLOOKUP(B5,nodes!A:E,5,0)</f>
        <v>95</v>
      </c>
      <c r="H5" s="1">
        <f>G5+50</f>
        <v>145</v>
      </c>
      <c r="I5" s="1">
        <f>IF(N5&gt;M5,H5+(N5-M5)/line_to_power!$I$1,H5-(N5-M5)/line_to_power!$I$1)</f>
        <v>178.03177333941392</v>
      </c>
      <c r="J5" s="4">
        <f>VLOOKUP(C5,nodes!A:E,3,0)</f>
        <v>305</v>
      </c>
      <c r="K5" s="1" t="str">
        <f>_xlfn.CONCAT(G5,",",H5,",",I5,",",J5)</f>
        <v>95,145,178.031773339414,305</v>
      </c>
      <c r="L5" s="1">
        <f>VLOOKUP(B5,nodes!A:G,7,0)-8</f>
        <v>202.93318577915176</v>
      </c>
      <c r="M5" s="1">
        <f>L5</f>
        <v>202.93318577915176</v>
      </c>
      <c r="N5" s="6">
        <f>N4-E4/2-E5/2</f>
        <v>136.86963910032395</v>
      </c>
      <c r="O5" s="1">
        <f>N5</f>
        <v>136.86963910032395</v>
      </c>
      <c r="P5" s="1" t="str">
        <f>_xlfn.CONCAT(L5,",",M5,",",N5,",",O5)</f>
        <v>202.933185779152,202.933185779152,136.869639100324,136.869639100324</v>
      </c>
      <c r="Q5" s="1" t="str">
        <f>VLOOKUP(B5,nodes!A:N,14,0)</f>
        <v>#83c9ff</v>
      </c>
      <c r="R5" s="1">
        <f>J5-75</f>
        <v>230</v>
      </c>
      <c r="S5" s="1">
        <f>N5</f>
        <v>136.86963910032395</v>
      </c>
      <c r="T5" s="1">
        <f>IF(D5=0,"",ROUND(D5,1))</f>
        <v>25.4</v>
      </c>
      <c r="V5" s="1">
        <v>10</v>
      </c>
    </row>
    <row r="6" spans="1:22" ht="19" customHeight="1">
      <c r="A6" s="1" t="str">
        <f>_xlfn.CONCAT(B6,"-",C6)</f>
        <v>Coal-Other energy supply</v>
      </c>
      <c r="B6" s="1" t="s">
        <v>3</v>
      </c>
      <c r="C6" s="1" t="s">
        <v>16</v>
      </c>
      <c r="D6" s="1">
        <f>_xlfn.IFNA(VLOOKUP(A6,line_prep!A:D,4,0),0)</f>
        <v>24.176335102378001</v>
      </c>
      <c r="E6" s="1">
        <f>IF(D6=0,0,IF(D6&lt;1,1,D6))</f>
        <v>24.176335102378001</v>
      </c>
      <c r="F6" s="1">
        <f>E6-D6</f>
        <v>0</v>
      </c>
      <c r="G6" s="4">
        <f>VLOOKUP(B6,nodes!A:E,5,0)</f>
        <v>95</v>
      </c>
      <c r="H6" s="1">
        <f>G6+50</f>
        <v>145</v>
      </c>
      <c r="I6" s="1">
        <f>IF(N6&gt;M6,H6+(N6-M6)/line_to_power!$I$1,H6-(N6-M6)/line_to_power!$I$1)</f>
        <v>146.50494123541461</v>
      </c>
      <c r="J6" s="4">
        <f>VLOOKUP(C6,nodes!A:E,3,0)</f>
        <v>305</v>
      </c>
      <c r="K6" s="1" t="str">
        <f>_xlfn.CONCAT(G6,",",H6,",",I6,",",J6)</f>
        <v>95,145,146.504941235415,305</v>
      </c>
      <c r="L6" s="1">
        <f>VLOOKUP(B6,nodes!A:G,7,0)-13</f>
        <v>109.05075504518061</v>
      </c>
      <c r="M6" s="1">
        <f>L6</f>
        <v>109.05075504518061</v>
      </c>
      <c r="N6" s="6">
        <f>N5-E5/2-E6/2</f>
        <v>112.06063751600979</v>
      </c>
      <c r="O6" s="1">
        <f>N6</f>
        <v>112.06063751600979</v>
      </c>
      <c r="P6" s="1" t="str">
        <f>_xlfn.CONCAT(L6,",",M6,",",N6,",",O6)</f>
        <v>109.050755045181,109.050755045181,112.06063751601,112.06063751601</v>
      </c>
      <c r="Q6" s="1" t="str">
        <f>VLOOKUP(B6,nodes!A:N,14,0)</f>
        <v>#0068c9</v>
      </c>
      <c r="R6" s="1">
        <f>J6-75</f>
        <v>230</v>
      </c>
      <c r="S6" s="1">
        <f>N6</f>
        <v>112.06063751600979</v>
      </c>
      <c r="T6" s="1">
        <f>IF(D6=0,"",ROUND(D6,1))</f>
        <v>24.2</v>
      </c>
      <c r="V6" s="1">
        <v>10</v>
      </c>
    </row>
    <row r="7" spans="1:22" ht="19" customHeight="1">
      <c r="A7" s="1" t="str">
        <f>_xlfn.CONCAT(B7,"-",C7)</f>
        <v>Oil-Other energy supply</v>
      </c>
      <c r="B7" s="1" t="s">
        <v>6</v>
      </c>
      <c r="C7" s="1" t="s">
        <v>16</v>
      </c>
      <c r="D7" s="1">
        <f>_xlfn.IFNA(VLOOKUP(A7,line_prep!A:D,4,0),0)</f>
        <v>11.5360520013332</v>
      </c>
      <c r="E7" s="1">
        <f>IF(D7=0,0,IF(D7&lt;1,1,D7))</f>
        <v>11.5360520013332</v>
      </c>
      <c r="F7" s="1">
        <f>E7-D7</f>
        <v>0</v>
      </c>
      <c r="G7" s="4">
        <f>VLOOKUP(B7,nodes!A:E,5,0)</f>
        <v>95</v>
      </c>
      <c r="H7" s="1">
        <f>G7+50</f>
        <v>145</v>
      </c>
      <c r="I7" s="1">
        <f>IF(N7&gt;M7,H7+(N7-M7)/line_to_power!$I$1,H7-(N7-M7)/line_to_power!$I$1)</f>
        <v>166.05541574596907</v>
      </c>
      <c r="J7" s="4">
        <f>VLOOKUP(C7,nodes!A:E,3,0)</f>
        <v>305</v>
      </c>
      <c r="K7" s="1" t="str">
        <f>_xlfn.CONCAT(G7,",",H7,",",I7,",",J7)</f>
        <v>95,145,166.055415745969,305</v>
      </c>
      <c r="L7" s="1">
        <f>VLOOKUP(B7,nodes!A:G,7,0)</f>
        <v>52.093612472216051</v>
      </c>
      <c r="M7" s="1">
        <f>L7</f>
        <v>52.093612472216051</v>
      </c>
      <c r="N7" s="6">
        <f>N6-E6/2-E7/2</f>
        <v>94.204443964154194</v>
      </c>
      <c r="O7" s="1">
        <f>N7</f>
        <v>94.204443964154194</v>
      </c>
      <c r="P7" s="1" t="str">
        <f>_xlfn.CONCAT(L7,",",M7,",",N7,",",O7)</f>
        <v>52.0936124722161,52.0936124722161,94.2044439641542,94.2044439641542</v>
      </c>
      <c r="Q7" s="1" t="str">
        <f>VLOOKUP(B7,nodes!A:N,14,0)</f>
        <v>#4d95d9</v>
      </c>
      <c r="R7" s="1">
        <f>J7-75</f>
        <v>230</v>
      </c>
      <c r="S7" s="1">
        <f>N7</f>
        <v>94.204443964154194</v>
      </c>
      <c r="T7" s="1">
        <f>IF(D7=0,"",ROUND(D7,1))</f>
        <v>11.5</v>
      </c>
      <c r="V7" s="1">
        <v>10</v>
      </c>
    </row>
  </sheetData>
  <autoFilter ref="A3:V7" xr:uid="{00000000-0009-0000-0000-000003000000}">
    <sortState xmlns:xlrd2="http://schemas.microsoft.com/office/spreadsheetml/2017/richdata2" ref="A3:V7">
      <sortCondition ref="C1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W11"/>
  <sheetViews>
    <sheetView tabSelected="1" workbookViewId="0">
      <pane xSplit="3" ySplit="3" topLeftCell="D4" activePane="bottomRight" state="frozen"/>
      <selection activeCell="M28" sqref="M28"/>
      <selection pane="topRight" activeCell="M28" sqref="M28"/>
      <selection pane="bottomLeft" activeCell="M28" sqref="M28"/>
      <selection pane="bottomRight" activeCell="M28" sqref="M28"/>
    </sheetView>
  </sheetViews>
  <sheetFormatPr baseColWidth="10" defaultColWidth="7.6640625" defaultRowHeight="19" customHeight="1"/>
  <cols>
    <col min="1" max="1" width="7.1640625" style="1" customWidth="1"/>
    <col min="2" max="3" width="7.6640625" style="1" customWidth="1"/>
    <col min="4" max="6" width="7.1640625" style="1" customWidth="1"/>
    <col min="7" max="7" width="5.33203125" style="4" customWidth="1"/>
    <col min="8" max="8" width="5.33203125" style="1" customWidth="1"/>
    <col min="9" max="10" width="4" style="1" customWidth="1"/>
    <col min="11" max="11" width="4" style="4" customWidth="1"/>
    <col min="12" max="12" width="7.6640625" style="1" customWidth="1"/>
    <col min="13" max="13" width="7.6640625" style="4" customWidth="1"/>
    <col min="14" max="14" width="7.6640625" style="6" customWidth="1"/>
    <col min="15" max="16" width="7.6640625" style="4" customWidth="1"/>
    <col min="17" max="17" width="7.6640625" style="1" customWidth="1"/>
    <col min="18" max="16384" width="7.6640625" style="1"/>
  </cols>
  <sheetData>
    <row r="1" spans="1:23" ht="19" customHeight="1">
      <c r="H1" t="s">
        <v>54</v>
      </c>
      <c r="I1">
        <v>2</v>
      </c>
    </row>
    <row r="2" spans="1:23" ht="19" customHeight="1">
      <c r="D2" s="1" t="s">
        <v>55</v>
      </c>
      <c r="E2" s="1" t="s">
        <v>56</v>
      </c>
      <c r="G2" s="1"/>
      <c r="K2" s="1"/>
      <c r="M2" s="1"/>
      <c r="O2" s="1"/>
      <c r="P2" s="1"/>
      <c r="Q2" s="1" t="s">
        <v>57</v>
      </c>
      <c r="R2" s="1" t="s">
        <v>58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</row>
    <row r="3" spans="1:23" s="2" customFormat="1" ht="19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  <c r="W3" s="2" t="s">
        <v>63</v>
      </c>
    </row>
    <row r="4" spans="1:23" ht="19" customHeight="1">
      <c r="A4" s="1" t="str">
        <f t="shared" ref="A4:A11" si="0">_xlfn.CONCAT(B4,"-",C4)</f>
        <v>Solar-Power</v>
      </c>
      <c r="B4" s="1" t="s">
        <v>8</v>
      </c>
      <c r="C4" s="1" t="s">
        <v>4</v>
      </c>
      <c r="D4" s="1">
        <f>_xlfn.IFNA(VLOOKUP(A4,line_prep!A:D,4,0),0)</f>
        <v>12.368944713473001</v>
      </c>
      <c r="E4" s="1">
        <f t="shared" ref="E4:E11" si="1">IF(D4=0,0,IF(D4&lt;1,1,D4))</f>
        <v>12.368944713473001</v>
      </c>
      <c r="F4" s="1">
        <f>E4-D4</f>
        <v>0</v>
      </c>
      <c r="G4" s="4">
        <f>VLOOKUP(B4,nodes!A:E,5,0)</f>
        <v>95</v>
      </c>
      <c r="H4" s="1">
        <f>G4+50</f>
        <v>145</v>
      </c>
      <c r="I4" s="4">
        <f>IF(N4&gt;M4,H4+(N4-M4)/line_to_power!$I$1,H4-(N4-M4)/line_to_power!$I$1)</f>
        <v>175.74665222292231</v>
      </c>
      <c r="J4" s="4">
        <f>VLOOKUP(C4,nodes!A:E,3,0)</f>
        <v>305</v>
      </c>
      <c r="K4" s="4" t="str">
        <f t="shared" ref="K4:K11" si="2">_xlfn.CONCAT(G4,",",H4,",",I4,",",J4)</f>
        <v>95,145,175.746652222922,305</v>
      </c>
      <c r="L4" s="1">
        <f>VLOOKUP(B4,nodes!A:G,7,0)</f>
        <v>400</v>
      </c>
      <c r="M4" s="4">
        <f t="shared" ref="M4:M11" si="3">L4</f>
        <v>400</v>
      </c>
      <c r="N4" s="6">
        <f>VLOOKUP(C4,nodes!A:J,8,0)-VLOOKUP(C4,nodes!A:J,9,0)/2-E4/2</f>
        <v>338.50669555415539</v>
      </c>
      <c r="O4" s="4">
        <f t="shared" ref="O4:O11" si="4">N4</f>
        <v>338.50669555415539</v>
      </c>
      <c r="P4" s="4" t="str">
        <f t="shared" ref="P4:P11" si="5">_xlfn.CONCAT(L4,",",M4,",",N4,",",O4)</f>
        <v>400,400,338.506695554155,338.506695554155</v>
      </c>
      <c r="Q4" s="1" t="str">
        <f>VLOOKUP(B4,nodes!A:N,14,0)</f>
        <v>#ffd16a</v>
      </c>
      <c r="T4" s="1" t="s">
        <v>64</v>
      </c>
      <c r="V4" s="1">
        <v>10</v>
      </c>
      <c r="W4" s="1">
        <v>0.03</v>
      </c>
    </row>
    <row r="5" spans="1:23" ht="19" customHeight="1">
      <c r="A5" s="1" t="str">
        <f t="shared" si="0"/>
        <v>Nuclear-Power</v>
      </c>
      <c r="B5" s="1" t="s">
        <v>10</v>
      </c>
      <c r="C5" s="1" t="s">
        <v>4</v>
      </c>
      <c r="D5" s="1">
        <f>_xlfn.IFNA(VLOOKUP(A5,line_prep!A:D,4,0),0)</f>
        <v>3.3776380175303702</v>
      </c>
      <c r="E5" s="1">
        <f t="shared" si="1"/>
        <v>3.3776380175303702</v>
      </c>
      <c r="F5" s="1">
        <f t="shared" ref="F5:F11" si="6">E5-D5</f>
        <v>0</v>
      </c>
      <c r="G5" s="4">
        <f>VLOOKUP(B5,nodes!A:E,5,0)</f>
        <v>95</v>
      </c>
      <c r="H5" s="1">
        <f t="shared" ref="H5:H11" si="7">G5+50</f>
        <v>145</v>
      </c>
      <c r="I5" s="4">
        <f>IF(N5&gt;M5,H5+(N5-M5)/line_to_power!$I$1,H5-(N5-M5)/line_to_power!$I$1)</f>
        <v>163.77832938154685</v>
      </c>
      <c r="J5" s="4">
        <f>VLOOKUP(C5,nodes!A:E,3,0)</f>
        <v>305</v>
      </c>
      <c r="K5" s="4" t="str">
        <f t="shared" si="2"/>
        <v>95,145,163.778329381547,305</v>
      </c>
      <c r="L5" s="1">
        <f>VLOOKUP(B5,nodes!A:G,7,0)</f>
        <v>368.19006295174745</v>
      </c>
      <c r="M5" s="4">
        <f t="shared" si="3"/>
        <v>368.19006295174745</v>
      </c>
      <c r="N5" s="6">
        <f>N4-E4/2-E5/2</f>
        <v>330.63340418865374</v>
      </c>
      <c r="O5" s="4">
        <f t="shared" si="4"/>
        <v>330.63340418865374</v>
      </c>
      <c r="P5" s="4" t="str">
        <f t="shared" si="5"/>
        <v>368.190062951747,368.190062951747,330.633404188654,330.633404188654</v>
      </c>
      <c r="Q5" s="1" t="str">
        <f>VLOOKUP(B5,nodes!A:N,14,0)</f>
        <v>#ff8700</v>
      </c>
      <c r="T5" s="1" t="s">
        <v>64</v>
      </c>
      <c r="V5" s="1">
        <v>10</v>
      </c>
      <c r="W5" s="1">
        <v>0.03</v>
      </c>
    </row>
    <row r="6" spans="1:23" ht="19" customHeight="1">
      <c r="A6" s="1" t="str">
        <f t="shared" si="0"/>
        <v>Hydro-Power</v>
      </c>
      <c r="B6" s="1" t="s">
        <v>7</v>
      </c>
      <c r="C6" s="1" t="s">
        <v>4</v>
      </c>
      <c r="D6" s="1">
        <f>_xlfn.IFNA(VLOOKUP(A6,line_prep!A:D,4,0),0)</f>
        <v>6.9818353148595804</v>
      </c>
      <c r="E6" s="1">
        <f t="shared" si="1"/>
        <v>6.9818353148595804</v>
      </c>
      <c r="F6" s="1">
        <f t="shared" si="6"/>
        <v>0</v>
      </c>
      <c r="G6" s="4">
        <f>VLOOKUP(B6,nodes!A:E,5,0)</f>
        <v>95</v>
      </c>
      <c r="H6" s="1">
        <f t="shared" si="7"/>
        <v>145</v>
      </c>
      <c r="I6" s="4">
        <f>IF(N6&gt;M6,H6+(N6-M6)/line_to_power!$I$1,H6-(N6-M6)/line_to_power!$I$1)</f>
        <v>170.21022897622748</v>
      </c>
      <c r="J6" s="4">
        <f>VLOOKUP(C6,nodes!A:E,3,0)</f>
        <v>305</v>
      </c>
      <c r="K6" s="4" t="str">
        <f t="shared" si="2"/>
        <v>95,145,170.210228976227,305</v>
      </c>
      <c r="L6" s="1">
        <f>VLOOKUP(B6,nodes!A:G,7,0)</f>
        <v>340.42045795245497</v>
      </c>
      <c r="M6" s="4">
        <f t="shared" si="3"/>
        <v>340.42045795245497</v>
      </c>
      <c r="N6" s="6">
        <v>290</v>
      </c>
      <c r="O6" s="4">
        <f t="shared" si="4"/>
        <v>290</v>
      </c>
      <c r="P6" s="4" t="str">
        <f t="shared" si="5"/>
        <v>340.420457952455,340.420457952455,290,290</v>
      </c>
      <c r="Q6" s="1" t="str">
        <f>VLOOKUP(B6,nodes!A:N,14,0)</f>
        <v>#29b09d</v>
      </c>
      <c r="T6" s="1" t="s">
        <v>64</v>
      </c>
      <c r="V6" s="1">
        <v>10</v>
      </c>
      <c r="W6" s="1">
        <v>0.03</v>
      </c>
    </row>
    <row r="7" spans="1:23" ht="19" customHeight="1">
      <c r="A7" s="1" t="str">
        <f t="shared" si="0"/>
        <v>Wind-Power</v>
      </c>
      <c r="B7" s="1" t="s">
        <v>9</v>
      </c>
      <c r="C7" s="1" t="s">
        <v>4</v>
      </c>
      <c r="D7" s="1">
        <f>_xlfn.IFNA(VLOOKUP(A7,line_prep!A:D,4,0),0)</f>
        <v>18.525195813980201</v>
      </c>
      <c r="E7" s="1">
        <f t="shared" si="1"/>
        <v>18.525195813980201</v>
      </c>
      <c r="F7" s="1">
        <f t="shared" si="6"/>
        <v>0</v>
      </c>
      <c r="G7" s="4">
        <f>VLOOKUP(B7,nodes!A:E,5,0)</f>
        <v>95</v>
      </c>
      <c r="H7" s="1">
        <f t="shared" si="7"/>
        <v>145</v>
      </c>
      <c r="I7" s="4">
        <f>IF(N7&gt;M7,H7+(N7-M7)/line_to_power!$I$1,H7-(N7-M7)/line_to_power!$I$1)</f>
        <v>150.64509230291256</v>
      </c>
      <c r="J7" s="4">
        <f>VLOOKUP(C7,nodes!A:E,3,0)</f>
        <v>305</v>
      </c>
      <c r="K7" s="4" t="str">
        <f t="shared" si="2"/>
        <v>95,145,150.645092302913,305</v>
      </c>
      <c r="L7" s="1">
        <f>VLOOKUP(B7,nodes!A:G,7,0)</f>
        <v>301.29018460582512</v>
      </c>
      <c r="M7" s="4">
        <f t="shared" si="3"/>
        <v>301.29018460582512</v>
      </c>
      <c r="N7" s="6">
        <v>290</v>
      </c>
      <c r="O7" s="4">
        <f t="shared" si="4"/>
        <v>290</v>
      </c>
      <c r="P7" s="4" t="str">
        <f t="shared" si="5"/>
        <v>301.290184605825,301.290184605825,290,290</v>
      </c>
      <c r="Q7" s="1" t="str">
        <f>VLOOKUP(B7,nodes!A:N,14,0)</f>
        <v>#7defa1</v>
      </c>
      <c r="T7" s="1" t="s">
        <v>64</v>
      </c>
      <c r="V7" s="1">
        <v>10</v>
      </c>
      <c r="W7" s="1">
        <v>0.03</v>
      </c>
    </row>
    <row r="8" spans="1:23" ht="19" customHeight="1">
      <c r="A8" s="1" t="str">
        <f t="shared" si="0"/>
        <v>Biomass-Power</v>
      </c>
      <c r="B8" s="1" t="s">
        <v>11</v>
      </c>
      <c r="C8" s="1" t="s">
        <v>4</v>
      </c>
      <c r="D8" s="1">
        <f>_xlfn.IFNA(VLOOKUP(A8,line_prep!A:D,4,0),0)</f>
        <v>5.8904333930948898</v>
      </c>
      <c r="E8" s="1">
        <f t="shared" si="1"/>
        <v>5.8904333930948898</v>
      </c>
      <c r="F8" s="1">
        <f t="shared" si="6"/>
        <v>0</v>
      </c>
      <c r="G8" s="4">
        <f>VLOOKUP(B8,nodes!A:E,5,0)</f>
        <v>95</v>
      </c>
      <c r="H8" s="1">
        <f t="shared" si="7"/>
        <v>145</v>
      </c>
      <c r="I8" s="4">
        <f>IF(N8&gt;M8,H8+(N8-M8)/line_to_power!$I$1,H8-(N8-M8)/line_to_power!$I$1)</f>
        <v>158.52085281109186</v>
      </c>
      <c r="J8" s="4">
        <f>VLOOKUP(C8,nodes!A:E,3,0)</f>
        <v>305</v>
      </c>
      <c r="K8" s="4" t="str">
        <f t="shared" si="2"/>
        <v>95,145,158.520852811092,305</v>
      </c>
      <c r="L8" s="1">
        <f>VLOOKUP(B8,nodes!A:G,7,0)</f>
        <v>262.95829437781629</v>
      </c>
      <c r="M8" s="4">
        <f t="shared" si="3"/>
        <v>262.95829437781629</v>
      </c>
      <c r="N8" s="6">
        <v>290</v>
      </c>
      <c r="O8" s="4">
        <f t="shared" si="4"/>
        <v>290</v>
      </c>
      <c r="P8" s="4" t="str">
        <f t="shared" si="5"/>
        <v>262.958294377816,262.958294377816,290,290</v>
      </c>
      <c r="Q8" s="1" t="str">
        <f>VLOOKUP(B8,nodes!A:N,14,0)</f>
        <v>#2ca02c</v>
      </c>
      <c r="R8" s="1">
        <f>J8-75</f>
        <v>230</v>
      </c>
      <c r="S8" s="1">
        <f>N8</f>
        <v>290</v>
      </c>
      <c r="T8" s="1">
        <f>IF(D8=0,"",ROUND(D8,1))</f>
        <v>5.9</v>
      </c>
      <c r="V8" s="1">
        <v>10</v>
      </c>
      <c r="W8" s="1">
        <v>0.03</v>
      </c>
    </row>
    <row r="9" spans="1:23" ht="19" customHeight="1">
      <c r="A9" s="1" t="str">
        <f t="shared" si="0"/>
        <v>Gas-Power</v>
      </c>
      <c r="B9" s="1" t="s">
        <v>5</v>
      </c>
      <c r="C9" s="1" t="s">
        <v>4</v>
      </c>
      <c r="D9" s="1">
        <f>_xlfn.IFNA(VLOOKUP(A9,line_prep!A:D,4,0),0)</f>
        <v>11.3411522419375</v>
      </c>
      <c r="E9" s="1">
        <f t="shared" si="1"/>
        <v>11.3411522419375</v>
      </c>
      <c r="F9" s="1">
        <f t="shared" si="6"/>
        <v>0</v>
      </c>
      <c r="G9" s="4">
        <f>VLOOKUP(B9,nodes!A:E,5,0)</f>
        <v>95</v>
      </c>
      <c r="H9" s="1">
        <f t="shared" si="7"/>
        <v>145</v>
      </c>
      <c r="I9" s="4">
        <f>IF(N9&gt;M9,H9+(N9-M9)/line_to_power!$I$1,H9-(N9-M9)/line_to_power!$I$1)</f>
        <v>179.53340711042412</v>
      </c>
      <c r="J9" s="4">
        <f>VLOOKUP(C9,nodes!A:E,3,0)</f>
        <v>305</v>
      </c>
      <c r="K9" s="4" t="str">
        <f t="shared" si="2"/>
        <v>95,145,179.533407110424,305</v>
      </c>
      <c r="L9" s="1">
        <f>VLOOKUP(B9,nodes!A:G,7,0)+10</f>
        <v>220.93318577915176</v>
      </c>
      <c r="M9" s="4">
        <f t="shared" si="3"/>
        <v>220.93318577915176</v>
      </c>
      <c r="N9" s="6">
        <v>290</v>
      </c>
      <c r="O9" s="4">
        <f t="shared" si="4"/>
        <v>290</v>
      </c>
      <c r="P9" s="4" t="str">
        <f t="shared" si="5"/>
        <v>220.933185779152,220.933185779152,290,290</v>
      </c>
      <c r="Q9" s="1" t="str">
        <f>VLOOKUP(B9,nodes!A:N,14,0)</f>
        <v>#83c9ff</v>
      </c>
      <c r="R9" s="1">
        <f>J9-75</f>
        <v>230</v>
      </c>
      <c r="S9" s="1">
        <f>N9</f>
        <v>290</v>
      </c>
      <c r="T9" s="1">
        <f>IF(D9=0,"",ROUND(D9,1))</f>
        <v>11.3</v>
      </c>
      <c r="V9" s="1">
        <v>10</v>
      </c>
      <c r="W9" s="1">
        <v>0.03</v>
      </c>
    </row>
    <row r="10" spans="1:23" ht="19" customHeight="1">
      <c r="A10" s="1" t="str">
        <f t="shared" si="0"/>
        <v>Coal-Power</v>
      </c>
      <c r="B10" s="1" t="s">
        <v>3</v>
      </c>
      <c r="C10" s="1" t="s">
        <v>4</v>
      </c>
      <c r="D10" s="1">
        <f>_xlfn.IFNA(VLOOKUP(A10,line_prep!A:D,4,0),0)</f>
        <v>30.8840855680624</v>
      </c>
      <c r="E10" s="1">
        <f t="shared" si="1"/>
        <v>30.8840855680624</v>
      </c>
      <c r="F10" s="1">
        <f t="shared" si="6"/>
        <v>0</v>
      </c>
      <c r="G10" s="4">
        <f>VLOOKUP(B10,nodes!A:E,5,0)</f>
        <v>95</v>
      </c>
      <c r="H10" s="1">
        <f t="shared" si="7"/>
        <v>145</v>
      </c>
      <c r="I10" s="4">
        <f>IF(N10&gt;M10,H10+(N10-M10)/line_to_power!$I$1,H10-(N10-M10)/line_to_power!$I$1)</f>
        <v>222.4746224774097</v>
      </c>
      <c r="J10" s="4">
        <f>VLOOKUP(C10,nodes!A:E,3,0)</f>
        <v>305</v>
      </c>
      <c r="K10" s="4" t="str">
        <f t="shared" si="2"/>
        <v>95,145,222.47462247741,305</v>
      </c>
      <c r="L10" s="1">
        <f>VLOOKUP(B10,nodes!A:G,7,0)+13</f>
        <v>135.05075504518061</v>
      </c>
      <c r="M10" s="4">
        <f t="shared" si="3"/>
        <v>135.05075504518061</v>
      </c>
      <c r="N10" s="6">
        <v>290</v>
      </c>
      <c r="O10" s="4">
        <f t="shared" si="4"/>
        <v>290</v>
      </c>
      <c r="P10" s="4" t="str">
        <f t="shared" si="5"/>
        <v>135.050755045181,135.050755045181,290,290</v>
      </c>
      <c r="Q10" s="1" t="str">
        <f>VLOOKUP(B10,nodes!A:N,14,0)</f>
        <v>#0068c9</v>
      </c>
      <c r="R10" s="1">
        <f>J10-75</f>
        <v>230</v>
      </c>
      <c r="S10" s="1">
        <f>N10</f>
        <v>290</v>
      </c>
      <c r="T10" s="1">
        <f>IF(D10=0,"",ROUND(D10,1))</f>
        <v>30.9</v>
      </c>
      <c r="V10" s="1">
        <v>10</v>
      </c>
      <c r="W10" s="1">
        <v>0.03</v>
      </c>
    </row>
    <row r="11" spans="1:23" ht="19" customHeight="1">
      <c r="A11" s="1" t="str">
        <f t="shared" si="0"/>
        <v>Oil-Power</v>
      </c>
      <c r="B11" s="1" t="s">
        <v>6</v>
      </c>
      <c r="C11" s="1" t="s">
        <v>4</v>
      </c>
      <c r="D11" s="1">
        <f>_xlfn.IFNA(VLOOKUP(A11,line_prep!A:D,4,0),0)</f>
        <v>1.30507588457657E-2</v>
      </c>
      <c r="E11" s="1">
        <f t="shared" si="1"/>
        <v>1</v>
      </c>
      <c r="F11" s="1">
        <f t="shared" si="6"/>
        <v>0.98694924115423399</v>
      </c>
      <c r="G11" s="4">
        <f>VLOOKUP(B11,nodes!A:E,5,0)</f>
        <v>95</v>
      </c>
      <c r="H11" s="1">
        <f t="shared" si="7"/>
        <v>145</v>
      </c>
      <c r="I11" s="4">
        <f>IF(N11&gt;M11,H11+(N11-M11)/line_to_power!$I$1,H11-(N11-M11)/line_to_power!$I$1)</f>
        <v>263.95319376389199</v>
      </c>
      <c r="J11" s="4">
        <f>VLOOKUP(C11,nodes!A:E,3,0)</f>
        <v>305</v>
      </c>
      <c r="K11" s="4" t="str">
        <f t="shared" si="2"/>
        <v>95,145,263.953193763892,305</v>
      </c>
      <c r="L11" s="1">
        <f>VLOOKUP(B11,nodes!A:G,7,0)</f>
        <v>52.093612472216051</v>
      </c>
      <c r="M11" s="4">
        <f t="shared" si="3"/>
        <v>52.093612472216051</v>
      </c>
      <c r="N11" s="6">
        <v>290</v>
      </c>
      <c r="O11" s="4">
        <f t="shared" si="4"/>
        <v>290</v>
      </c>
      <c r="P11" s="4" t="str">
        <f t="shared" si="5"/>
        <v>52.0936124722161,52.0936124722161,290,290</v>
      </c>
      <c r="Q11" s="1" t="str">
        <f>VLOOKUP(B11,nodes!A:N,14,0)</f>
        <v>#4d95d9</v>
      </c>
      <c r="R11" s="1">
        <f>J11-75</f>
        <v>230</v>
      </c>
      <c r="S11" s="1">
        <f>N11-5</f>
        <v>285</v>
      </c>
      <c r="T11" s="1">
        <v>0.01</v>
      </c>
      <c r="U11" s="1" t="str">
        <f>Q11</f>
        <v>#4d95d9</v>
      </c>
      <c r="V11" s="1">
        <v>10</v>
      </c>
      <c r="W11" s="1">
        <v>0.03</v>
      </c>
    </row>
  </sheetData>
  <autoFilter ref="A3:V11" xr:uid="{00000000-0009-0000-0000-000004000000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2:V9"/>
  <sheetViews>
    <sheetView tabSelected="1" workbookViewId="0">
      <pane xSplit="3" topLeftCell="D1" activePane="topRight" state="frozen"/>
      <selection activeCell="M28" sqref="M28"/>
      <selection pane="topRight" activeCell="M28" sqref="M28"/>
    </sheetView>
  </sheetViews>
  <sheetFormatPr baseColWidth="10" defaultColWidth="4.83203125" defaultRowHeight="19" customHeight="1"/>
  <cols>
    <col min="1" max="1" width="7.1640625" style="1" customWidth="1"/>
    <col min="2" max="2" width="19.6640625" style="1" customWidth="1"/>
    <col min="3" max="3" width="14.83203125" style="1" customWidth="1"/>
    <col min="4" max="4" width="9.1640625" style="1" customWidth="1"/>
    <col min="5" max="13" width="4.83203125" style="1" customWidth="1"/>
    <col min="14" max="14" width="4.83203125" style="6" customWidth="1"/>
    <col min="15" max="16" width="4.83203125" style="1" customWidth="1"/>
    <col min="17" max="17" width="12" style="1" customWidth="1"/>
    <col min="18" max="19" width="4.83203125" style="1" customWidth="1"/>
    <col min="20" max="20" width="8.6640625" style="1" customWidth="1"/>
    <col min="21" max="21" width="8.1640625" style="1" customWidth="1"/>
    <col min="22" max="16383" width="4.83203125" style="1" customWidth="1"/>
    <col min="16384" max="16384" width="4.83203125" style="1"/>
  </cols>
  <sheetData>
    <row r="2" spans="1:22" customFormat="1" ht="19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"/>
      <c r="O2" s="1"/>
      <c r="P2" s="1"/>
      <c r="Q2" s="1"/>
      <c r="R2" s="1"/>
      <c r="S2" s="1"/>
      <c r="T2" s="1"/>
      <c r="U2" s="1"/>
      <c r="V2" s="1"/>
    </row>
    <row r="3" spans="1:22" s="2" customFormat="1" ht="19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</row>
    <row r="4" spans="1:22" ht="19" customHeight="1">
      <c r="A4" s="1" t="str">
        <f t="shared" ref="A4:A9" si="0">_xlfn.CONCAT(B4,"-",C4)</f>
        <v>Other energy supply-Biomass products</v>
      </c>
      <c r="B4" s="1" t="s">
        <v>16</v>
      </c>
      <c r="C4" s="1" t="s">
        <v>22</v>
      </c>
      <c r="D4" s="1">
        <f>_xlfn.IFNA(VLOOKUP(A4,line_prep!A:D,4,0),0)</f>
        <v>2.6891096936660499E-2</v>
      </c>
      <c r="E4" s="1">
        <f t="shared" ref="E4:E9" si="1">IF(D4=0,0,IF(D4&lt;1,1,D4))</f>
        <v>1</v>
      </c>
      <c r="F4" s="1">
        <f t="shared" ref="F4:F9" si="2">E4-D4</f>
        <v>0.97310890306333997</v>
      </c>
      <c r="G4" s="4">
        <f>VLOOKUP(B4,nodes!A:E,5,0)</f>
        <v>395</v>
      </c>
      <c r="H4" s="1">
        <f t="shared" ref="H4:H9" si="3">G4+10</f>
        <v>405</v>
      </c>
      <c r="I4" s="1">
        <f t="shared" ref="I4:I9" si="4">J4</f>
        <v>430</v>
      </c>
      <c r="J4" s="4">
        <f>VLOOKUP(C4,nodes!A:E,3,0)</f>
        <v>430</v>
      </c>
      <c r="K4" s="1" t="str">
        <f t="shared" ref="K4:K9" si="5">_xlfn.CONCAT(G4,",",H4,",",I4,",",J4)</f>
        <v>395,405,430,430</v>
      </c>
      <c r="L4" s="1">
        <f>VLOOKUP(C4,nodes!A:G,7,0)</f>
        <v>152.87226415170534</v>
      </c>
      <c r="M4" s="1">
        <f t="shared" ref="M4:M9" si="6">L4</f>
        <v>152.87226415170534</v>
      </c>
      <c r="N4" s="6">
        <f>VLOOKUP(C4,nodes!A:G,7,0)</f>
        <v>152.87226415170534</v>
      </c>
      <c r="O4" s="1">
        <f t="shared" ref="O4:O9" si="7">N4</f>
        <v>152.87226415170534</v>
      </c>
      <c r="P4" s="1" t="str">
        <f t="shared" ref="P4:P9" si="8">_xlfn.CONCAT(L4,",",M4,",",N4,",",O4)</f>
        <v>152.872264151705,152.872264151705,152.872264151705,152.872264151705</v>
      </c>
      <c r="Q4" s="1" t="str">
        <f>VLOOKUP(C4,nodes!A:N,14,0)</f>
        <v>#2ca02c</v>
      </c>
      <c r="V4" s="1">
        <v>10</v>
      </c>
    </row>
    <row r="5" spans="1:22" ht="19" customHeight="1">
      <c r="A5" s="1" t="str">
        <f t="shared" si="0"/>
        <v>Other energy supply-Heat</v>
      </c>
      <c r="B5" s="1" t="s">
        <v>16</v>
      </c>
      <c r="C5" s="1" t="s">
        <v>17</v>
      </c>
      <c r="D5" s="1">
        <f>_xlfn.IFNA(VLOOKUP(A5,line_prep!A:D,4,0),0)</f>
        <v>7.67386724958972</v>
      </c>
      <c r="E5" s="1">
        <f t="shared" si="1"/>
        <v>7.67386724958972</v>
      </c>
      <c r="F5" s="1">
        <f t="shared" si="2"/>
        <v>0</v>
      </c>
      <c r="G5" s="4">
        <f>VLOOKUP(B5,nodes!A:E,5,0)</f>
        <v>395</v>
      </c>
      <c r="H5" s="1">
        <f t="shared" si="3"/>
        <v>405</v>
      </c>
      <c r="I5" s="1">
        <f t="shared" si="4"/>
        <v>430</v>
      </c>
      <c r="J5" s="4">
        <f>VLOOKUP(C5,nodes!A:E,3,0)</f>
        <v>430</v>
      </c>
      <c r="K5" s="1" t="str">
        <f t="shared" si="5"/>
        <v>395,405,430,430</v>
      </c>
      <c r="L5" s="1">
        <f>VLOOKUP(C5,nodes!A:G,7,0)</f>
        <v>141.02039930706661</v>
      </c>
      <c r="M5" s="1">
        <f t="shared" si="6"/>
        <v>141.02039930706661</v>
      </c>
      <c r="N5" s="6">
        <f>VLOOKUP(C5,nodes!A:G,7,0)</f>
        <v>141.02039930706661</v>
      </c>
      <c r="O5" s="1">
        <f t="shared" si="7"/>
        <v>141.02039930706661</v>
      </c>
      <c r="P5" s="1" t="str">
        <f t="shared" si="8"/>
        <v>141.020399307067,141.020399307067,141.020399307067,141.020399307067</v>
      </c>
      <c r="Q5" s="1" t="str">
        <f>VLOOKUP(C5,nodes!A:N,14,0)</f>
        <v>#FF6692</v>
      </c>
      <c r="T5" s="1">
        <f>IF(D5=0,"",ROUND(D5,1))</f>
        <v>7.7</v>
      </c>
      <c r="V5" s="1">
        <v>10</v>
      </c>
    </row>
    <row r="6" spans="1:22" ht="19" customHeight="1">
      <c r="A6" s="1" t="str">
        <f t="shared" si="0"/>
        <v>Other energy supply-Gas products</v>
      </c>
      <c r="B6" s="1" t="s">
        <v>16</v>
      </c>
      <c r="C6" s="1" t="s">
        <v>21</v>
      </c>
      <c r="D6" s="1">
        <f>_xlfn.IFNA(VLOOKUP(A6,line_prep!A:D,4,0),0)</f>
        <v>9.8233088862396407</v>
      </c>
      <c r="E6" s="1">
        <f t="shared" si="1"/>
        <v>9.8233088862396407</v>
      </c>
      <c r="F6" s="1">
        <f t="shared" si="2"/>
        <v>0</v>
      </c>
      <c r="G6" s="4">
        <f>VLOOKUP(B6,nodes!A:E,5,0)</f>
        <v>395</v>
      </c>
      <c r="H6" s="1">
        <f t="shared" si="3"/>
        <v>405</v>
      </c>
      <c r="I6" s="1">
        <f t="shared" si="4"/>
        <v>430</v>
      </c>
      <c r="J6" s="4">
        <f>VLOOKUP(C6,nodes!A:E,3,0)</f>
        <v>430</v>
      </c>
      <c r="K6" s="1" t="str">
        <f t="shared" si="5"/>
        <v>395,405,430,430</v>
      </c>
      <c r="L6" s="1">
        <f>VLOOKUP(C6,nodes!A:G,7,0)</f>
        <v>132.27032556777638</v>
      </c>
      <c r="M6" s="1">
        <f t="shared" si="6"/>
        <v>132.27032556777638</v>
      </c>
      <c r="N6" s="6">
        <f>VLOOKUP(C6,nodes!A:G,7,0)</f>
        <v>132.27032556777638</v>
      </c>
      <c r="O6" s="1">
        <f t="shared" si="7"/>
        <v>132.27032556777638</v>
      </c>
      <c r="P6" s="1" t="str">
        <f t="shared" si="8"/>
        <v>132.270325567776,132.270325567776,132.270325567776,132.270325567776</v>
      </c>
      <c r="Q6" s="1" t="str">
        <f>VLOOKUP(C6,nodes!A:N,14,0)</f>
        <v>#83c9ff</v>
      </c>
      <c r="V6" s="1">
        <v>10</v>
      </c>
    </row>
    <row r="7" spans="1:22" ht="19" customHeight="1">
      <c r="A7" s="1" t="str">
        <f t="shared" si="0"/>
        <v>Other energy supply-Coal products</v>
      </c>
      <c r="B7" s="1" t="s">
        <v>16</v>
      </c>
      <c r="C7" s="1" t="s">
        <v>19</v>
      </c>
      <c r="D7" s="1">
        <f>_xlfn.IFNA(VLOOKUP(A7,line_prep!A:D,4,0),0)</f>
        <v>15.913035177045399</v>
      </c>
      <c r="E7" s="1">
        <f t="shared" si="1"/>
        <v>15.913035177045399</v>
      </c>
      <c r="F7" s="1">
        <f t="shared" si="2"/>
        <v>0</v>
      </c>
      <c r="G7" s="4">
        <f>VLOOKUP(B7,nodes!A:E,5,0)</f>
        <v>395</v>
      </c>
      <c r="H7" s="1">
        <f t="shared" si="3"/>
        <v>405</v>
      </c>
      <c r="I7" s="1">
        <f t="shared" si="4"/>
        <v>430</v>
      </c>
      <c r="J7" s="4">
        <f>VLOOKUP(C7,nodes!A:E,3,0)</f>
        <v>430</v>
      </c>
      <c r="K7" s="1" t="str">
        <f t="shared" si="5"/>
        <v>395,405,430,430</v>
      </c>
      <c r="L7" s="1">
        <f>VLOOKUP(C7,nodes!A:G,7,0)</f>
        <v>119.40215353613387</v>
      </c>
      <c r="M7" s="1">
        <f t="shared" si="6"/>
        <v>119.40215353613387</v>
      </c>
      <c r="N7" s="6">
        <f>VLOOKUP(C7,nodes!A:G,7,0)</f>
        <v>119.40215353613387</v>
      </c>
      <c r="O7" s="1">
        <f t="shared" si="7"/>
        <v>119.40215353613387</v>
      </c>
      <c r="P7" s="1" t="str">
        <f t="shared" si="8"/>
        <v>119.402153536134,119.402153536134,119.402153536134,119.402153536134</v>
      </c>
      <c r="Q7" s="1" t="str">
        <f>VLOOKUP(C7,nodes!A:N,14,0)</f>
        <v>#0068c9</v>
      </c>
      <c r="T7" s="1">
        <f>IF(D7=0,"",ROUND(D7,1))</f>
        <v>15.9</v>
      </c>
      <c r="V7" s="1">
        <v>10</v>
      </c>
    </row>
    <row r="8" spans="1:22" ht="19" customHeight="1">
      <c r="A8" s="1" t="str">
        <f t="shared" si="0"/>
        <v>Other energy supply-Oil products</v>
      </c>
      <c r="B8" s="1" t="s">
        <v>16</v>
      </c>
      <c r="C8" s="1" t="s">
        <v>20</v>
      </c>
      <c r="D8" s="1">
        <f>_xlfn.IFNA(VLOOKUP(A8,line_prep!A:D,4,0),0)</f>
        <v>19.462467081641599</v>
      </c>
      <c r="E8" s="1">
        <f t="shared" si="1"/>
        <v>19.462467081641599</v>
      </c>
      <c r="F8" s="1">
        <f t="shared" si="2"/>
        <v>0</v>
      </c>
      <c r="G8" s="4">
        <f>VLOOKUP(B8,nodes!A:E,5,0)</f>
        <v>395</v>
      </c>
      <c r="H8" s="1">
        <f t="shared" si="3"/>
        <v>405</v>
      </c>
      <c r="I8" s="1">
        <f t="shared" si="4"/>
        <v>430</v>
      </c>
      <c r="J8" s="4">
        <f>VLOOKUP(C8,nodes!A:E,3,0)</f>
        <v>430</v>
      </c>
      <c r="K8" s="1" t="str">
        <f t="shared" si="5"/>
        <v>395,405,430,430</v>
      </c>
      <c r="L8" s="1">
        <f>VLOOKUP(C8,nodes!A:G,7,0)</f>
        <v>101.71440240679037</v>
      </c>
      <c r="M8" s="1">
        <f t="shared" si="6"/>
        <v>101.71440240679037</v>
      </c>
      <c r="N8" s="6">
        <f>VLOOKUP(C8,nodes!A:G,7,0)</f>
        <v>101.71440240679037</v>
      </c>
      <c r="O8" s="1">
        <f t="shared" si="7"/>
        <v>101.71440240679037</v>
      </c>
      <c r="P8" s="1" t="str">
        <f t="shared" si="8"/>
        <v>101.71440240679,101.71440240679,101.71440240679,101.71440240679</v>
      </c>
      <c r="Q8" s="1" t="str">
        <f>VLOOKUP(C8,nodes!A:N,14,0)</f>
        <v>#4d95d9</v>
      </c>
      <c r="T8" s="1">
        <f>IF(D8=0,"",ROUND(D8,1))</f>
        <v>19.5</v>
      </c>
      <c r="V8" s="1">
        <v>10</v>
      </c>
    </row>
    <row r="9" spans="1:22" ht="19" customHeight="1">
      <c r="A9" s="1" t="str">
        <f t="shared" si="0"/>
        <v>Other energy supply-Hydrogen</v>
      </c>
      <c r="B9" s="1" t="s">
        <v>16</v>
      </c>
      <c r="C9" s="1" t="s">
        <v>18</v>
      </c>
      <c r="D9" s="1">
        <f>_xlfn.IFNA(VLOOKUP(A9,line_prep!A:D,4,0),0)</f>
        <v>1.72321113193258</v>
      </c>
      <c r="E9" s="1">
        <f t="shared" si="1"/>
        <v>1.72321113193258</v>
      </c>
      <c r="F9" s="1">
        <f t="shared" si="2"/>
        <v>0</v>
      </c>
      <c r="G9" s="4">
        <f>VLOOKUP(B9,nodes!A:E,5,0)</f>
        <v>395</v>
      </c>
      <c r="H9" s="1">
        <f t="shared" si="3"/>
        <v>405</v>
      </c>
      <c r="I9" s="1">
        <f t="shared" si="4"/>
        <v>430</v>
      </c>
      <c r="J9" s="4">
        <f>VLOOKUP(C9,nodes!A:E,3,0)</f>
        <v>430</v>
      </c>
      <c r="K9" s="1" t="str">
        <f t="shared" si="5"/>
        <v>395,405,430,430</v>
      </c>
      <c r="L9" s="1">
        <f>VLOOKUP(C9,nodes!A:G,7,0)</f>
        <v>83.121563300003288</v>
      </c>
      <c r="M9" s="1">
        <f t="shared" si="6"/>
        <v>83.121563300003288</v>
      </c>
      <c r="N9" s="6">
        <f>VLOOKUP(C9,nodes!A:G,7,0)</f>
        <v>83.121563300003288</v>
      </c>
      <c r="O9" s="1">
        <f t="shared" si="7"/>
        <v>83.121563300003288</v>
      </c>
      <c r="P9" s="1" t="str">
        <f t="shared" si="8"/>
        <v>83.1215633000033,83.1215633000033,83.1215633000033,83.1215633000033</v>
      </c>
      <c r="Q9" s="1" t="str">
        <f>VLOOKUP(C9,nodes!A:N,14,0)</f>
        <v>#6D3FC0</v>
      </c>
      <c r="T9" s="1">
        <f>IF(D9=0,"",ROUND(D9,1))</f>
        <v>1.7</v>
      </c>
      <c r="V9" s="1">
        <v>10</v>
      </c>
    </row>
  </sheetData>
  <autoFilter ref="A3:V9" xr:uid="{00000000-0009-0000-0000-000005000000}"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2:W22"/>
  <sheetViews>
    <sheetView tabSelected="1" workbookViewId="0">
      <pane xSplit="3" ySplit="3" topLeftCell="D15" activePane="bottomRight" state="frozen"/>
      <selection activeCell="I21" sqref="I21"/>
      <selection pane="topRight" activeCell="I21" sqref="I21"/>
      <selection pane="bottomLeft" activeCell="I21" sqref="I21"/>
      <selection pane="bottomRight" activeCell="M28" sqref="M28"/>
    </sheetView>
  </sheetViews>
  <sheetFormatPr baseColWidth="10" defaultColWidth="7.1640625" defaultRowHeight="19" customHeight="1"/>
  <cols>
    <col min="1" max="1" width="11.33203125" style="1" customWidth="1"/>
    <col min="2" max="8" width="7.1640625" style="1" customWidth="1"/>
    <col min="9" max="9" width="26" style="1" customWidth="1"/>
    <col min="10" max="11" width="7.1640625" style="1" customWidth="1"/>
    <col min="12" max="12" width="7.1640625" style="6" customWidth="1"/>
    <col min="13" max="13" width="7.1640625" style="1" customWidth="1"/>
    <col min="14" max="14" width="7.1640625" style="6" customWidth="1"/>
    <col min="15" max="15" width="7.1640625" style="1" customWidth="1"/>
    <col min="16" max="16384" width="7.1640625" style="1"/>
  </cols>
  <sheetData>
    <row r="2" spans="1:23" customFormat="1" ht="19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/>
      <c r="M2" s="1"/>
      <c r="N2" s="6"/>
      <c r="O2" s="1"/>
      <c r="P2" s="1"/>
      <c r="Q2" s="1"/>
      <c r="R2" s="1"/>
      <c r="S2" s="1"/>
      <c r="T2" s="1"/>
      <c r="U2" s="1"/>
      <c r="V2" s="1"/>
      <c r="W2" s="1"/>
    </row>
    <row r="3" spans="1:23" s="2" customFormat="1" ht="19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  <c r="W3" s="2" t="s">
        <v>63</v>
      </c>
    </row>
    <row r="4" spans="1:23" s="3" customFormat="1" ht="19" customHeight="1">
      <c r="A4" s="3" t="str">
        <f t="shared" ref="A4:A22" si="0">_xlfn.CONCAT(B4,"-",C4)</f>
        <v>Power-Loss</v>
      </c>
      <c r="B4" s="3" t="s">
        <v>4</v>
      </c>
      <c r="C4" s="3" t="s">
        <v>26</v>
      </c>
      <c r="D4" s="3">
        <f>_xlfn.IFNA(VLOOKUP(A4,line_prep!A:D,4,0),0)</f>
        <v>38.877553851783802</v>
      </c>
      <c r="E4" s="3">
        <f t="shared" ref="E4:E22" si="1">IF(D4=0,0,IF(D4&lt;1,1,D4))</f>
        <v>38.877553851783802</v>
      </c>
      <c r="F4" s="1">
        <f>E4-D4</f>
        <v>0</v>
      </c>
      <c r="G4" s="4">
        <f>VLOOKUP(B4,nodes!A:E,5,0)</f>
        <v>395</v>
      </c>
      <c r="H4" s="1">
        <f>G4+50</f>
        <v>445</v>
      </c>
      <c r="I4" s="3">
        <f>IF(N4&gt;M4,H4+(N4-M4)/line_to_power!$I$1,H4-(N4-M4)/line_to_power!$I$1)</f>
        <v>473.19948381447927</v>
      </c>
      <c r="J4" s="4">
        <f>VLOOKUP(C4,nodes!A:E,3,0)</f>
        <v>705</v>
      </c>
      <c r="K4" s="3" t="str">
        <f t="shared" ref="K4:K22" si="2">_xlfn.CONCAT(G4,",",H4,",",I4,",",J4)</f>
        <v>395,445,473.199483814479,705</v>
      </c>
      <c r="L4" s="5">
        <f>VLOOKUP(B4,nodes!A:J,8,0)-VLOOKUP(C4,nodes!A:B,2,0)/2-E4/2</f>
        <v>324.88011519279775</v>
      </c>
      <c r="M4" s="3">
        <f t="shared" ref="M4:M22" si="3">L4</f>
        <v>324.88011519279775</v>
      </c>
      <c r="N4" s="5">
        <f>VLOOKUP(C4,nodes!A:J,8,0)-VLOOKUP(C4,nodes!A:J,9,0)/2-E4/2</f>
        <v>381.27908282175628</v>
      </c>
      <c r="O4" s="3">
        <f t="shared" ref="O4:O22" si="4">N4</f>
        <v>381.27908282175628</v>
      </c>
      <c r="P4" s="3" t="str">
        <f t="shared" ref="P4:P22" si="5">_xlfn.CONCAT(L4,",",M4,",",N4,",",O4)</f>
        <v>324.880115192798,324.880115192798,381.279082821756,381.279082821756</v>
      </c>
      <c r="Q4" s="3" t="str">
        <f>VLOOKUP(C4,nodes!A:N,14,0)</f>
        <v>#d5dae5</v>
      </c>
      <c r="R4" s="3">
        <f>J4-200</f>
        <v>505</v>
      </c>
      <c r="S4" s="3">
        <f>N4</f>
        <v>381.27908282175628</v>
      </c>
      <c r="T4" s="3">
        <f t="shared" ref="T4:T10" si="6">IF(D4=0,"",ROUND(D4,1))</f>
        <v>38.9</v>
      </c>
      <c r="V4" s="3">
        <v>10</v>
      </c>
      <c r="W4" s="3">
        <v>0.03</v>
      </c>
    </row>
    <row r="5" spans="1:23" ht="19" customHeight="1">
      <c r="A5" s="1" t="str">
        <f t="shared" si="0"/>
        <v>Other energy supply-Loss</v>
      </c>
      <c r="B5" s="1" t="s">
        <v>16</v>
      </c>
      <c r="C5" s="1" t="s">
        <v>26</v>
      </c>
      <c r="D5" s="1">
        <f>_xlfn.IFNA(VLOOKUP(A5,line_prep!A:D,4,0),0)</f>
        <v>6.5581656435125302</v>
      </c>
      <c r="E5" s="1">
        <f t="shared" si="1"/>
        <v>6.5581656435125302</v>
      </c>
      <c r="F5" s="1">
        <f t="shared" ref="F5:F22" si="7">E5-D5</f>
        <v>0</v>
      </c>
      <c r="G5" s="4">
        <f>VLOOKUP(B5,nodes!A:E,5,0)</f>
        <v>395</v>
      </c>
      <c r="H5" s="1">
        <f t="shared" ref="H5:H22" si="8">G5+50</f>
        <v>445</v>
      </c>
      <c r="I5" s="1">
        <f>IF(N5&gt;M5,H5+(N5-M5)/line_to_power!$I$1,H5-(N5-M5)/line_to_power!$I$1)</f>
        <v>543.65676303475743</v>
      </c>
      <c r="J5" s="4">
        <f>VLOOKUP(C5,nodes!A:E,3,0)</f>
        <v>705</v>
      </c>
      <c r="K5" s="1" t="str">
        <f t="shared" si="2"/>
        <v>395,445,543.656763034757,705</v>
      </c>
      <c r="L5" s="6">
        <f>VLOOKUP(B5,nodes!A:J,8,0)-VLOOKUP(C5,nodes!A:J,9,0)/2-E5/2+10</f>
        <v>161.24769700459331</v>
      </c>
      <c r="M5" s="1">
        <f t="shared" si="3"/>
        <v>161.24769700459331</v>
      </c>
      <c r="N5" s="6">
        <f>N4-E4/2-E5/2</f>
        <v>358.56122307410811</v>
      </c>
      <c r="O5" s="1">
        <f t="shared" si="4"/>
        <v>358.56122307410811</v>
      </c>
      <c r="P5" s="1" t="str">
        <f t="shared" si="5"/>
        <v>161.247697004593,161.247697004593,358.561223074108,358.561223074108</v>
      </c>
      <c r="Q5" s="1" t="str">
        <f>VLOOKUP(C5,nodes!A:N,14,0)</f>
        <v>#d5dae5</v>
      </c>
      <c r="R5" s="1">
        <f>I5</f>
        <v>543.65676303475743</v>
      </c>
      <c r="S5" s="1">
        <f>N5-8</f>
        <v>350.56122307410811</v>
      </c>
      <c r="T5" s="3">
        <f t="shared" si="6"/>
        <v>6.6</v>
      </c>
      <c r="V5" s="1">
        <v>10</v>
      </c>
      <c r="W5" s="1">
        <v>0.03</v>
      </c>
    </row>
    <row r="6" spans="1:23" s="3" customFormat="1" ht="19" customHeight="1">
      <c r="A6" s="3" t="str">
        <f t="shared" si="0"/>
        <v>Power-Buildings</v>
      </c>
      <c r="B6" s="3" t="s">
        <v>4</v>
      </c>
      <c r="C6" s="3" t="s">
        <v>14</v>
      </c>
      <c r="D6" s="3">
        <f>_xlfn.IFNA(VLOOKUP(A6,line_prep!A:D,4,0),0)</f>
        <v>21.225511600000001</v>
      </c>
      <c r="E6" s="3">
        <f t="shared" si="1"/>
        <v>21.225511600000001</v>
      </c>
      <c r="F6" s="1">
        <f t="shared" si="7"/>
        <v>0</v>
      </c>
      <c r="G6" s="4">
        <f>VLOOKUP(B6,nodes!A:E,5,0)</f>
        <v>395</v>
      </c>
      <c r="H6" s="1">
        <f t="shared" si="8"/>
        <v>445</v>
      </c>
      <c r="I6" s="3">
        <f>IF(N6&gt;M6,H6+(N6-M6)/line_to_power!$I$1,H6-(N6-M6)/line_to_power!$I$1)</f>
        <v>451.65902200171013</v>
      </c>
      <c r="J6" s="4">
        <f>VLOOKUP(C6,nodes!A:E,3,0)</f>
        <v>705</v>
      </c>
      <c r="K6" s="3" t="str">
        <f t="shared" si="2"/>
        <v>395,445,451.65902200171,705</v>
      </c>
      <c r="L6" s="5">
        <f>L4-E4/2-E6/2</f>
        <v>294.82858246690586</v>
      </c>
      <c r="M6" s="3">
        <f t="shared" si="3"/>
        <v>294.82858246690586</v>
      </c>
      <c r="N6" s="5">
        <f>VLOOKUP(C6,nodes!A:J,8,0)-VLOOKUP(C6,nodes!A:J,9,0)/2-E6/2</f>
        <v>281.51053846348566</v>
      </c>
      <c r="O6" s="3">
        <f t="shared" si="4"/>
        <v>281.51053846348566</v>
      </c>
      <c r="P6" s="3" t="str">
        <f t="shared" si="5"/>
        <v>294.828582466906,294.828582466906,281.510538463486,281.510538463486</v>
      </c>
      <c r="Q6" s="3" t="str">
        <f>VLOOKUP(B6,nodes!A:N,14,0)</f>
        <v>#ffabab</v>
      </c>
      <c r="R6" s="3">
        <f>J6-60</f>
        <v>645</v>
      </c>
      <c r="S6" s="3">
        <f>N6</f>
        <v>281.51053846348566</v>
      </c>
      <c r="T6" s="3">
        <f t="shared" si="6"/>
        <v>21.2</v>
      </c>
      <c r="V6" s="3">
        <v>10</v>
      </c>
      <c r="W6" s="3">
        <v>0.03</v>
      </c>
    </row>
    <row r="7" spans="1:23" ht="19" customHeight="1">
      <c r="A7" s="1" t="str">
        <f t="shared" si="0"/>
        <v>Biomass products-Buildings</v>
      </c>
      <c r="B7" s="1" t="s">
        <v>22</v>
      </c>
      <c r="C7" s="1" t="s">
        <v>14</v>
      </c>
      <c r="D7" s="1">
        <f>_xlfn.IFNA(VLOOKUP(A7,line_prep!A:D,4,0),0)</f>
        <v>0</v>
      </c>
      <c r="E7" s="1">
        <f t="shared" si="1"/>
        <v>0</v>
      </c>
      <c r="F7" s="1">
        <f t="shared" si="7"/>
        <v>0</v>
      </c>
      <c r="G7" s="4">
        <f>VLOOKUP(B7,nodes!A:E,5,0)</f>
        <v>520</v>
      </c>
      <c r="H7" s="1">
        <f t="shared" si="8"/>
        <v>570</v>
      </c>
      <c r="I7" s="1">
        <f>IF(N7&gt;M7,H7+(N7-M7)/line_to_power!$I$1,H7-(N7-M7)/line_to_power!$I$1)</f>
        <v>631.01275925589016</v>
      </c>
      <c r="J7" s="4">
        <f>VLOOKUP(C7,nodes!A:E,3,0)</f>
        <v>705</v>
      </c>
      <c r="K7" s="1" t="str">
        <f t="shared" si="2"/>
        <v>520,570,631.01275925589,705</v>
      </c>
      <c r="L7" s="6">
        <f>VLOOKUP(B7,nodes!A:G,7,0)-4</f>
        <v>148.87226415170534</v>
      </c>
      <c r="M7" s="1">
        <f t="shared" si="3"/>
        <v>148.87226415170534</v>
      </c>
      <c r="N7" s="6">
        <f>N6-E6/2-E7/2</f>
        <v>270.89778266348566</v>
      </c>
      <c r="O7" s="1">
        <f t="shared" si="4"/>
        <v>270.89778266348566</v>
      </c>
      <c r="P7" s="1" t="str">
        <f t="shared" si="5"/>
        <v>148.872264151705,148.872264151705,270.897782663486,270.897782663486</v>
      </c>
      <c r="Q7" s="1" t="str">
        <f>VLOOKUP(B7,nodes!A:N,14,0)</f>
        <v>#2ca02c</v>
      </c>
      <c r="T7" s="1" t="str">
        <f t="shared" si="6"/>
        <v/>
      </c>
      <c r="V7" s="1">
        <v>10</v>
      </c>
      <c r="W7" s="1">
        <v>0.03</v>
      </c>
    </row>
    <row r="8" spans="1:23" ht="19" customHeight="1">
      <c r="A8" s="1" t="str">
        <f t="shared" si="0"/>
        <v>Heat-Buildings</v>
      </c>
      <c r="B8" s="1" t="s">
        <v>17</v>
      </c>
      <c r="C8" s="1" t="s">
        <v>14</v>
      </c>
      <c r="D8" s="1">
        <f>_xlfn.IFNA(VLOOKUP(A8,line_prep!A:D,4,0),0)</f>
        <v>1.4772188397164301</v>
      </c>
      <c r="E8" s="1">
        <f t="shared" si="1"/>
        <v>1.4772188397164301</v>
      </c>
      <c r="F8" s="1">
        <f t="shared" si="7"/>
        <v>0</v>
      </c>
      <c r="G8" s="4">
        <f>VLOOKUP(B8,nodes!A:E,5,0)</f>
        <v>520</v>
      </c>
      <c r="H8" s="1">
        <f t="shared" si="8"/>
        <v>570</v>
      </c>
      <c r="I8" s="1">
        <f>IF(N8&gt;M8,H8+(N8-M8)/line_to_power!$I$1,H8-(N8-M8)/line_to_power!$I$1)</f>
        <v>633.06938696828047</v>
      </c>
      <c r="J8" s="4">
        <f>VLOOKUP(C8,nodes!A:E,3,0)</f>
        <v>705</v>
      </c>
      <c r="K8" s="1" t="str">
        <f t="shared" si="2"/>
        <v>520,570,633.06938696828,705</v>
      </c>
      <c r="L8" s="6">
        <f>VLOOKUP(B8,nodes!A:G,7,0)+3</f>
        <v>144.02039930706661</v>
      </c>
      <c r="M8" s="1">
        <f t="shared" si="3"/>
        <v>144.02039930706661</v>
      </c>
      <c r="N8" s="6">
        <f>N7-E7/2-E8/2</f>
        <v>270.15917324362744</v>
      </c>
      <c r="O8" s="1">
        <f t="shared" si="4"/>
        <v>270.15917324362744</v>
      </c>
      <c r="P8" s="1" t="str">
        <f t="shared" si="5"/>
        <v>144.020399307067,144.020399307067,270.159173243627,270.159173243627</v>
      </c>
      <c r="Q8" s="1" t="str">
        <f>VLOOKUP(B8,nodes!A:N,14,0)</f>
        <v>#FF6692</v>
      </c>
      <c r="R8" s="1">
        <f>I8+8</f>
        <v>641.06938696828047</v>
      </c>
      <c r="S8" s="1">
        <f>N8-8</f>
        <v>262.15917324362744</v>
      </c>
      <c r="T8" s="1">
        <f t="shared" si="6"/>
        <v>1.5</v>
      </c>
      <c r="U8" s="1" t="str">
        <f>Q8</f>
        <v>#FF6692</v>
      </c>
      <c r="V8" s="1">
        <v>10</v>
      </c>
      <c r="W8" s="1">
        <v>0.03</v>
      </c>
    </row>
    <row r="9" spans="1:23" ht="19" customHeight="1">
      <c r="A9" s="1" t="str">
        <f t="shared" si="0"/>
        <v>Gas products-Buildings</v>
      </c>
      <c r="B9" s="1" t="s">
        <v>21</v>
      </c>
      <c r="C9" s="1" t="s">
        <v>14</v>
      </c>
      <c r="D9" s="1">
        <f>_xlfn.IFNA(VLOOKUP(A9,line_prep!A:D,4,0),0)</f>
        <v>2.8129945590643799</v>
      </c>
      <c r="E9" s="1">
        <f t="shared" si="1"/>
        <v>2.8129945590643799</v>
      </c>
      <c r="F9" s="1">
        <f t="shared" si="7"/>
        <v>0</v>
      </c>
      <c r="G9" s="4">
        <f>VLOOKUP(B9,nodes!A:E,5,0)</f>
        <v>520</v>
      </c>
      <c r="H9" s="1">
        <f t="shared" si="8"/>
        <v>570</v>
      </c>
      <c r="I9" s="1">
        <f>IF(N9&gt;M9,H9+(N9-M9)/line_to_power!$I$1,H9-(N9-M9)/line_to_power!$I$1)</f>
        <v>636.37187048823034</v>
      </c>
      <c r="J9" s="4">
        <f>VLOOKUP(C9,nodes!A:E,3,0)</f>
        <v>705</v>
      </c>
      <c r="K9" s="1" t="str">
        <f t="shared" si="2"/>
        <v>520,570,636.37187048823,705</v>
      </c>
      <c r="L9" s="6">
        <f>VLOOKUP(B9,nodes!A:G,7,0)+3</f>
        <v>135.27032556777638</v>
      </c>
      <c r="M9" s="1">
        <f t="shared" si="3"/>
        <v>135.27032556777638</v>
      </c>
      <c r="N9" s="6">
        <f>N8-E8/2-E9/2</f>
        <v>268.01406654423704</v>
      </c>
      <c r="O9" s="1">
        <f t="shared" si="4"/>
        <v>268.01406654423704</v>
      </c>
      <c r="P9" s="1" t="str">
        <f t="shared" si="5"/>
        <v>135.270325567776,135.270325567776,268.014066544237,268.014066544237</v>
      </c>
      <c r="Q9" s="1" t="str">
        <f>VLOOKUP(B9,nodes!A:N,14,0)</f>
        <v>#83c9ff</v>
      </c>
      <c r="R9" s="1">
        <f>I9+8</f>
        <v>644.37187048823034</v>
      </c>
      <c r="S9" s="1">
        <f>N9-8</f>
        <v>260.01406654423704</v>
      </c>
      <c r="T9" s="1">
        <f t="shared" si="6"/>
        <v>2.8</v>
      </c>
      <c r="U9" s="1" t="str">
        <f>Q9</f>
        <v>#83c9ff</v>
      </c>
      <c r="V9" s="1">
        <v>10</v>
      </c>
      <c r="W9" s="1">
        <v>0.03</v>
      </c>
    </row>
    <row r="10" spans="1:23" ht="19" customHeight="1">
      <c r="A10" s="1" t="str">
        <f t="shared" si="0"/>
        <v>Coal products-Buildings</v>
      </c>
      <c r="B10" s="1" t="s">
        <v>19</v>
      </c>
      <c r="C10" s="1" t="s">
        <v>14</v>
      </c>
      <c r="D10" s="1">
        <f>_xlfn.IFNA(VLOOKUP(A10,line_prep!A:D,4,0),0)</f>
        <v>1.07598225063452</v>
      </c>
      <c r="E10" s="1">
        <f t="shared" si="1"/>
        <v>1.07598225063452</v>
      </c>
      <c r="F10" s="1">
        <f t="shared" si="7"/>
        <v>0</v>
      </c>
      <c r="G10" s="4">
        <f>VLOOKUP(B10,nodes!A:E,5,0)</f>
        <v>520</v>
      </c>
      <c r="H10" s="1">
        <f t="shared" si="8"/>
        <v>570</v>
      </c>
      <c r="I10" s="1">
        <f>IF(N10&gt;M10,H10+(N10-M10)/line_to_power!$I$1,H10-(N10-M10)/line_to_power!$I$1)</f>
        <v>639.83371230162686</v>
      </c>
      <c r="J10" s="4">
        <f>VLOOKUP(C10,nodes!A:E,3,0)</f>
        <v>705</v>
      </c>
      <c r="K10" s="1" t="str">
        <f t="shared" si="2"/>
        <v>520,570,639.833712301627,705</v>
      </c>
      <c r="L10" s="6">
        <f>VLOOKUP(B10,nodes!A:G,7,0)+7</f>
        <v>126.40215353613387</v>
      </c>
      <c r="M10" s="1">
        <f t="shared" si="3"/>
        <v>126.40215353613387</v>
      </c>
      <c r="N10" s="6">
        <f>N9-E9/2-E10/2</f>
        <v>266.0695781393876</v>
      </c>
      <c r="O10" s="1">
        <f t="shared" si="4"/>
        <v>266.0695781393876</v>
      </c>
      <c r="P10" s="1" t="str">
        <f t="shared" si="5"/>
        <v>126.402153536134,126.402153536134,266.069578139388,266.069578139388</v>
      </c>
      <c r="Q10" s="1" t="str">
        <f>VLOOKUP(B10,nodes!A:N,14,0)</f>
        <v>#0068c9</v>
      </c>
      <c r="R10" s="1">
        <f>I10+8</f>
        <v>647.83371230162686</v>
      </c>
      <c r="S10" s="1">
        <f>N10-8</f>
        <v>258.0695781393876</v>
      </c>
      <c r="T10" s="1">
        <f t="shared" si="6"/>
        <v>1.1000000000000001</v>
      </c>
      <c r="U10" s="1" t="str">
        <f>Q10</f>
        <v>#0068c9</v>
      </c>
      <c r="V10" s="1">
        <v>10</v>
      </c>
      <c r="W10" s="1">
        <v>0.03</v>
      </c>
    </row>
    <row r="11" spans="1:23" ht="19" customHeight="1">
      <c r="A11" s="1" t="str">
        <f t="shared" si="0"/>
        <v>Oil products-Buildings</v>
      </c>
      <c r="B11" s="1" t="s">
        <v>20</v>
      </c>
      <c r="C11" s="1" t="s">
        <v>14</v>
      </c>
      <c r="D11" s="1">
        <f>_xlfn.IFNA(VLOOKUP(A11,line_prep!A:D,4,0),0)</f>
        <v>0.60795721075292897</v>
      </c>
      <c r="E11" s="1">
        <f t="shared" si="1"/>
        <v>1</v>
      </c>
      <c r="F11" s="1">
        <f t="shared" si="7"/>
        <v>0.39204278924707098</v>
      </c>
      <c r="G11" s="4">
        <f>VLOOKUP(B11,nodes!A:E,5,0)</f>
        <v>520</v>
      </c>
      <c r="H11" s="1">
        <f t="shared" si="8"/>
        <v>570</v>
      </c>
      <c r="I11" s="1">
        <f>IF(N11&gt;M11,H11+(N11-M11)/line_to_power!$I$1,H11-(N11-M11)/line_to_power!$I$1)</f>
        <v>648.65859230364003</v>
      </c>
      <c r="J11" s="4">
        <f>VLOOKUP(C11,nodes!A:E,3,0)</f>
        <v>705</v>
      </c>
      <c r="K11" s="1" t="str">
        <f t="shared" si="2"/>
        <v>520,570,648.65859230364,705</v>
      </c>
      <c r="L11" s="6">
        <f>VLOOKUP(B11,nodes!A:H,7,0)+6</f>
        <v>107.71440240679037</v>
      </c>
      <c r="M11" s="1">
        <f t="shared" si="3"/>
        <v>107.71440240679037</v>
      </c>
      <c r="N11" s="6">
        <f>N10-E10/2-E11/2</f>
        <v>265.03158701407034</v>
      </c>
      <c r="O11" s="1">
        <f t="shared" si="4"/>
        <v>265.03158701407034</v>
      </c>
      <c r="P11" s="1" t="str">
        <f t="shared" si="5"/>
        <v>107.71440240679,107.71440240679,265.03158701407,265.03158701407</v>
      </c>
      <c r="Q11" s="1" t="str">
        <f>VLOOKUP(B11,nodes!A:N,14,0)</f>
        <v>#4d95d9</v>
      </c>
      <c r="R11" s="1">
        <f>I11+8</f>
        <v>656.65859230364003</v>
      </c>
      <c r="S11" s="1">
        <f>N11-8</f>
        <v>257.03158701407034</v>
      </c>
      <c r="T11" s="1">
        <v>0.6</v>
      </c>
      <c r="U11" s="1" t="str">
        <f>Q11</f>
        <v>#4d95d9</v>
      </c>
      <c r="V11" s="1">
        <v>10</v>
      </c>
      <c r="W11" s="1">
        <v>0.03</v>
      </c>
    </row>
    <row r="12" spans="1:23" s="3" customFormat="1" ht="19" customHeight="1">
      <c r="A12" s="3" t="str">
        <f t="shared" si="0"/>
        <v>Power-Industry</v>
      </c>
      <c r="B12" s="3" t="s">
        <v>4</v>
      </c>
      <c r="C12" s="3" t="s">
        <v>13</v>
      </c>
      <c r="D12" s="3">
        <f>_xlfn.IFNA(VLOOKUP(A12,line_prep!A:D,4,0),0)</f>
        <v>26.226040399999999</v>
      </c>
      <c r="E12" s="3">
        <f t="shared" si="1"/>
        <v>26.226040399999999</v>
      </c>
      <c r="F12" s="1">
        <f t="shared" si="7"/>
        <v>0</v>
      </c>
      <c r="G12" s="4">
        <f>VLOOKUP(B12,nodes!A:E,5,0)</f>
        <v>395</v>
      </c>
      <c r="H12" s="1">
        <f t="shared" si="8"/>
        <v>445</v>
      </c>
      <c r="I12" s="3">
        <f>IF(N12&gt;M12,H12+(N12-M12)/line_to_power!$I$1,H12-(N12-M12)/line_to_power!$I$1)</f>
        <v>488.03735334009093</v>
      </c>
      <c r="J12" s="4">
        <f>VLOOKUP(C12,nodes!A:E,3,0)</f>
        <v>705</v>
      </c>
      <c r="K12" s="3" t="str">
        <f t="shared" si="2"/>
        <v>395,445,488.037353340091,705</v>
      </c>
      <c r="L12" s="5">
        <f>L6-E6/2-E12/2</f>
        <v>271.10280646690586</v>
      </c>
      <c r="M12" s="3">
        <f t="shared" si="3"/>
        <v>271.10280646690586</v>
      </c>
      <c r="N12" s="5">
        <f>VLOOKUP(C12,nodes!A:J,8,0)-VLOOKUP(C12,nodes!A:J,9,0)/2-E12/2</f>
        <v>185.02809978672397</v>
      </c>
      <c r="O12" s="3">
        <f t="shared" si="4"/>
        <v>185.02809978672397</v>
      </c>
      <c r="P12" s="3" t="str">
        <f t="shared" si="5"/>
        <v>271.102806466906,271.102806466906,185.028099786724,185.028099786724</v>
      </c>
      <c r="Q12" s="3" t="str">
        <f>VLOOKUP(B12,nodes!A:N,14,0)</f>
        <v>#ffabab</v>
      </c>
      <c r="R12" s="3">
        <f t="shared" ref="R12:R15" si="9">J12-60</f>
        <v>645</v>
      </c>
      <c r="S12" s="3">
        <f>N12</f>
        <v>185.02809978672397</v>
      </c>
      <c r="T12" s="3">
        <f t="shared" ref="T12:T18" si="10">IF(D12=0,"",ROUND(D12,1))</f>
        <v>26.2</v>
      </c>
      <c r="V12" s="3">
        <v>10</v>
      </c>
      <c r="W12" s="3">
        <v>0</v>
      </c>
    </row>
    <row r="13" spans="1:23" ht="19" customHeight="1">
      <c r="A13" s="1" t="str">
        <f t="shared" si="0"/>
        <v>Heat-Industry</v>
      </c>
      <c r="B13" s="1" t="s">
        <v>17</v>
      </c>
      <c r="C13" s="1" t="s">
        <v>13</v>
      </c>
      <c r="D13" s="1">
        <f>_xlfn.IFNA(VLOOKUP(A13,line_prep!A:D,4,0),0)</f>
        <v>6.1996197526243799</v>
      </c>
      <c r="E13" s="1">
        <f t="shared" si="1"/>
        <v>6.1996197526243799</v>
      </c>
      <c r="F13" s="1">
        <f t="shared" si="7"/>
        <v>0</v>
      </c>
      <c r="G13" s="4">
        <f>VLOOKUP(B13,nodes!A:E,5,0)</f>
        <v>520</v>
      </c>
      <c r="H13" s="1">
        <f t="shared" si="8"/>
        <v>570</v>
      </c>
      <c r="I13" s="1">
        <f>IF(N13&gt;M13,H13+(N13-M13)/line_to_power!$I$1,H13-(N13-M13)/line_to_power!$I$1)</f>
        <v>584.39743520167258</v>
      </c>
      <c r="J13" s="4">
        <f>VLOOKUP(C13,nodes!A:E,3,0)</f>
        <v>705</v>
      </c>
      <c r="K13" s="1" t="str">
        <f t="shared" si="2"/>
        <v>520,570,584.397435201673,705</v>
      </c>
      <c r="L13" s="6">
        <f>VLOOKUP(B13,nodes!A:G,7,0)-1</f>
        <v>140.02039930706661</v>
      </c>
      <c r="M13" s="1">
        <f t="shared" si="3"/>
        <v>140.02039930706661</v>
      </c>
      <c r="N13" s="6">
        <f>N12-E12/2-E13/2</f>
        <v>168.8152697104118</v>
      </c>
      <c r="O13" s="1">
        <f t="shared" si="4"/>
        <v>168.8152697104118</v>
      </c>
      <c r="P13" s="1" t="str">
        <f t="shared" si="5"/>
        <v>140.020399307067,140.020399307067,168.815269710412,168.815269710412</v>
      </c>
      <c r="Q13" s="1" t="str">
        <f>VLOOKUP(B13,nodes!A:N,14,0)</f>
        <v>#FF6692</v>
      </c>
      <c r="R13" s="1">
        <f t="shared" si="9"/>
        <v>645</v>
      </c>
      <c r="S13" s="1">
        <f>N13</f>
        <v>168.8152697104118</v>
      </c>
      <c r="T13" s="1">
        <f t="shared" si="10"/>
        <v>6.2</v>
      </c>
      <c r="V13" s="1">
        <v>10</v>
      </c>
      <c r="W13" s="1">
        <v>0.03</v>
      </c>
    </row>
    <row r="14" spans="1:23" ht="19" customHeight="1">
      <c r="A14" s="1" t="str">
        <f t="shared" si="0"/>
        <v>Gas products-Industry</v>
      </c>
      <c r="B14" s="1" t="s">
        <v>21</v>
      </c>
      <c r="C14" s="1" t="s">
        <v>13</v>
      </c>
      <c r="D14" s="1">
        <f>_xlfn.IFNA(VLOOKUP(A14,line_prep!A:D,4,0),0)</f>
        <v>6.6138787113793898</v>
      </c>
      <c r="E14" s="1">
        <f t="shared" si="1"/>
        <v>6.6138787113793898</v>
      </c>
      <c r="F14" s="1">
        <f t="shared" si="7"/>
        <v>0</v>
      </c>
      <c r="G14" s="4">
        <f>VLOOKUP(B14,nodes!A:E,5,0)</f>
        <v>520</v>
      </c>
      <c r="H14" s="1">
        <f t="shared" si="8"/>
        <v>570</v>
      </c>
      <c r="I14" s="1">
        <f>IF(N14&gt;M14,H14+(N14-M14)/line_to_power!$I$1,H14-(N14-M14)/line_to_power!$I$1)</f>
        <v>585.06909745531675</v>
      </c>
      <c r="J14" s="4">
        <f>VLOOKUP(C14,nodes!A:E,3,0)</f>
        <v>705</v>
      </c>
      <c r="K14" s="1" t="str">
        <f t="shared" si="2"/>
        <v>520,570,585.069097455317,705</v>
      </c>
      <c r="L14" s="6">
        <f>VLOOKUP(B14,nodes!A:G,7,0)</f>
        <v>132.27032556777638</v>
      </c>
      <c r="M14" s="1">
        <f t="shared" si="3"/>
        <v>132.27032556777638</v>
      </c>
      <c r="N14" s="6">
        <f>N13-E13/2-E14/2</f>
        <v>162.40852047840991</v>
      </c>
      <c r="O14" s="1">
        <f t="shared" si="4"/>
        <v>162.40852047840991</v>
      </c>
      <c r="P14" s="1" t="str">
        <f t="shared" si="5"/>
        <v>132.270325567776,132.270325567776,162.40852047841,162.40852047841</v>
      </c>
      <c r="Q14" s="1" t="str">
        <f>VLOOKUP(B14,nodes!A:N,14,0)</f>
        <v>#83c9ff</v>
      </c>
      <c r="R14" s="1">
        <f>J14-80</f>
        <v>625</v>
      </c>
      <c r="S14" s="1">
        <f>N14</f>
        <v>162.40852047840991</v>
      </c>
      <c r="T14" s="1">
        <f t="shared" si="10"/>
        <v>6.6</v>
      </c>
      <c r="V14" s="1">
        <v>10</v>
      </c>
      <c r="W14" s="1">
        <v>0.03</v>
      </c>
    </row>
    <row r="15" spans="1:23" ht="19" customHeight="1">
      <c r="A15" s="1" t="str">
        <f t="shared" si="0"/>
        <v>Coal products-Industry</v>
      </c>
      <c r="B15" s="1" t="s">
        <v>19</v>
      </c>
      <c r="C15" s="1" t="s">
        <v>13</v>
      </c>
      <c r="D15" s="1">
        <f>_xlfn.IFNA(VLOOKUP(A15,line_prep!A:D,4,0),0)</f>
        <v>14.8370529264109</v>
      </c>
      <c r="E15" s="1">
        <f t="shared" si="1"/>
        <v>14.8370529264109</v>
      </c>
      <c r="F15" s="1">
        <f t="shared" si="7"/>
        <v>0</v>
      </c>
      <c r="G15" s="4">
        <f>VLOOKUP(B15,nodes!A:E,5,0)</f>
        <v>520</v>
      </c>
      <c r="H15" s="1">
        <f t="shared" si="8"/>
        <v>570</v>
      </c>
      <c r="I15" s="1">
        <f>IF(N15&gt;M15,H15+(N15-M15)/line_to_power!$I$1,H15-(N15-M15)/line_to_power!$I$1)</f>
        <v>586.6404505616905</v>
      </c>
      <c r="J15" s="4">
        <f>VLOOKUP(C15,nodes!A:E,3,0)</f>
        <v>705</v>
      </c>
      <c r="K15" s="1" t="str">
        <f t="shared" si="2"/>
        <v>520,570,586.64045056169,705</v>
      </c>
      <c r="L15" s="6">
        <f>VLOOKUP(B15,nodes!A:G,7,0)-1</f>
        <v>118.40215353613387</v>
      </c>
      <c r="M15" s="1">
        <f t="shared" si="3"/>
        <v>118.40215353613387</v>
      </c>
      <c r="N15" s="6">
        <f>N14-E14/2-E15/2</f>
        <v>151.68305465951477</v>
      </c>
      <c r="O15" s="1">
        <f t="shared" si="4"/>
        <v>151.68305465951477</v>
      </c>
      <c r="P15" s="1" t="str">
        <f t="shared" si="5"/>
        <v>118.402153536134,118.402153536134,151.683054659515,151.683054659515</v>
      </c>
      <c r="Q15" s="1" t="str">
        <f>VLOOKUP(B15,nodes!A:N,14,0)</f>
        <v>#0068c9</v>
      </c>
      <c r="R15" s="1">
        <f t="shared" si="9"/>
        <v>645</v>
      </c>
      <c r="S15" s="1">
        <f>N15</f>
        <v>151.68305465951477</v>
      </c>
      <c r="T15" s="1">
        <f t="shared" si="10"/>
        <v>14.8</v>
      </c>
      <c r="V15" s="1">
        <v>10</v>
      </c>
      <c r="W15" s="1">
        <v>0.03</v>
      </c>
    </row>
    <row r="16" spans="1:23" ht="19" customHeight="1">
      <c r="A16" s="1" t="str">
        <f t="shared" si="0"/>
        <v>Oil products-Industry</v>
      </c>
      <c r="B16" s="1" t="s">
        <v>20</v>
      </c>
      <c r="C16" s="1" t="s">
        <v>13</v>
      </c>
      <c r="D16" s="1">
        <f>_xlfn.IFNA(VLOOKUP(A16,line_prep!A:D,4,0),0)</f>
        <v>5.1160024970053399</v>
      </c>
      <c r="E16" s="1">
        <f t="shared" si="1"/>
        <v>5.1160024970053399</v>
      </c>
      <c r="F16" s="1">
        <f t="shared" si="7"/>
        <v>0</v>
      </c>
      <c r="G16" s="4">
        <f>VLOOKUP(B16,nodes!A:E,5,0)</f>
        <v>520</v>
      </c>
      <c r="H16" s="1">
        <f t="shared" si="8"/>
        <v>570</v>
      </c>
      <c r="I16" s="1">
        <f>IF(N16&gt;M16,H16+(N16-M16)/line_to_power!$I$1,H16-(N16-M16)/line_to_power!$I$1)</f>
        <v>586.99606227050811</v>
      </c>
      <c r="J16" s="4">
        <f>VLOOKUP(C16,nodes!A:E,3,0)</f>
        <v>705</v>
      </c>
      <c r="K16" s="1" t="str">
        <f t="shared" si="2"/>
        <v>520,570,586.996062270508,705</v>
      </c>
      <c r="L16" s="6">
        <f>VLOOKUP(B16,nodes!A:H,7,0)+6</f>
        <v>107.71440240679037</v>
      </c>
      <c r="M16" s="1">
        <f t="shared" si="3"/>
        <v>107.71440240679037</v>
      </c>
      <c r="N16" s="6">
        <f>N15-E15/2-E16/2</f>
        <v>141.70652694780665</v>
      </c>
      <c r="O16" s="1">
        <f t="shared" si="4"/>
        <v>141.70652694780665</v>
      </c>
      <c r="P16" s="1" t="str">
        <f t="shared" si="5"/>
        <v>107.71440240679,107.71440240679,141.706526947807,141.706526947807</v>
      </c>
      <c r="Q16" s="1" t="str">
        <f>VLOOKUP(B16,nodes!A:N,14,0)</f>
        <v>#4d95d9</v>
      </c>
      <c r="R16" s="1">
        <f>I16+8</f>
        <v>594.99606227050811</v>
      </c>
      <c r="S16" s="1">
        <f>N16-8</f>
        <v>133.70652694780665</v>
      </c>
      <c r="T16" s="1">
        <f t="shared" si="10"/>
        <v>5.0999999999999996</v>
      </c>
      <c r="U16" s="1" t="str">
        <f>Q16</f>
        <v>#4d95d9</v>
      </c>
      <c r="V16" s="1">
        <v>10</v>
      </c>
      <c r="W16" s="1">
        <v>0.03</v>
      </c>
    </row>
    <row r="17" spans="1:23" ht="19" customHeight="1">
      <c r="A17" s="1" t="str">
        <f t="shared" si="0"/>
        <v>Hydrogen-Industry</v>
      </c>
      <c r="B17" s="1" t="s">
        <v>18</v>
      </c>
      <c r="C17" s="1" t="s">
        <v>13</v>
      </c>
      <c r="D17" s="1">
        <f>_xlfn.IFNA(VLOOKUP(A17,line_prep!A:D,4,0),0)</f>
        <v>0.93778051878530999</v>
      </c>
      <c r="E17" s="1">
        <f t="shared" si="1"/>
        <v>1</v>
      </c>
      <c r="F17" s="1">
        <f t="shared" si="7"/>
        <v>6.2219481214690002E-2</v>
      </c>
      <c r="G17" s="4">
        <f>VLOOKUP(B17,nodes!A:E,5,0)</f>
        <v>520</v>
      </c>
      <c r="H17" s="1">
        <f t="shared" si="8"/>
        <v>570</v>
      </c>
      <c r="I17" s="1">
        <f>IF(N17&gt;M17,H17+(N17-M17)/line_to_power!$I$1,H17-(N17-M17)/line_to_power!$I$1)</f>
        <v>597.7634811996503</v>
      </c>
      <c r="J17" s="4">
        <f>VLOOKUP(C17,nodes!A:E,3,0)</f>
        <v>705</v>
      </c>
      <c r="K17" s="1" t="str">
        <f t="shared" si="2"/>
        <v>520,570,597.76348119965,705</v>
      </c>
      <c r="L17" s="6">
        <f>VLOOKUP(B17,nodes!A:G,7,0)</f>
        <v>83.121563300003288</v>
      </c>
      <c r="M17" s="1">
        <f t="shared" si="3"/>
        <v>83.121563300003288</v>
      </c>
      <c r="N17" s="6">
        <f>N16-E16/2-E17/2</f>
        <v>138.64852569930397</v>
      </c>
      <c r="O17" s="1">
        <f t="shared" si="4"/>
        <v>138.64852569930397</v>
      </c>
      <c r="P17" s="1" t="str">
        <f t="shared" si="5"/>
        <v>83.1215633000033,83.1215633000033,138.648525699304,138.648525699304</v>
      </c>
      <c r="Q17" s="1" t="str">
        <f>VLOOKUP(B17,nodes!A:N,14,0)</f>
        <v>#6D3FC0</v>
      </c>
      <c r="R17" s="1">
        <f>I17+8</f>
        <v>605.7634811996503</v>
      </c>
      <c r="S17" s="1">
        <f>N17-8</f>
        <v>130.64852569930397</v>
      </c>
      <c r="T17" s="1">
        <f t="shared" si="10"/>
        <v>0.9</v>
      </c>
      <c r="U17" s="1" t="str">
        <f>Q17</f>
        <v>#6D3FC0</v>
      </c>
      <c r="V17" s="1">
        <v>10</v>
      </c>
      <c r="W17" s="1">
        <v>0.03</v>
      </c>
    </row>
    <row r="18" spans="1:23" s="3" customFormat="1" ht="19" customHeight="1">
      <c r="A18" s="3" t="str">
        <f t="shared" si="0"/>
        <v>Power-Transportation</v>
      </c>
      <c r="B18" s="3" t="s">
        <v>4</v>
      </c>
      <c r="C18" s="3" t="s">
        <v>15</v>
      </c>
      <c r="D18" s="3">
        <f>_xlfn.IFNA(VLOOKUP(A18,line_prep!A:D,4,0),0)</f>
        <v>3.0532299699999998</v>
      </c>
      <c r="E18" s="3">
        <f t="shared" si="1"/>
        <v>3.0532299699999998</v>
      </c>
      <c r="F18" s="1">
        <f t="shared" si="7"/>
        <v>0</v>
      </c>
      <c r="G18" s="4">
        <f>VLOOKUP(B18,nodes!A:E,5,0)</f>
        <v>395</v>
      </c>
      <c r="H18" s="1">
        <f t="shared" si="8"/>
        <v>445</v>
      </c>
      <c r="I18" s="3">
        <f>IF(N18&gt;M18,H18+(N18-M18)/line_to_power!$I$1,H18-(N18-M18)/line_to_power!$I$1)</f>
        <v>537.1303968957817</v>
      </c>
      <c r="J18" s="4">
        <f>VLOOKUP(C18,nodes!A:E,3,0)</f>
        <v>705</v>
      </c>
      <c r="K18" s="3" t="str">
        <f t="shared" si="2"/>
        <v>395,445,537.130396895782,705</v>
      </c>
      <c r="L18" s="5">
        <f>L12-E12/2-D18/2</f>
        <v>256.46317128190589</v>
      </c>
      <c r="M18" s="3">
        <f t="shared" si="3"/>
        <v>256.46317128190589</v>
      </c>
      <c r="N18" s="5">
        <f>VLOOKUP(C18,nodes!A:J,8,0)-VLOOKUP(C18,nodes!A:J,9,0)/2-E18/2</f>
        <v>72.202377490342542</v>
      </c>
      <c r="O18" s="3">
        <f t="shared" si="4"/>
        <v>72.202377490342542</v>
      </c>
      <c r="P18" s="3" t="str">
        <f t="shared" si="5"/>
        <v>256.463171281906,256.463171281906,72.2023774903425,72.2023774903425</v>
      </c>
      <c r="Q18" s="3" t="str">
        <f>VLOOKUP(B18,nodes!A:N,14,0)</f>
        <v>#ffabab</v>
      </c>
      <c r="R18" s="3">
        <f>J18-60</f>
        <v>645</v>
      </c>
      <c r="S18" s="3">
        <f>N18+8</f>
        <v>80.202377490342542</v>
      </c>
      <c r="T18" s="3">
        <f t="shared" si="10"/>
        <v>3.1</v>
      </c>
      <c r="U18" s="3" t="str">
        <f>Q18</f>
        <v>#ffabab</v>
      </c>
      <c r="V18" s="3">
        <v>10</v>
      </c>
      <c r="W18" s="3">
        <v>0.03</v>
      </c>
    </row>
    <row r="19" spans="1:23" s="3" customFormat="1" ht="19" customHeight="1">
      <c r="A19" s="3" t="str">
        <f t="shared" si="0"/>
        <v>Biomass products-Transportation</v>
      </c>
      <c r="B19" s="3" t="s">
        <v>22</v>
      </c>
      <c r="C19" s="3" t="s">
        <v>15</v>
      </c>
      <c r="D19" s="3">
        <f>_xlfn.IFNA(VLOOKUP(A19,line_prep!A:D,4,0),0)</f>
        <v>2.6891096936660499E-2</v>
      </c>
      <c r="E19" s="3">
        <f t="shared" si="1"/>
        <v>1</v>
      </c>
      <c r="F19" s="1">
        <f t="shared" si="7"/>
        <v>0.97310890306333997</v>
      </c>
      <c r="G19" s="4">
        <f>VLOOKUP(B19,nodes!A:E,5,0)</f>
        <v>520</v>
      </c>
      <c r="H19" s="1">
        <f t="shared" si="8"/>
        <v>570</v>
      </c>
      <c r="I19" s="3">
        <f>IF(N19&gt;M19,H19+(N19-M19)/line_to_power!$I$1,H19-(N19-M19)/line_to_power!$I$1)</f>
        <v>611.34825082318139</v>
      </c>
      <c r="J19" s="4">
        <f>VLOOKUP(C19,nodes!A:E,3,0)</f>
        <v>705</v>
      </c>
      <c r="K19" s="3" t="str">
        <f t="shared" si="2"/>
        <v>520,570,611.348250823181,705</v>
      </c>
      <c r="L19" s="5">
        <f>VLOOKUP(B19,nodes!A:G,7,0)</f>
        <v>152.87226415170534</v>
      </c>
      <c r="M19" s="3">
        <f t="shared" si="3"/>
        <v>152.87226415170534</v>
      </c>
      <c r="N19" s="5">
        <f>N18-E18/2-E19/2</f>
        <v>70.175762505342547</v>
      </c>
      <c r="O19" s="3">
        <f t="shared" si="4"/>
        <v>70.175762505342547</v>
      </c>
      <c r="P19" s="3" t="str">
        <f t="shared" si="5"/>
        <v>152.872264151705,152.872264151705,70.1757625053425,70.1757625053425</v>
      </c>
      <c r="Q19" s="3" t="str">
        <f>VLOOKUP(B19,nodes!A:N,14,0)</f>
        <v>#2ca02c</v>
      </c>
      <c r="T19" s="3">
        <v>0.03</v>
      </c>
      <c r="V19" s="3">
        <v>10</v>
      </c>
      <c r="W19" s="3">
        <v>0.03</v>
      </c>
    </row>
    <row r="20" spans="1:23" ht="19" customHeight="1">
      <c r="A20" s="1" t="str">
        <f t="shared" si="0"/>
        <v>Gas products-Transportation</v>
      </c>
      <c r="B20" s="1" t="s">
        <v>21</v>
      </c>
      <c r="C20" s="1" t="s">
        <v>15</v>
      </c>
      <c r="D20" s="1">
        <f>_xlfn.IFNA(VLOOKUP(A20,line_prep!A:D,4,0),0)</f>
        <v>0.392576960531966</v>
      </c>
      <c r="E20" s="1">
        <f t="shared" si="1"/>
        <v>1</v>
      </c>
      <c r="F20" s="1">
        <f t="shared" si="7"/>
        <v>0.607423039468034</v>
      </c>
      <c r="G20" s="4">
        <f>VLOOKUP(B20,nodes!A:E,5,0)</f>
        <v>520</v>
      </c>
      <c r="H20" s="1">
        <f t="shared" si="8"/>
        <v>570</v>
      </c>
      <c r="I20" s="1">
        <f>IF(N20&gt;M20,H20+(N20-M20)/line_to_power!$I$1,H20-(N20-M20)/line_to_power!$I$1)</f>
        <v>599.54728153121687</v>
      </c>
      <c r="J20" s="4">
        <f>VLOOKUP(C20,nodes!A:E,3,0)</f>
        <v>705</v>
      </c>
      <c r="K20" s="1" t="str">
        <f t="shared" si="2"/>
        <v>520,570,599.547281531217,705</v>
      </c>
      <c r="L20" s="6">
        <f>VLOOKUP(B20,nodes!A:G,7,0)-3</f>
        <v>129.27032556777638</v>
      </c>
      <c r="M20" s="1">
        <f t="shared" si="3"/>
        <v>129.27032556777638</v>
      </c>
      <c r="N20" s="6">
        <f>N18-E18/2-E20/2</f>
        <v>70.175762505342547</v>
      </c>
      <c r="O20" s="1">
        <f t="shared" si="4"/>
        <v>70.175762505342547</v>
      </c>
      <c r="P20" s="1" t="str">
        <f t="shared" si="5"/>
        <v>129.270325567776,129.270325567776,70.1757625053425,70.1757625053425</v>
      </c>
      <c r="Q20" s="1" t="str">
        <f>VLOOKUP(B20,nodes!A:N,14,0)</f>
        <v>#83c9ff</v>
      </c>
      <c r="R20" s="1">
        <f>I20-5</f>
        <v>594.54728153121687</v>
      </c>
      <c r="S20" s="1">
        <f>N20+8</f>
        <v>78.175762505342547</v>
      </c>
      <c r="T20" s="1">
        <v>0.4</v>
      </c>
      <c r="U20" s="1" t="str">
        <f>Q20</f>
        <v>#83c9ff</v>
      </c>
      <c r="V20" s="1">
        <v>10</v>
      </c>
      <c r="W20" s="1">
        <v>0.03</v>
      </c>
    </row>
    <row r="21" spans="1:23" ht="19" customHeight="1">
      <c r="A21" s="1" t="str">
        <f t="shared" si="0"/>
        <v>Oil products-Transportation</v>
      </c>
      <c r="B21" s="1" t="s">
        <v>20</v>
      </c>
      <c r="C21" s="1" t="s">
        <v>15</v>
      </c>
      <c r="D21" s="1">
        <f>_xlfn.IFNA(VLOOKUP(A21,line_prep!A:D,4,0),0)</f>
        <v>13.7385073738833</v>
      </c>
      <c r="E21" s="1">
        <f t="shared" si="1"/>
        <v>13.7385073738833</v>
      </c>
      <c r="F21" s="1">
        <f t="shared" si="7"/>
        <v>0</v>
      </c>
      <c r="G21" s="4">
        <f>VLOOKUP(B21,nodes!A:E,5,0)</f>
        <v>520</v>
      </c>
      <c r="H21" s="1">
        <f t="shared" si="8"/>
        <v>570</v>
      </c>
      <c r="I21" s="1">
        <f>IF(N21&gt;M21,H21+(N21-M21)/line_to_power!$I$1,H21-(N21-M21)/line_to_power!$I$1)</f>
        <v>587.95394679419474</v>
      </c>
      <c r="J21" s="4">
        <f>VLOOKUP(C21,nodes!A:E,3,0)</f>
        <v>705</v>
      </c>
      <c r="K21" s="1" t="str">
        <f t="shared" si="2"/>
        <v>520,570,587.953946794195,705</v>
      </c>
      <c r="L21" s="6">
        <f>VLOOKUP(B21,nodes!A:H,7,0)-3</f>
        <v>98.71440240679037</v>
      </c>
      <c r="M21" s="1">
        <f t="shared" si="3"/>
        <v>98.71440240679037</v>
      </c>
      <c r="N21" s="6">
        <f>N20-E20/2-E21/2</f>
        <v>62.8065088184009</v>
      </c>
      <c r="O21" s="1">
        <f t="shared" si="4"/>
        <v>62.8065088184009</v>
      </c>
      <c r="P21" s="1" t="str">
        <f t="shared" si="5"/>
        <v>98.7144024067904,98.7144024067904,62.8065088184009,62.8065088184009</v>
      </c>
      <c r="Q21" s="1" t="str">
        <f>VLOOKUP(B21,nodes!A:N,14,0)</f>
        <v>#4d95d9</v>
      </c>
      <c r="R21" s="1">
        <f>J21-60</f>
        <v>645</v>
      </c>
      <c r="S21" s="1">
        <f>N21</f>
        <v>62.8065088184009</v>
      </c>
      <c r="T21" s="1">
        <f>IF(D21=0,"",ROUND(D21,1))</f>
        <v>13.7</v>
      </c>
      <c r="V21" s="1">
        <v>10</v>
      </c>
      <c r="W21" s="1">
        <v>0.03</v>
      </c>
    </row>
    <row r="22" spans="1:23" ht="19" customHeight="1">
      <c r="A22" s="1" t="str">
        <f t="shared" si="0"/>
        <v>Hydrogen-Transportation</v>
      </c>
      <c r="B22" s="1" t="s">
        <v>18</v>
      </c>
      <c r="C22" s="1" t="s">
        <v>15</v>
      </c>
      <c r="D22" s="1">
        <f>_xlfn.IFNA(VLOOKUP(A22,line_prep!A:D,4,0),0)</f>
        <v>0.78543061314727902</v>
      </c>
      <c r="E22" s="1">
        <f t="shared" si="1"/>
        <v>1</v>
      </c>
      <c r="F22" s="1">
        <f t="shared" si="7"/>
        <v>0.21456938685272101</v>
      </c>
      <c r="G22" s="4">
        <f>VLOOKUP(B22,nodes!A:E,5,0)</f>
        <v>520</v>
      </c>
      <c r="H22" s="1">
        <f t="shared" si="8"/>
        <v>570</v>
      </c>
      <c r="I22" s="1">
        <f>IF(N22&gt;M22,H22+(N22-M22)/line_to_power!$I$1,H22-(N22-M22)/line_to_power!$I$1)</f>
        <v>583.84215408427201</v>
      </c>
      <c r="J22" s="4">
        <f>VLOOKUP(C22,nodes!A:E,3,0)</f>
        <v>705</v>
      </c>
      <c r="K22" s="1" t="str">
        <f t="shared" si="2"/>
        <v>520,570,583.842154084272,705</v>
      </c>
      <c r="L22" s="6">
        <f>VLOOKUP(B22,nodes!A:G,7,0)</f>
        <v>83.121563300003288</v>
      </c>
      <c r="M22" s="1">
        <f t="shared" si="3"/>
        <v>83.121563300003288</v>
      </c>
      <c r="N22" s="6">
        <f>N21-E21/2-E22/2</f>
        <v>55.437255131459253</v>
      </c>
      <c r="O22" s="1">
        <f t="shared" si="4"/>
        <v>55.437255131459253</v>
      </c>
      <c r="P22" s="1" t="str">
        <f t="shared" si="5"/>
        <v>83.1215633000033,83.1215633000033,55.4372551314593,55.4372551314593</v>
      </c>
      <c r="Q22" s="1" t="str">
        <f>VLOOKUP(B22,nodes!A:N,14,0)</f>
        <v>#6D3FC0</v>
      </c>
      <c r="R22" s="1">
        <f>I22+5</f>
        <v>588.84215408427201</v>
      </c>
      <c r="S22" s="1">
        <f>N22-8</f>
        <v>47.437255131459253</v>
      </c>
      <c r="T22" s="1">
        <v>0.8</v>
      </c>
      <c r="U22" s="1" t="str">
        <f>Q22</f>
        <v>#6D3FC0</v>
      </c>
      <c r="V22" s="1">
        <v>10</v>
      </c>
      <c r="W22" s="1">
        <v>0.03</v>
      </c>
    </row>
  </sheetData>
  <autoFilter ref="A3:V22" xr:uid="{00000000-0009-0000-0000-000006000000}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Q23"/>
  <sheetViews>
    <sheetView workbookViewId="0">
      <selection activeCell="N28" sqref="N28"/>
    </sheetView>
  </sheetViews>
  <sheetFormatPr baseColWidth="10" defaultColWidth="8.5" defaultRowHeight="16"/>
  <cols>
    <col min="1" max="1" width="11.5" customWidth="1"/>
    <col min="2" max="2" width="12.5" customWidth="1"/>
    <col min="3" max="5" width="4.83203125" customWidth="1"/>
    <col min="6" max="8" width="4.6640625" customWidth="1"/>
    <col min="9" max="9" width="8.83203125" customWidth="1"/>
    <col min="10" max="10" width="7.33203125" customWidth="1"/>
    <col min="11" max="11" width="10.6640625" customWidth="1"/>
    <col min="12" max="14" width="8.5" customWidth="1"/>
    <col min="15" max="15" width="10.5" customWidth="1"/>
    <col min="16" max="16" width="10.83203125" customWidth="1"/>
    <col min="17" max="17" width="8.5" customWidth="1"/>
  </cols>
  <sheetData>
    <row r="1" spans="1:17" ht="34">
      <c r="F1" t="s">
        <v>65</v>
      </c>
      <c r="I1" s="18" t="s">
        <v>66</v>
      </c>
      <c r="J1">
        <v>1.5</v>
      </c>
    </row>
    <row r="2" spans="1:17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58</v>
      </c>
      <c r="M2" t="s">
        <v>58</v>
      </c>
      <c r="N2" t="s">
        <v>78</v>
      </c>
      <c r="O2" t="s">
        <v>60</v>
      </c>
      <c r="P2" t="s">
        <v>59</v>
      </c>
      <c r="Q2" t="s">
        <v>61</v>
      </c>
    </row>
    <row r="3" spans="1:17" s="2" customFormat="1">
      <c r="A3" s="12" t="s">
        <v>32</v>
      </c>
      <c r="B3" s="12" t="s">
        <v>35</v>
      </c>
      <c r="C3" s="12" t="s">
        <v>79</v>
      </c>
      <c r="D3" s="12" t="s">
        <v>80</v>
      </c>
      <c r="E3" s="12" t="s">
        <v>38</v>
      </c>
      <c r="F3" s="12" t="s">
        <v>81</v>
      </c>
      <c r="G3" s="12" t="s">
        <v>82</v>
      </c>
      <c r="H3" s="12" t="s">
        <v>43</v>
      </c>
      <c r="I3" s="12" t="s">
        <v>37</v>
      </c>
      <c r="J3" s="12" t="s">
        <v>36</v>
      </c>
      <c r="K3" s="12" t="s">
        <v>83</v>
      </c>
      <c r="L3" s="12" t="s">
        <v>49</v>
      </c>
      <c r="M3" s="12" t="s">
        <v>50</v>
      </c>
      <c r="N3" s="12" t="s">
        <v>48</v>
      </c>
      <c r="O3" s="12" t="s">
        <v>84</v>
      </c>
      <c r="P3" s="12" t="s">
        <v>52</v>
      </c>
      <c r="Q3" s="12" t="s">
        <v>53</v>
      </c>
    </row>
    <row r="4" spans="1:17" s="7" customFormat="1">
      <c r="A4" s="13" t="s">
        <v>8</v>
      </c>
      <c r="B4" s="13">
        <f>VLOOKUP(A4,node_prep!A:C,2,0)</f>
        <v>12.368944713473001</v>
      </c>
      <c r="C4" s="13">
        <f t="shared" ref="C4:C23" si="0">D4-45</f>
        <v>5</v>
      </c>
      <c r="D4" s="13">
        <v>50</v>
      </c>
      <c r="E4" s="13">
        <f>D4+45</f>
        <v>95</v>
      </c>
      <c r="F4" s="13">
        <f t="shared" ref="F4:F13" si="1">G4-J4/2</f>
        <v>390.72329146489523</v>
      </c>
      <c r="G4" s="13">
        <v>400</v>
      </c>
      <c r="H4" s="13">
        <f t="shared" ref="H4:H13" si="2">G4+J4/2</f>
        <v>409.27670853510477</v>
      </c>
      <c r="I4" s="13">
        <f t="shared" ref="I4:I13" si="3">J4-B4</f>
        <v>6.1844723567365012</v>
      </c>
      <c r="J4" s="13">
        <f>B4*$J$1</f>
        <v>18.553417070209502</v>
      </c>
      <c r="K4" s="13" t="str">
        <f t="shared" ref="K4:K11" si="4">_xlfn.CONCAT(A4," ",ROUND(B4,1))</f>
        <v>Solar 12.4</v>
      </c>
      <c r="L4" s="13">
        <f>D4</f>
        <v>50</v>
      </c>
      <c r="M4" s="13">
        <f>G4</f>
        <v>400</v>
      </c>
      <c r="N4" s="13" t="s">
        <v>85</v>
      </c>
      <c r="O4" s="13">
        <v>1</v>
      </c>
      <c r="P4" s="13" t="s">
        <v>86</v>
      </c>
      <c r="Q4" s="13">
        <v>12</v>
      </c>
    </row>
    <row r="5" spans="1:17" s="7" customFormat="1">
      <c r="A5" s="13" t="s">
        <v>10</v>
      </c>
      <c r="B5" s="13">
        <f>VLOOKUP(A5,node_prep!A:C,2,0)</f>
        <v>3.3776380175303702</v>
      </c>
      <c r="C5" s="13">
        <f t="shared" si="0"/>
        <v>5</v>
      </c>
      <c r="D5" s="13">
        <v>50</v>
      </c>
      <c r="E5" s="13">
        <f t="shared" ref="E5:E23" si="5">D5+45</f>
        <v>95</v>
      </c>
      <c r="F5" s="13">
        <f t="shared" si="1"/>
        <v>365.65683443859967</v>
      </c>
      <c r="G5" s="13">
        <f t="shared" ref="G5:G11" si="6">F4-J5/2-20</f>
        <v>368.19006295174745</v>
      </c>
      <c r="H5" s="13">
        <f t="shared" si="2"/>
        <v>370.72329146489523</v>
      </c>
      <c r="I5" s="13">
        <f t="shared" si="3"/>
        <v>1.6888190087651855</v>
      </c>
      <c r="J5" s="13">
        <f>B5*$J$1</f>
        <v>5.0664570262955557</v>
      </c>
      <c r="K5" s="13" t="str">
        <f t="shared" si="4"/>
        <v>Nuclear 3.4</v>
      </c>
      <c r="L5" s="13">
        <f t="shared" ref="L5:L23" si="7">D5</f>
        <v>50</v>
      </c>
      <c r="M5" s="13">
        <f t="shared" ref="M5:M23" si="8">G5</f>
        <v>368.19006295174745</v>
      </c>
      <c r="N5" s="13" t="s">
        <v>87</v>
      </c>
      <c r="O5" s="13">
        <v>1</v>
      </c>
      <c r="P5" s="13" t="s">
        <v>86</v>
      </c>
      <c r="Q5" s="13">
        <v>12</v>
      </c>
    </row>
    <row r="6" spans="1:17" s="7" customFormat="1">
      <c r="A6" s="13" t="s">
        <v>7</v>
      </c>
      <c r="B6" s="13">
        <f>VLOOKUP(A6,node_prep!A:C,2,0)</f>
        <v>6.9818353148595804</v>
      </c>
      <c r="C6" s="13">
        <f t="shared" si="0"/>
        <v>5</v>
      </c>
      <c r="D6" s="13">
        <v>50</v>
      </c>
      <c r="E6" s="13">
        <f t="shared" si="5"/>
        <v>95</v>
      </c>
      <c r="F6" s="13">
        <f t="shared" si="1"/>
        <v>335.18408146631026</v>
      </c>
      <c r="G6" s="13">
        <f t="shared" si="6"/>
        <v>340.42045795245497</v>
      </c>
      <c r="H6" s="13">
        <f t="shared" si="2"/>
        <v>345.65683443859967</v>
      </c>
      <c r="I6" s="13">
        <f t="shared" si="3"/>
        <v>3.4909176574297902</v>
      </c>
      <c r="J6" s="13">
        <f>B6*$J$1</f>
        <v>10.472752972289371</v>
      </c>
      <c r="K6" s="13" t="str">
        <f t="shared" si="4"/>
        <v>Hydro 7</v>
      </c>
      <c r="L6" s="13">
        <f t="shared" si="7"/>
        <v>50</v>
      </c>
      <c r="M6" s="13">
        <f t="shared" si="8"/>
        <v>340.42045795245497</v>
      </c>
      <c r="N6" s="13" t="s">
        <v>88</v>
      </c>
      <c r="O6" s="13">
        <v>1</v>
      </c>
      <c r="P6" s="13" t="s">
        <v>86</v>
      </c>
      <c r="Q6" s="13">
        <v>12</v>
      </c>
    </row>
    <row r="7" spans="1:17" s="7" customFormat="1">
      <c r="A7" s="13" t="s">
        <v>9</v>
      </c>
      <c r="B7" s="13">
        <f>VLOOKUP(A7,node_prep!A:C,2,0)</f>
        <v>18.525195813980201</v>
      </c>
      <c r="C7" s="13">
        <f t="shared" si="0"/>
        <v>5</v>
      </c>
      <c r="D7" s="13">
        <v>50</v>
      </c>
      <c r="E7" s="13">
        <f t="shared" si="5"/>
        <v>95</v>
      </c>
      <c r="F7" s="13">
        <f t="shared" si="1"/>
        <v>287.39628774533998</v>
      </c>
      <c r="G7" s="13">
        <f t="shared" si="6"/>
        <v>301.29018460582512</v>
      </c>
      <c r="H7" s="13">
        <f t="shared" si="2"/>
        <v>315.18408146631026</v>
      </c>
      <c r="I7" s="13">
        <f t="shared" si="3"/>
        <v>9.2625979069900986</v>
      </c>
      <c r="J7" s="13">
        <f>B7*$J$1</f>
        <v>27.787793720970299</v>
      </c>
      <c r="K7" s="13" t="str">
        <f t="shared" si="4"/>
        <v>Wind 18.5</v>
      </c>
      <c r="L7" s="13">
        <f t="shared" si="7"/>
        <v>50</v>
      </c>
      <c r="M7" s="13">
        <f t="shared" si="8"/>
        <v>301.29018460582512</v>
      </c>
      <c r="N7" s="13" t="s">
        <v>89</v>
      </c>
      <c r="O7" s="13">
        <v>1</v>
      </c>
      <c r="P7" s="13" t="s">
        <v>86</v>
      </c>
      <c r="Q7" s="13">
        <v>12</v>
      </c>
    </row>
    <row r="8" spans="1:17" s="7" customFormat="1">
      <c r="A8" s="13" t="s">
        <v>11</v>
      </c>
      <c r="B8" s="13">
        <f>VLOOKUP(A8,node_prep!A:C,2,0)</f>
        <v>5.9173244900315503</v>
      </c>
      <c r="C8" s="13">
        <f t="shared" si="0"/>
        <v>5</v>
      </c>
      <c r="D8" s="13">
        <v>50</v>
      </c>
      <c r="E8" s="13">
        <f t="shared" si="5"/>
        <v>95</v>
      </c>
      <c r="F8" s="13">
        <f t="shared" si="1"/>
        <v>258.5203010102926</v>
      </c>
      <c r="G8" s="13">
        <f t="shared" si="6"/>
        <v>262.95829437781629</v>
      </c>
      <c r="H8" s="13">
        <f t="shared" si="2"/>
        <v>267.39628774533998</v>
      </c>
      <c r="I8" s="13">
        <f t="shared" si="3"/>
        <v>2.9586622450157751</v>
      </c>
      <c r="J8" s="13">
        <f>B8*$J$1</f>
        <v>8.8759867350473254</v>
      </c>
      <c r="K8" s="13" t="str">
        <f t="shared" si="4"/>
        <v>Biomass 5.9</v>
      </c>
      <c r="L8" s="13">
        <f t="shared" si="7"/>
        <v>50</v>
      </c>
      <c r="M8" s="13">
        <f t="shared" si="8"/>
        <v>262.95829437781629</v>
      </c>
      <c r="N8" s="13" t="s">
        <v>90</v>
      </c>
      <c r="O8" s="13">
        <v>1</v>
      </c>
      <c r="P8" s="13" t="s">
        <v>86</v>
      </c>
      <c r="Q8" s="13">
        <v>12</v>
      </c>
    </row>
    <row r="9" spans="1:17" s="8" customFormat="1">
      <c r="A9" s="14" t="s">
        <v>5</v>
      </c>
      <c r="B9" s="14">
        <f>VLOOKUP(A9,node_prep!A:C,2,0)</f>
        <v>36.782820308187802</v>
      </c>
      <c r="C9" s="14">
        <f t="shared" si="0"/>
        <v>5</v>
      </c>
      <c r="D9" s="14">
        <v>50</v>
      </c>
      <c r="E9" s="14">
        <f t="shared" si="5"/>
        <v>95</v>
      </c>
      <c r="F9" s="14">
        <f t="shared" si="1"/>
        <v>183.34607054801091</v>
      </c>
      <c r="G9" s="13">
        <f t="shared" si="6"/>
        <v>210.93318577915176</v>
      </c>
      <c r="H9" s="14">
        <f t="shared" si="2"/>
        <v>238.5203010102926</v>
      </c>
      <c r="I9" s="14">
        <f t="shared" si="3"/>
        <v>18.391410154093897</v>
      </c>
      <c r="J9" s="14">
        <f t="shared" ref="J9:J23" si="9">B9*$J$1</f>
        <v>55.174230462281699</v>
      </c>
      <c r="K9" s="14" t="str">
        <f t="shared" si="4"/>
        <v>Gas 36.8</v>
      </c>
      <c r="L9" s="14">
        <f t="shared" si="7"/>
        <v>50</v>
      </c>
      <c r="M9" s="14">
        <f t="shared" si="8"/>
        <v>210.93318577915176</v>
      </c>
      <c r="N9" s="14" t="s">
        <v>91</v>
      </c>
      <c r="O9" s="14">
        <v>1</v>
      </c>
      <c r="P9" s="14" t="s">
        <v>86</v>
      </c>
      <c r="Q9" s="14">
        <v>12</v>
      </c>
    </row>
    <row r="10" spans="1:17" s="8" customFormat="1">
      <c r="A10" s="14" t="s">
        <v>3</v>
      </c>
      <c r="B10" s="14">
        <f>VLOOKUP(A10,node_prep!A:C,2,0)</f>
        <v>55.060420670440401</v>
      </c>
      <c r="C10" s="14">
        <f t="shared" si="0"/>
        <v>5</v>
      </c>
      <c r="D10" s="14">
        <v>50</v>
      </c>
      <c r="E10" s="14">
        <f t="shared" si="5"/>
        <v>95</v>
      </c>
      <c r="F10" s="14">
        <f t="shared" si="1"/>
        <v>80.755439542350302</v>
      </c>
      <c r="G10" s="13">
        <f t="shared" si="6"/>
        <v>122.05075504518061</v>
      </c>
      <c r="H10" s="14">
        <f t="shared" si="2"/>
        <v>163.34607054801091</v>
      </c>
      <c r="I10" s="14">
        <f t="shared" si="3"/>
        <v>27.530210335220197</v>
      </c>
      <c r="J10" s="14">
        <f t="shared" si="9"/>
        <v>82.590631005660597</v>
      </c>
      <c r="K10" s="14" t="str">
        <f t="shared" si="4"/>
        <v>Coal 55.1</v>
      </c>
      <c r="L10" s="14">
        <f t="shared" si="7"/>
        <v>50</v>
      </c>
      <c r="M10" s="14">
        <f t="shared" si="8"/>
        <v>122.05075504518061</v>
      </c>
      <c r="N10" s="14" t="s">
        <v>92</v>
      </c>
      <c r="O10" s="14">
        <v>1</v>
      </c>
      <c r="P10" s="14" t="s">
        <v>86</v>
      </c>
      <c r="Q10" s="14">
        <v>12</v>
      </c>
    </row>
    <row r="11" spans="1:17" s="8" customFormat="1">
      <c r="A11" s="14" t="s">
        <v>6</v>
      </c>
      <c r="B11" s="14">
        <f>VLOOKUP(A11,node_prep!A:C,2,0)</f>
        <v>11.549102760179</v>
      </c>
      <c r="C11" s="14">
        <f t="shared" si="0"/>
        <v>5</v>
      </c>
      <c r="D11" s="14">
        <v>50</v>
      </c>
      <c r="E11" s="14">
        <f t="shared" si="5"/>
        <v>95</v>
      </c>
      <c r="F11" s="14">
        <f t="shared" si="1"/>
        <v>43.4317854020818</v>
      </c>
      <c r="G11" s="13">
        <f t="shared" si="6"/>
        <v>52.093612472216051</v>
      </c>
      <c r="H11" s="14">
        <f t="shared" si="2"/>
        <v>60.755439542350302</v>
      </c>
      <c r="I11" s="14">
        <f t="shared" si="3"/>
        <v>5.7745513800895019</v>
      </c>
      <c r="J11" s="14">
        <f t="shared" si="9"/>
        <v>17.323654140268502</v>
      </c>
      <c r="K11" s="14" t="str">
        <f t="shared" si="4"/>
        <v>Oil 11.5</v>
      </c>
      <c r="L11" s="14">
        <f t="shared" si="7"/>
        <v>50</v>
      </c>
      <c r="M11" s="14">
        <f t="shared" si="8"/>
        <v>52.093612472216051</v>
      </c>
      <c r="N11" s="14" t="s">
        <v>93</v>
      </c>
      <c r="O11" s="14">
        <v>1</v>
      </c>
      <c r="P11" s="14" t="s">
        <v>86</v>
      </c>
      <c r="Q11" s="14">
        <v>12</v>
      </c>
    </row>
    <row r="12" spans="1:17" s="9" customFormat="1">
      <c r="A12" s="15" t="s">
        <v>4</v>
      </c>
      <c r="B12" s="15">
        <f>VLOOKUP(A12,node_prep!A:C,2,0)</f>
        <v>89.382335821783698</v>
      </c>
      <c r="C12" s="15">
        <f t="shared" si="0"/>
        <v>305</v>
      </c>
      <c r="D12" s="15">
        <v>350</v>
      </c>
      <c r="E12" s="15">
        <f t="shared" si="5"/>
        <v>395</v>
      </c>
      <c r="F12" s="15">
        <f t="shared" si="1"/>
        <v>232.96324813366223</v>
      </c>
      <c r="G12" s="15">
        <v>300</v>
      </c>
      <c r="H12" s="15">
        <f t="shared" si="2"/>
        <v>367.0367518663378</v>
      </c>
      <c r="I12" s="15">
        <f t="shared" si="3"/>
        <v>44.691167910891835</v>
      </c>
      <c r="J12" s="15">
        <f t="shared" si="9"/>
        <v>134.07350373267553</v>
      </c>
      <c r="K12" s="15" t="str">
        <f>_xlfn.CONCAT("Power&lt;br&gt;Generation","&lt;br&gt;",ROUND(B12,1))</f>
        <v>Power&lt;br&gt;Generation&lt;br&gt;89.4</v>
      </c>
      <c r="L12" s="15">
        <f t="shared" si="7"/>
        <v>350</v>
      </c>
      <c r="M12" s="15">
        <f t="shared" si="8"/>
        <v>300</v>
      </c>
      <c r="N12" s="15" t="s">
        <v>94</v>
      </c>
      <c r="O12" s="15">
        <v>1</v>
      </c>
      <c r="P12" s="15" t="s">
        <v>86</v>
      </c>
      <c r="Q12" s="15">
        <v>12</v>
      </c>
    </row>
    <row r="13" spans="1:17" s="10" customFormat="1">
      <c r="A13" s="16" t="s">
        <v>16</v>
      </c>
      <c r="B13" s="16">
        <f>VLOOKUP(A13,node_prep!A:C,2,0)</f>
        <v>61.180946266898196</v>
      </c>
      <c r="C13" s="16">
        <f t="shared" si="0"/>
        <v>305</v>
      </c>
      <c r="D13" s="16">
        <v>350</v>
      </c>
      <c r="E13" s="16">
        <f t="shared" si="5"/>
        <v>395</v>
      </c>
      <c r="F13" s="16">
        <f t="shared" si="1"/>
        <v>74.114290299826351</v>
      </c>
      <c r="G13" s="16">
        <v>120</v>
      </c>
      <c r="H13" s="16">
        <f t="shared" si="2"/>
        <v>165.88570970017366</v>
      </c>
      <c r="I13" s="16">
        <f t="shared" si="3"/>
        <v>30.590473133449102</v>
      </c>
      <c r="J13" s="16">
        <f t="shared" si="9"/>
        <v>91.771419400347298</v>
      </c>
      <c r="K13" s="16" t="str">
        <f>_xlfn.CONCAT("Other&lt;br&gt;Transformation","&lt;br&gt;",ROUND(B13,1))</f>
        <v>Other&lt;br&gt;Transformation&lt;br&gt;61.2</v>
      </c>
      <c r="L13" s="16">
        <f t="shared" si="7"/>
        <v>350</v>
      </c>
      <c r="M13" s="16">
        <f t="shared" si="8"/>
        <v>120</v>
      </c>
      <c r="N13" s="16" t="s">
        <v>92</v>
      </c>
      <c r="O13" s="16">
        <v>1</v>
      </c>
      <c r="P13" s="16" t="s">
        <v>86</v>
      </c>
      <c r="Q13" s="16">
        <v>12</v>
      </c>
    </row>
    <row r="14" spans="1:17" s="10" customFormat="1">
      <c r="A14" s="16" t="s">
        <v>22</v>
      </c>
      <c r="B14" s="16">
        <f>VLOOKUP(A14,node_prep!A:C,2,0)</f>
        <v>2.6891096936660499E-2</v>
      </c>
      <c r="C14" s="16">
        <f t="shared" si="0"/>
        <v>430</v>
      </c>
      <c r="D14" s="16">
        <v>475</v>
      </c>
      <c r="E14" s="16">
        <f t="shared" si="5"/>
        <v>520</v>
      </c>
      <c r="F14" s="16">
        <f t="shared" ref="F14:F23" si="10">G14-J14/2</f>
        <v>152.85881860323701</v>
      </c>
      <c r="G14" s="16">
        <f>H13-J14/2-13</f>
        <v>152.87226415170534</v>
      </c>
      <c r="H14" s="16">
        <f t="shared" ref="H14:H23" si="11">G14+J14/2</f>
        <v>152.88570970017366</v>
      </c>
      <c r="I14" s="16">
        <f t="shared" ref="I14:I23" si="12">J14-B14</f>
        <v>0</v>
      </c>
      <c r="J14" s="16">
        <f t="shared" ref="J14:J19" si="13">B14</f>
        <v>2.6891096936660499E-2</v>
      </c>
      <c r="K14" s="16" t="str">
        <f>_xlfn.CONCAT("biomass"," ",ROUND(B14,2))</f>
        <v>biomass 0.03</v>
      </c>
      <c r="L14" s="16">
        <f t="shared" si="7"/>
        <v>475</v>
      </c>
      <c r="M14" s="16">
        <f t="shared" si="8"/>
        <v>152.87226415170534</v>
      </c>
      <c r="N14" s="16" t="s">
        <v>90</v>
      </c>
      <c r="O14" s="16">
        <v>0</v>
      </c>
      <c r="P14" s="16" t="s">
        <v>86</v>
      </c>
      <c r="Q14" s="16">
        <v>10</v>
      </c>
    </row>
    <row r="15" spans="1:17" s="10" customFormat="1">
      <c r="A15" s="16" t="s">
        <v>17</v>
      </c>
      <c r="B15" s="16">
        <f>VLOOKUP(A15,node_prep!A:C,2,0)</f>
        <v>7.6768385923408102</v>
      </c>
      <c r="C15" s="16">
        <f t="shared" si="0"/>
        <v>430</v>
      </c>
      <c r="D15" s="16">
        <v>475</v>
      </c>
      <c r="E15" s="16">
        <f t="shared" si="5"/>
        <v>520</v>
      </c>
      <c r="F15" s="16">
        <f t="shared" si="10"/>
        <v>137.18198001089621</v>
      </c>
      <c r="G15" s="16">
        <f>G14-J14/2-J15/2-8</f>
        <v>141.02039930706661</v>
      </c>
      <c r="H15" s="16">
        <f t="shared" si="11"/>
        <v>144.85881860323701</v>
      </c>
      <c r="I15" s="16">
        <f t="shared" si="12"/>
        <v>0</v>
      </c>
      <c r="J15" s="16">
        <f t="shared" si="13"/>
        <v>7.6768385923408102</v>
      </c>
      <c r="K15" s="16" t="str">
        <f>_xlfn.CONCAT("heat"," ",ROUND(B15,1))</f>
        <v>heat 7.7</v>
      </c>
      <c r="L15" s="16">
        <f t="shared" si="7"/>
        <v>475</v>
      </c>
      <c r="M15" s="16">
        <f t="shared" si="8"/>
        <v>141.02039930706661</v>
      </c>
      <c r="N15" s="16" t="s">
        <v>95</v>
      </c>
      <c r="O15" s="16">
        <v>0</v>
      </c>
      <c r="P15" s="16" t="s">
        <v>86</v>
      </c>
      <c r="Q15" s="16">
        <v>10</v>
      </c>
    </row>
    <row r="16" spans="1:17" s="10" customFormat="1">
      <c r="A16" s="16" t="s">
        <v>21</v>
      </c>
      <c r="B16" s="16">
        <f>VLOOKUP(A16,node_prep!A:C,2,0)</f>
        <v>9.8233088862396407</v>
      </c>
      <c r="C16" s="16">
        <f t="shared" si="0"/>
        <v>430</v>
      </c>
      <c r="D16" s="16">
        <v>475</v>
      </c>
      <c r="E16" s="16">
        <f t="shared" si="5"/>
        <v>520</v>
      </c>
      <c r="F16" s="16">
        <f t="shared" si="10"/>
        <v>127.35867112465657</v>
      </c>
      <c r="G16" s="16">
        <f>G15-J15/2-J16/2</f>
        <v>132.27032556777638</v>
      </c>
      <c r="H16" s="16">
        <f t="shared" si="11"/>
        <v>137.18198001089621</v>
      </c>
      <c r="I16" s="16">
        <f t="shared" si="12"/>
        <v>0</v>
      </c>
      <c r="J16" s="16">
        <f t="shared" si="13"/>
        <v>9.8233088862396407</v>
      </c>
      <c r="K16" s="16" t="str">
        <f>_xlfn.CONCAT("gas"," ",ROUND(B16,1))</f>
        <v>gas 9.8</v>
      </c>
      <c r="L16" s="16">
        <f t="shared" si="7"/>
        <v>475</v>
      </c>
      <c r="M16" s="16">
        <f t="shared" si="8"/>
        <v>132.27032556777638</v>
      </c>
      <c r="N16" s="16" t="s">
        <v>91</v>
      </c>
      <c r="O16" s="16">
        <v>0</v>
      </c>
      <c r="P16" s="16" t="s">
        <v>86</v>
      </c>
      <c r="Q16" s="16">
        <v>10</v>
      </c>
    </row>
    <row r="17" spans="1:17" s="10" customFormat="1">
      <c r="A17" s="16" t="s">
        <v>19</v>
      </c>
      <c r="B17" s="16">
        <f>VLOOKUP(A17,node_prep!A:C,2,0)</f>
        <v>15.913035177045399</v>
      </c>
      <c r="C17" s="16">
        <f t="shared" si="0"/>
        <v>430</v>
      </c>
      <c r="D17" s="16">
        <v>475</v>
      </c>
      <c r="E17" s="16">
        <f t="shared" si="5"/>
        <v>520</v>
      </c>
      <c r="F17" s="16">
        <f t="shared" si="10"/>
        <v>111.44563594761117</v>
      </c>
      <c r="G17" s="16">
        <f>G16-J16/2-J17/2</f>
        <v>119.40215353613387</v>
      </c>
      <c r="H17" s="16">
        <f t="shared" si="11"/>
        <v>127.35867112465657</v>
      </c>
      <c r="I17" s="16">
        <f t="shared" si="12"/>
        <v>0</v>
      </c>
      <c r="J17" s="16">
        <f t="shared" si="13"/>
        <v>15.913035177045399</v>
      </c>
      <c r="K17" s="16" t="str">
        <f>_xlfn.CONCAT("coal"," ",ROUND(B17,1))</f>
        <v>coal 15.9</v>
      </c>
      <c r="L17" s="16">
        <f t="shared" si="7"/>
        <v>475</v>
      </c>
      <c r="M17" s="16">
        <f t="shared" si="8"/>
        <v>119.40215353613387</v>
      </c>
      <c r="N17" s="16" t="s">
        <v>92</v>
      </c>
      <c r="O17" s="16">
        <v>0</v>
      </c>
      <c r="P17" s="16" t="s">
        <v>86</v>
      </c>
      <c r="Q17" s="16">
        <v>10</v>
      </c>
    </row>
    <row r="18" spans="1:17" s="10" customFormat="1">
      <c r="A18" s="16" t="s">
        <v>20</v>
      </c>
      <c r="B18" s="16">
        <f>VLOOKUP(A18,node_prep!A:C,2,0)</f>
        <v>19.462467081641599</v>
      </c>
      <c r="C18" s="16">
        <f t="shared" si="0"/>
        <v>430</v>
      </c>
      <c r="D18" s="16">
        <v>475</v>
      </c>
      <c r="E18" s="16">
        <f t="shared" si="5"/>
        <v>520</v>
      </c>
      <c r="F18" s="16">
        <f t="shared" si="10"/>
        <v>91.983168865969574</v>
      </c>
      <c r="G18" s="16">
        <f>G17-J17/2-J18/2</f>
        <v>101.71440240679037</v>
      </c>
      <c r="H18" s="16">
        <f t="shared" si="11"/>
        <v>111.44563594761117</v>
      </c>
      <c r="I18" s="16">
        <f t="shared" si="12"/>
        <v>0</v>
      </c>
      <c r="J18" s="16">
        <f t="shared" si="13"/>
        <v>19.462467081641599</v>
      </c>
      <c r="K18" s="16" t="str">
        <f>_xlfn.CONCAT("oil"," ",ROUND(B18,1))</f>
        <v>oil 19.5</v>
      </c>
      <c r="L18" s="16">
        <f t="shared" si="7"/>
        <v>475</v>
      </c>
      <c r="M18" s="16">
        <f t="shared" si="8"/>
        <v>101.71440240679037</v>
      </c>
      <c r="N18" s="16" t="s">
        <v>93</v>
      </c>
      <c r="O18" s="16">
        <v>0</v>
      </c>
      <c r="P18" s="16" t="s">
        <v>86</v>
      </c>
      <c r="Q18" s="16">
        <v>10</v>
      </c>
    </row>
    <row r="19" spans="1:17" s="10" customFormat="1">
      <c r="A19" s="16" t="s">
        <v>18</v>
      </c>
      <c r="B19" s="16">
        <f>VLOOKUP(A19,node_prep!A:C,2,0)</f>
        <v>1.72321113193258</v>
      </c>
      <c r="C19" s="16">
        <f t="shared" si="0"/>
        <v>430</v>
      </c>
      <c r="D19" s="16">
        <v>475</v>
      </c>
      <c r="E19" s="16">
        <f t="shared" si="5"/>
        <v>520</v>
      </c>
      <c r="F19" s="16">
        <f t="shared" si="10"/>
        <v>82.259957734037002</v>
      </c>
      <c r="G19" s="16">
        <f>G18-J18/2-J19/2-8</f>
        <v>83.121563300003288</v>
      </c>
      <c r="H19" s="16">
        <f t="shared" si="11"/>
        <v>83.983168865969574</v>
      </c>
      <c r="I19" s="16">
        <f t="shared" si="12"/>
        <v>0</v>
      </c>
      <c r="J19" s="16">
        <f t="shared" si="13"/>
        <v>1.72321113193258</v>
      </c>
      <c r="K19" s="16" t="str">
        <f>_xlfn.CONCAT("hydrogen"," ",ROUND(B19,1))</f>
        <v>hydrogen 1.7</v>
      </c>
      <c r="L19" s="16">
        <f t="shared" si="7"/>
        <v>475</v>
      </c>
      <c r="M19" s="16">
        <f>G19-5</f>
        <v>78.121563300003288</v>
      </c>
      <c r="N19" s="16" t="s">
        <v>96</v>
      </c>
      <c r="O19" s="16">
        <v>0</v>
      </c>
      <c r="P19" s="16" t="s">
        <v>86</v>
      </c>
      <c r="Q19" s="16">
        <v>10</v>
      </c>
    </row>
    <row r="20" spans="1:17" s="11" customFormat="1">
      <c r="A20" s="17" t="s">
        <v>26</v>
      </c>
      <c r="B20" s="17">
        <f>VLOOKUP(A20,node_prep!A:C,2,0)</f>
        <v>45.435719495296297</v>
      </c>
      <c r="C20" s="17">
        <f t="shared" si="0"/>
        <v>705</v>
      </c>
      <c r="D20" s="17">
        <v>750</v>
      </c>
      <c r="E20" s="17">
        <f t="shared" si="5"/>
        <v>795</v>
      </c>
      <c r="F20" s="17">
        <f t="shared" si="10"/>
        <v>343.92321037852776</v>
      </c>
      <c r="G20" s="17">
        <v>378</v>
      </c>
      <c r="H20" s="17">
        <f t="shared" si="11"/>
        <v>412.07678962147224</v>
      </c>
      <c r="I20" s="17">
        <f t="shared" si="12"/>
        <v>22.717859747648149</v>
      </c>
      <c r="J20" s="17">
        <f t="shared" si="9"/>
        <v>68.153579242944446</v>
      </c>
      <c r="K20" s="17" t="str">
        <f t="shared" ref="K20:K23" si="14">_xlfn.CONCAT(A20,"&lt;br&gt;",ROUND(B20,1))</f>
        <v>Loss&lt;br&gt;45.4</v>
      </c>
      <c r="L20" s="17">
        <f t="shared" si="7"/>
        <v>750</v>
      </c>
      <c r="M20" s="17">
        <f t="shared" si="8"/>
        <v>378</v>
      </c>
      <c r="N20" s="17" t="s">
        <v>97</v>
      </c>
      <c r="O20" s="17">
        <v>1</v>
      </c>
      <c r="P20" s="17" t="s">
        <v>86</v>
      </c>
      <c r="Q20" s="17">
        <v>12</v>
      </c>
    </row>
    <row r="21" spans="1:17" s="11" customFormat="1">
      <c r="A21" s="17" t="s">
        <v>14</v>
      </c>
      <c r="B21" s="17">
        <f>VLOOKUP(A21,node_prep!A:C,2,0)</f>
        <v>27.1996644601683</v>
      </c>
      <c r="C21" s="17">
        <f t="shared" si="0"/>
        <v>705</v>
      </c>
      <c r="D21" s="17">
        <v>750</v>
      </c>
      <c r="E21" s="17">
        <f t="shared" si="5"/>
        <v>795</v>
      </c>
      <c r="F21" s="17">
        <f t="shared" si="10"/>
        <v>258.1237136882753</v>
      </c>
      <c r="G21" s="17">
        <f>F20-J21/2-45</f>
        <v>278.52346203340153</v>
      </c>
      <c r="H21" s="17">
        <f t="shared" si="11"/>
        <v>298.92321037852776</v>
      </c>
      <c r="I21" s="17">
        <f t="shared" si="12"/>
        <v>13.599832230084154</v>
      </c>
      <c r="J21" s="17">
        <f t="shared" si="9"/>
        <v>40.799496690252454</v>
      </c>
      <c r="K21" s="17" t="str">
        <f t="shared" si="14"/>
        <v>Buildings&lt;br&gt;27.2</v>
      </c>
      <c r="L21" s="17">
        <f t="shared" si="7"/>
        <v>750</v>
      </c>
      <c r="M21" s="17">
        <f t="shared" si="8"/>
        <v>278.52346203340153</v>
      </c>
      <c r="N21" s="17" t="s">
        <v>97</v>
      </c>
      <c r="O21" s="17">
        <v>1</v>
      </c>
      <c r="P21" s="17" t="s">
        <v>86</v>
      </c>
      <c r="Q21" s="17">
        <v>12</v>
      </c>
    </row>
    <row r="22" spans="1:17" s="11" customFormat="1">
      <c r="A22" s="17" t="s">
        <v>13</v>
      </c>
      <c r="B22" s="17">
        <f>VLOOKUP(A22,node_prep!A:C,2,0)</f>
        <v>59.9303748062053</v>
      </c>
      <c r="C22" s="17">
        <f t="shared" si="0"/>
        <v>705</v>
      </c>
      <c r="D22" s="17">
        <v>750</v>
      </c>
      <c r="E22" s="17">
        <f t="shared" si="5"/>
        <v>795</v>
      </c>
      <c r="F22" s="17">
        <f t="shared" si="10"/>
        <v>123.22815147896733</v>
      </c>
      <c r="G22" s="17">
        <f>F21-J22/2-45</f>
        <v>168.17593258362132</v>
      </c>
      <c r="H22" s="17">
        <f t="shared" si="11"/>
        <v>213.1237136882753</v>
      </c>
      <c r="I22" s="17">
        <f t="shared" si="12"/>
        <v>29.965187403102654</v>
      </c>
      <c r="J22" s="17">
        <f t="shared" si="9"/>
        <v>89.895562209307954</v>
      </c>
      <c r="K22" s="17" t="str">
        <f t="shared" si="14"/>
        <v>Industry&lt;br&gt;59.9</v>
      </c>
      <c r="L22" s="17">
        <f t="shared" si="7"/>
        <v>750</v>
      </c>
      <c r="M22" s="17">
        <f t="shared" si="8"/>
        <v>168.17593258362132</v>
      </c>
      <c r="N22" s="17" t="s">
        <v>97</v>
      </c>
      <c r="O22" s="17">
        <v>1</v>
      </c>
      <c r="P22" s="17" t="s">
        <v>86</v>
      </c>
      <c r="Q22" s="17">
        <v>12</v>
      </c>
    </row>
    <row r="23" spans="1:17" s="11" customFormat="1">
      <c r="A23" s="17" t="s">
        <v>15</v>
      </c>
      <c r="B23" s="17">
        <f>VLOOKUP(A23,node_prep!A:C,2,0)</f>
        <v>17.996636014499199</v>
      </c>
      <c r="C23" s="17">
        <f t="shared" si="0"/>
        <v>705</v>
      </c>
      <c r="D23" s="17">
        <v>750</v>
      </c>
      <c r="E23" s="17">
        <f t="shared" si="5"/>
        <v>795</v>
      </c>
      <c r="F23" s="17">
        <f t="shared" si="10"/>
        <v>51.23319745721853</v>
      </c>
      <c r="G23" s="17">
        <f>F22-J23/2-45</f>
        <v>64.730674468092928</v>
      </c>
      <c r="H23" s="17">
        <f t="shared" si="11"/>
        <v>78.228151478967334</v>
      </c>
      <c r="I23" s="17">
        <f t="shared" si="12"/>
        <v>8.9983180072495976</v>
      </c>
      <c r="J23" s="17">
        <f t="shared" si="9"/>
        <v>26.994954021748796</v>
      </c>
      <c r="K23" s="17" t="str">
        <f t="shared" si="14"/>
        <v>Transportation&lt;br&gt;18</v>
      </c>
      <c r="L23" s="17">
        <f t="shared" si="7"/>
        <v>750</v>
      </c>
      <c r="M23" s="17">
        <f t="shared" si="8"/>
        <v>64.730674468092928</v>
      </c>
      <c r="N23" s="17" t="s">
        <v>97</v>
      </c>
      <c r="O23" s="17">
        <v>1</v>
      </c>
      <c r="P23" s="17" t="s">
        <v>86</v>
      </c>
      <c r="Q23" s="17">
        <v>12</v>
      </c>
    </row>
  </sheetData>
  <autoFilter ref="A3:Q23" xr:uid="{00000000-0009-0000-0000-000007000000}"/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W40"/>
  <sheetViews>
    <sheetView topLeftCell="C4" workbookViewId="0">
      <selection activeCell="J22" sqref="J22"/>
    </sheetView>
  </sheetViews>
  <sheetFormatPr baseColWidth="10" defaultColWidth="9" defaultRowHeight="16"/>
  <cols>
    <col min="4" max="6" width="12.6640625"/>
    <col min="9" max="9" width="12.6640625"/>
    <col min="12" max="15" width="12.6640625"/>
    <col min="18" max="18" width="11.5"/>
    <col min="19" max="19" width="12.6640625"/>
  </cols>
  <sheetData>
    <row r="1" spans="1:23" s="1" customFormat="1" ht="19" customHeight="1">
      <c r="G1" s="4"/>
      <c r="H1" t="s">
        <v>54</v>
      </c>
      <c r="I1">
        <v>2</v>
      </c>
      <c r="K1" s="4"/>
      <c r="M1" s="4"/>
      <c r="N1" s="6"/>
      <c r="O1" s="4"/>
      <c r="P1" s="4"/>
    </row>
    <row r="2" spans="1:23" s="1" customFormat="1" ht="19" customHeight="1">
      <c r="D2" s="1" t="s">
        <v>55</v>
      </c>
      <c r="E2" s="1" t="s">
        <v>56</v>
      </c>
      <c r="N2" s="6"/>
      <c r="Q2" s="1" t="s">
        <v>57</v>
      </c>
      <c r="R2" s="1" t="s">
        <v>58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</row>
    <row r="3" spans="1:23" s="2" customFormat="1" ht="19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53</v>
      </c>
      <c r="W3" s="2" t="s">
        <v>63</v>
      </c>
    </row>
    <row r="4" spans="1:23" s="1" customFormat="1" ht="19" customHeight="1">
      <c r="A4" s="1" t="str">
        <f t="shared" ref="A4:A40" si="0">_xlfn.CONCAT(B4,"-",C4)</f>
        <v>Solar-Power</v>
      </c>
      <c r="B4" s="1" t="s">
        <v>8</v>
      </c>
      <c r="C4" s="1" t="s">
        <v>4</v>
      </c>
      <c r="D4" s="1">
        <f>_xlfn.IFNA(VLOOKUP(A4,line_prep!A:D,4,0),0)</f>
        <v>12.368944713473001</v>
      </c>
      <c r="E4" s="1">
        <f t="shared" ref="E4:E40" si="1">IF(D4=0,0,IF(D4&lt;1,1,D4))</f>
        <v>12.368944713473001</v>
      </c>
      <c r="F4" s="1">
        <f t="shared" ref="F4:F40" si="2">E4-D4</f>
        <v>0</v>
      </c>
      <c r="G4" s="4">
        <f>VLOOKUP(B4,nodes!A:E,5,0)</f>
        <v>95</v>
      </c>
      <c r="H4" s="1">
        <f t="shared" ref="H4:H15" si="3">G4+50</f>
        <v>145</v>
      </c>
      <c r="I4" s="4">
        <f>IF(N4&gt;M4,H4+(N4-M4)/$I$1,H4-(N4-M4)/$I$1)</f>
        <v>195</v>
      </c>
      <c r="J4" s="4">
        <f>VLOOKUP(C4,nodes!A:E,3,0)</f>
        <v>305</v>
      </c>
      <c r="K4" s="4" t="str">
        <f t="shared" ref="K4:K40" si="4">_xlfn.CONCAT(G4,",",H4,",",I4,",",J4)</f>
        <v>95,145,195,305</v>
      </c>
      <c r="L4" s="1">
        <f>VLOOKUP(B4,nodes!A:G,7,0)</f>
        <v>400</v>
      </c>
      <c r="M4" s="4">
        <f t="shared" ref="M4:M40" si="5">L4</f>
        <v>400</v>
      </c>
      <c r="N4" s="6">
        <f>VLOOKUP(C4,nodes!A:G,7,0)</f>
        <v>300</v>
      </c>
      <c r="O4" s="4">
        <f t="shared" ref="O4:O40" si="6">N4</f>
        <v>300</v>
      </c>
      <c r="P4" s="4" t="str">
        <f t="shared" ref="P4:P40" si="7">_xlfn.CONCAT(L4,",",M4,",",N4,",",O4)</f>
        <v>400,400,300,300</v>
      </c>
      <c r="Q4" s="1" t="str">
        <f>VLOOKUP(B4,nodes!A:N,14,0)</f>
        <v>#ffd16a</v>
      </c>
      <c r="T4" s="1" t="s">
        <v>64</v>
      </c>
      <c r="V4" s="1">
        <v>10</v>
      </c>
      <c r="W4" s="1">
        <v>0.03</v>
      </c>
    </row>
    <row r="5" spans="1:23" s="1" customFormat="1" ht="19" customHeight="1">
      <c r="A5" s="1" t="str">
        <f t="shared" si="0"/>
        <v>Nuclear-Power</v>
      </c>
      <c r="B5" s="1" t="s">
        <v>10</v>
      </c>
      <c r="C5" s="1" t="s">
        <v>4</v>
      </c>
      <c r="D5" s="1">
        <f>_xlfn.IFNA(VLOOKUP(A5,line_prep!A:D,4,0),0)</f>
        <v>3.3776380175303702</v>
      </c>
      <c r="E5" s="1">
        <f t="shared" si="1"/>
        <v>3.3776380175303702</v>
      </c>
      <c r="F5" s="1">
        <f t="shared" si="2"/>
        <v>0</v>
      </c>
      <c r="G5" s="4">
        <f>VLOOKUP(B5,nodes!A:E,5,0)</f>
        <v>95</v>
      </c>
      <c r="H5" s="1">
        <f t="shared" si="3"/>
        <v>145</v>
      </c>
      <c r="I5" s="4">
        <f t="shared" ref="I5:I12" si="8">IF(N5&gt;M5,H5+(N5-M5)/$I$1,H5-(N5-M5)/$I$1)</f>
        <v>179.09503147587372</v>
      </c>
      <c r="J5" s="4">
        <f>VLOOKUP(C5,nodes!A:E,3,0)</f>
        <v>305</v>
      </c>
      <c r="K5" s="4" t="str">
        <f t="shared" si="4"/>
        <v>95,145,179.095031475874,305</v>
      </c>
      <c r="L5" s="1">
        <f>VLOOKUP(B5,nodes!A:G,7,0)</f>
        <v>368.19006295174745</v>
      </c>
      <c r="M5" s="4">
        <f t="shared" si="5"/>
        <v>368.19006295174745</v>
      </c>
      <c r="N5" s="6">
        <f>VLOOKUP(C5,nodes!A:G,7,0)</f>
        <v>300</v>
      </c>
      <c r="O5" s="4">
        <f t="shared" si="6"/>
        <v>300</v>
      </c>
      <c r="P5" s="4" t="str">
        <f t="shared" si="7"/>
        <v>368.190062951747,368.190062951747,300,300</v>
      </c>
      <c r="Q5" s="1" t="str">
        <f>VLOOKUP(B5,nodes!A:N,14,0)</f>
        <v>#ff8700</v>
      </c>
      <c r="T5" s="1" t="s">
        <v>64</v>
      </c>
      <c r="V5" s="1">
        <v>10</v>
      </c>
      <c r="W5" s="1">
        <v>0.03</v>
      </c>
    </row>
    <row r="6" spans="1:23" s="1" customFormat="1" ht="19" customHeight="1">
      <c r="A6" s="1" t="str">
        <f t="shared" si="0"/>
        <v>Hydro-Power</v>
      </c>
      <c r="B6" s="1" t="s">
        <v>7</v>
      </c>
      <c r="C6" s="1" t="s">
        <v>4</v>
      </c>
      <c r="D6" s="1">
        <f>_xlfn.IFNA(VLOOKUP(A6,line_prep!A:D,4,0),0)</f>
        <v>6.9818353148595804</v>
      </c>
      <c r="E6" s="1">
        <f t="shared" si="1"/>
        <v>6.9818353148595804</v>
      </c>
      <c r="F6" s="1">
        <f t="shared" si="2"/>
        <v>0</v>
      </c>
      <c r="G6" s="4">
        <f>VLOOKUP(B6,nodes!A:E,5,0)</f>
        <v>95</v>
      </c>
      <c r="H6" s="1">
        <f t="shared" si="3"/>
        <v>145</v>
      </c>
      <c r="I6" s="4">
        <f t="shared" si="8"/>
        <v>165.21022897622748</v>
      </c>
      <c r="J6" s="4">
        <f>VLOOKUP(C6,nodes!A:E,3,0)</f>
        <v>305</v>
      </c>
      <c r="K6" s="4" t="str">
        <f t="shared" si="4"/>
        <v>95,145,165.210228976227,305</v>
      </c>
      <c r="L6" s="1">
        <f>VLOOKUP(B6,nodes!A:G,7,0)</f>
        <v>340.42045795245497</v>
      </c>
      <c r="M6" s="4">
        <f t="shared" si="5"/>
        <v>340.42045795245497</v>
      </c>
      <c r="N6" s="6">
        <f>VLOOKUP(C6,nodes!A:G,7,0)</f>
        <v>300</v>
      </c>
      <c r="O6" s="4">
        <f t="shared" si="6"/>
        <v>300</v>
      </c>
      <c r="P6" s="4" t="str">
        <f t="shared" si="7"/>
        <v>340.420457952455,340.420457952455,300,300</v>
      </c>
      <c r="Q6" s="1" t="str">
        <f>VLOOKUP(B6,nodes!A:N,14,0)</f>
        <v>#29b09d</v>
      </c>
      <c r="T6" s="1" t="s">
        <v>64</v>
      </c>
      <c r="V6" s="1">
        <v>10</v>
      </c>
      <c r="W6" s="1">
        <v>0.03</v>
      </c>
    </row>
    <row r="7" spans="1:23" s="1" customFormat="1" ht="19" customHeight="1">
      <c r="A7" s="1" t="str">
        <f t="shared" si="0"/>
        <v>Wind-Power</v>
      </c>
      <c r="B7" s="1" t="s">
        <v>9</v>
      </c>
      <c r="C7" s="1" t="s">
        <v>4</v>
      </c>
      <c r="D7" s="1">
        <f>_xlfn.IFNA(VLOOKUP(A7,line_prep!A:D,4,0),0)</f>
        <v>18.525195813980201</v>
      </c>
      <c r="E7" s="1">
        <f t="shared" si="1"/>
        <v>18.525195813980201</v>
      </c>
      <c r="F7" s="1">
        <f t="shared" si="2"/>
        <v>0</v>
      </c>
      <c r="G7" s="4">
        <f>VLOOKUP(B7,nodes!A:E,5,0)</f>
        <v>95</v>
      </c>
      <c r="H7" s="1">
        <f t="shared" si="3"/>
        <v>145</v>
      </c>
      <c r="I7" s="4">
        <f t="shared" si="8"/>
        <v>145.64509230291256</v>
      </c>
      <c r="J7" s="4">
        <f>VLOOKUP(C7,nodes!A:E,3,0)</f>
        <v>305</v>
      </c>
      <c r="K7" s="4" t="str">
        <f t="shared" si="4"/>
        <v>95,145,145.645092302913,305</v>
      </c>
      <c r="L7" s="1">
        <f>VLOOKUP(B7,nodes!A:G,7,0)</f>
        <v>301.29018460582512</v>
      </c>
      <c r="M7" s="4">
        <f t="shared" si="5"/>
        <v>301.29018460582512</v>
      </c>
      <c r="N7" s="6">
        <f>VLOOKUP(C7,nodes!A:G,7,0)</f>
        <v>300</v>
      </c>
      <c r="O7" s="4">
        <f t="shared" si="6"/>
        <v>300</v>
      </c>
      <c r="P7" s="4" t="str">
        <f t="shared" si="7"/>
        <v>301.290184605825,301.290184605825,300,300</v>
      </c>
      <c r="Q7" s="1" t="str">
        <f>VLOOKUP(B7,nodes!A:N,14,0)</f>
        <v>#7defa1</v>
      </c>
      <c r="T7" s="1" t="s">
        <v>64</v>
      </c>
      <c r="V7" s="1">
        <v>10</v>
      </c>
      <c r="W7" s="1">
        <v>0.03</v>
      </c>
    </row>
    <row r="8" spans="1:23" s="1" customFormat="1" ht="19" customHeight="1">
      <c r="A8" s="1" t="str">
        <f t="shared" si="0"/>
        <v>Biomass-Power</v>
      </c>
      <c r="B8" s="1" t="s">
        <v>11</v>
      </c>
      <c r="C8" s="1" t="s">
        <v>4</v>
      </c>
      <c r="D8" s="1">
        <f>_xlfn.IFNA(VLOOKUP(A8,line_prep!A:D,4,0),0)</f>
        <v>5.8904333930948898</v>
      </c>
      <c r="E8" s="1">
        <f t="shared" si="1"/>
        <v>5.8904333930948898</v>
      </c>
      <c r="F8" s="1">
        <f t="shared" si="2"/>
        <v>0</v>
      </c>
      <c r="G8" s="4">
        <f>VLOOKUP(B8,nodes!A:E,5,0)</f>
        <v>95</v>
      </c>
      <c r="H8" s="1">
        <f t="shared" si="3"/>
        <v>145</v>
      </c>
      <c r="I8" s="4">
        <f t="shared" si="8"/>
        <v>163.52085281109186</v>
      </c>
      <c r="J8" s="4">
        <f>VLOOKUP(C8,nodes!A:E,3,0)</f>
        <v>305</v>
      </c>
      <c r="K8" s="4" t="str">
        <f t="shared" si="4"/>
        <v>95,145,163.520852811092,305</v>
      </c>
      <c r="L8" s="1">
        <f>VLOOKUP(B8,nodes!A:G,7,0)</f>
        <v>262.95829437781629</v>
      </c>
      <c r="M8" s="4">
        <f t="shared" si="5"/>
        <v>262.95829437781629</v>
      </c>
      <c r="N8" s="6">
        <f>VLOOKUP(C8,nodes!A:G,7,0)</f>
        <v>300</v>
      </c>
      <c r="O8" s="4">
        <f t="shared" si="6"/>
        <v>300</v>
      </c>
      <c r="P8" s="4" t="str">
        <f t="shared" si="7"/>
        <v>262.958294377816,262.958294377816,300,300</v>
      </c>
      <c r="Q8" s="1" t="str">
        <f>VLOOKUP(B8,nodes!A:N,14,0)</f>
        <v>#2ca02c</v>
      </c>
      <c r="R8" s="1">
        <f t="shared" ref="R8:R15" si="9">J8-75</f>
        <v>230</v>
      </c>
      <c r="S8" s="1">
        <f t="shared" ref="S8:S10" si="10">N8</f>
        <v>300</v>
      </c>
      <c r="T8" s="1">
        <f t="shared" ref="T8:T10" si="11">IF(D8=0,"",ROUND(D8,1))</f>
        <v>5.9</v>
      </c>
      <c r="V8" s="1">
        <v>10</v>
      </c>
      <c r="W8" s="1">
        <v>0.03</v>
      </c>
    </row>
    <row r="9" spans="1:23" s="1" customFormat="1" ht="19" customHeight="1">
      <c r="A9" s="1" t="str">
        <f t="shared" si="0"/>
        <v>Gas-Power</v>
      </c>
      <c r="B9" s="1" t="s">
        <v>5</v>
      </c>
      <c r="C9" s="1" t="s">
        <v>4</v>
      </c>
      <c r="D9" s="1">
        <f>_xlfn.IFNA(VLOOKUP(A9,line_prep!A:D,4,0),0)</f>
        <v>11.3411522419375</v>
      </c>
      <c r="E9" s="1">
        <f t="shared" si="1"/>
        <v>11.3411522419375</v>
      </c>
      <c r="F9" s="1">
        <f t="shared" si="2"/>
        <v>0</v>
      </c>
      <c r="G9" s="4">
        <f>VLOOKUP(B9,nodes!A:E,5,0)</f>
        <v>95</v>
      </c>
      <c r="H9" s="1">
        <f t="shared" si="3"/>
        <v>145</v>
      </c>
      <c r="I9" s="4">
        <f t="shared" si="8"/>
        <v>189.53340711042412</v>
      </c>
      <c r="J9" s="4">
        <f>VLOOKUP(C9,nodes!A:E,3,0)</f>
        <v>305</v>
      </c>
      <c r="K9" s="4" t="str">
        <f t="shared" si="4"/>
        <v>95,145,189.533407110424,305</v>
      </c>
      <c r="L9" s="1">
        <f>VLOOKUP(B9,nodes!A:G,7,0)</f>
        <v>210.93318577915176</v>
      </c>
      <c r="M9" s="4">
        <f t="shared" si="5"/>
        <v>210.93318577915176</v>
      </c>
      <c r="N9" s="6">
        <f>VLOOKUP(C9,nodes!A:G,7,0)</f>
        <v>300</v>
      </c>
      <c r="O9" s="4">
        <f t="shared" si="6"/>
        <v>300</v>
      </c>
      <c r="P9" s="4" t="str">
        <f t="shared" si="7"/>
        <v>210.933185779152,210.933185779152,300,300</v>
      </c>
      <c r="Q9" s="1" t="str">
        <f>VLOOKUP(B9,nodes!A:N,14,0)</f>
        <v>#83c9ff</v>
      </c>
      <c r="R9" s="1">
        <f t="shared" si="9"/>
        <v>230</v>
      </c>
      <c r="S9" s="1">
        <f t="shared" si="10"/>
        <v>300</v>
      </c>
      <c r="T9" s="1">
        <f t="shared" si="11"/>
        <v>11.3</v>
      </c>
      <c r="V9" s="1">
        <v>10</v>
      </c>
      <c r="W9" s="1">
        <v>0.03</v>
      </c>
    </row>
    <row r="10" spans="1:23" s="1" customFormat="1" ht="19" customHeight="1">
      <c r="A10" s="1" t="str">
        <f t="shared" si="0"/>
        <v>Coal-Power</v>
      </c>
      <c r="B10" s="1" t="s">
        <v>3</v>
      </c>
      <c r="C10" s="1" t="s">
        <v>4</v>
      </c>
      <c r="D10" s="1">
        <f>_xlfn.IFNA(VLOOKUP(A10,line_prep!A:D,4,0),0)</f>
        <v>30.8840855680624</v>
      </c>
      <c r="E10" s="1">
        <f t="shared" si="1"/>
        <v>30.8840855680624</v>
      </c>
      <c r="F10" s="1">
        <f t="shared" si="2"/>
        <v>0</v>
      </c>
      <c r="G10" s="4">
        <f>VLOOKUP(B10,nodes!A:E,5,0)</f>
        <v>95</v>
      </c>
      <c r="H10" s="1">
        <f t="shared" si="3"/>
        <v>145</v>
      </c>
      <c r="I10" s="4">
        <f t="shared" si="8"/>
        <v>233.9746224774097</v>
      </c>
      <c r="J10" s="4">
        <f>VLOOKUP(C10,nodes!A:E,3,0)</f>
        <v>305</v>
      </c>
      <c r="K10" s="4" t="str">
        <f t="shared" si="4"/>
        <v>95,145,233.97462247741,305</v>
      </c>
      <c r="L10" s="1">
        <f>VLOOKUP(B10,nodes!A:G,7,0)</f>
        <v>122.05075504518061</v>
      </c>
      <c r="M10" s="4">
        <f t="shared" si="5"/>
        <v>122.05075504518061</v>
      </c>
      <c r="N10" s="6">
        <f>VLOOKUP(C10,nodes!A:G,7,0)</f>
        <v>300</v>
      </c>
      <c r="O10" s="4">
        <f t="shared" si="6"/>
        <v>300</v>
      </c>
      <c r="P10" s="4" t="str">
        <f t="shared" si="7"/>
        <v>122.050755045181,122.050755045181,300,300</v>
      </c>
      <c r="Q10" s="1" t="str">
        <f>VLOOKUP(B10,nodes!A:N,14,0)</f>
        <v>#0068c9</v>
      </c>
      <c r="R10" s="1">
        <f t="shared" si="9"/>
        <v>230</v>
      </c>
      <c r="S10" s="1">
        <f t="shared" si="10"/>
        <v>300</v>
      </c>
      <c r="T10" s="1">
        <f t="shared" si="11"/>
        <v>30.9</v>
      </c>
      <c r="V10" s="1">
        <v>10</v>
      </c>
      <c r="W10" s="1">
        <v>0.03</v>
      </c>
    </row>
    <row r="11" spans="1:23" s="1" customFormat="1" ht="19" customHeight="1">
      <c r="A11" s="1" t="str">
        <f t="shared" si="0"/>
        <v>Oil-Power</v>
      </c>
      <c r="B11" s="1" t="s">
        <v>6</v>
      </c>
      <c r="C11" s="1" t="s">
        <v>4</v>
      </c>
      <c r="D11" s="1">
        <f>_xlfn.IFNA(VLOOKUP(A11,line_prep!A:D,4,0),0)</f>
        <v>1.30507588457657E-2</v>
      </c>
      <c r="E11" s="1">
        <f t="shared" si="1"/>
        <v>1</v>
      </c>
      <c r="F11" s="1">
        <f t="shared" si="2"/>
        <v>0.98694924115423399</v>
      </c>
      <c r="G11" s="4">
        <f>VLOOKUP(B11,nodes!A:E,5,0)</f>
        <v>95</v>
      </c>
      <c r="H11" s="1">
        <f t="shared" si="3"/>
        <v>145</v>
      </c>
      <c r="I11" s="4">
        <f t="shared" si="8"/>
        <v>268.95319376389199</v>
      </c>
      <c r="J11" s="4">
        <f>VLOOKUP(C11,nodes!A:E,3,0)</f>
        <v>305</v>
      </c>
      <c r="K11" s="4" t="str">
        <f t="shared" si="4"/>
        <v>95,145,268.953193763892,305</v>
      </c>
      <c r="L11" s="1">
        <f>VLOOKUP(B11,nodes!A:G,7,0)</f>
        <v>52.093612472216051</v>
      </c>
      <c r="M11" s="4">
        <f t="shared" si="5"/>
        <v>52.093612472216051</v>
      </c>
      <c r="N11" s="6">
        <f>VLOOKUP(C11,nodes!A:G,7,0)</f>
        <v>300</v>
      </c>
      <c r="O11" s="4">
        <f t="shared" si="6"/>
        <v>300</v>
      </c>
      <c r="P11" s="4" t="str">
        <f t="shared" si="7"/>
        <v>52.0936124722161,52.0936124722161,300,300</v>
      </c>
      <c r="Q11" s="1" t="str">
        <f>VLOOKUP(B11,nodes!A:N,14,0)</f>
        <v>#4d95d9</v>
      </c>
      <c r="R11" s="1">
        <f t="shared" si="9"/>
        <v>230</v>
      </c>
      <c r="S11" s="1">
        <f>N11-5</f>
        <v>295</v>
      </c>
      <c r="T11" s="1">
        <v>0.01</v>
      </c>
      <c r="U11" s="1" t="str">
        <f>Q11</f>
        <v>#4d95d9</v>
      </c>
      <c r="V11" s="1">
        <v>10</v>
      </c>
      <c r="W11" s="1">
        <v>0.03</v>
      </c>
    </row>
    <row r="12" spans="1:23" s="1" customFormat="1" ht="19" customHeight="1">
      <c r="A12" s="1" t="str">
        <f t="shared" si="0"/>
        <v>Biomass-Other energy supply</v>
      </c>
      <c r="B12" s="1" t="s">
        <v>11</v>
      </c>
      <c r="C12" s="1" t="s">
        <v>16</v>
      </c>
      <c r="D12" s="1">
        <f>_xlfn.IFNA(VLOOKUP(A12,line_prep!A:D,4,0),0)</f>
        <v>2.6891096936660499E-2</v>
      </c>
      <c r="E12" s="1">
        <f t="shared" si="1"/>
        <v>1</v>
      </c>
      <c r="F12" s="1">
        <f t="shared" si="2"/>
        <v>0.97310890306333997</v>
      </c>
      <c r="G12" s="4">
        <f>VLOOKUP(B12,nodes!A:E,5,0)</f>
        <v>95</v>
      </c>
      <c r="H12" s="1">
        <f t="shared" si="3"/>
        <v>145</v>
      </c>
      <c r="I12" s="4">
        <f t="shared" si="8"/>
        <v>216.47914718890814</v>
      </c>
      <c r="J12" s="4">
        <f>VLOOKUP(C12,nodes!A:E,3,0)</f>
        <v>305</v>
      </c>
      <c r="K12" s="1" t="str">
        <f t="shared" si="4"/>
        <v>95,145,216.479147188908,305</v>
      </c>
      <c r="L12" s="1">
        <f>VLOOKUP(B12,nodes!A:G,7,0)</f>
        <v>262.95829437781629</v>
      </c>
      <c r="M12" s="1">
        <f t="shared" si="5"/>
        <v>262.95829437781629</v>
      </c>
      <c r="N12" s="6">
        <f>VLOOKUP(C12,nodes!A:G,7,0)</f>
        <v>120</v>
      </c>
      <c r="O12" s="1">
        <f t="shared" si="6"/>
        <v>120</v>
      </c>
      <c r="P12" s="1" t="str">
        <f t="shared" si="7"/>
        <v>262.958294377816,262.958294377816,120,120</v>
      </c>
      <c r="Q12" s="1" t="str">
        <f>VLOOKUP(B12,nodes!A:N,14,0)</f>
        <v>#2ca02c</v>
      </c>
      <c r="R12" s="1">
        <f t="shared" si="9"/>
        <v>230</v>
      </c>
      <c r="S12" s="1">
        <f>N12+8</f>
        <v>128</v>
      </c>
      <c r="T12" s="1">
        <v>0.03</v>
      </c>
      <c r="U12" s="1" t="str">
        <f>Q12</f>
        <v>#2ca02c</v>
      </c>
      <c r="V12" s="1">
        <v>10</v>
      </c>
      <c r="W12" s="1">
        <v>0.03</v>
      </c>
    </row>
    <row r="13" spans="1:23" s="1" customFormat="1" ht="19" customHeight="1">
      <c r="A13" s="1" t="str">
        <f t="shared" si="0"/>
        <v>Gas-Other energy supply</v>
      </c>
      <c r="B13" s="1" t="s">
        <v>5</v>
      </c>
      <c r="C13" s="1" t="s">
        <v>16</v>
      </c>
      <c r="D13" s="1">
        <f>_xlfn.IFNA(VLOOKUP(A13,line_prep!A:D,4,0),0)</f>
        <v>25.441668066250301</v>
      </c>
      <c r="E13" s="1">
        <f t="shared" si="1"/>
        <v>25.441668066250301</v>
      </c>
      <c r="F13" s="1">
        <f t="shared" si="2"/>
        <v>0</v>
      </c>
      <c r="G13" s="4">
        <f>VLOOKUP(B13,nodes!A:E,5,0)</f>
        <v>95</v>
      </c>
      <c r="H13" s="1">
        <f t="shared" si="3"/>
        <v>145</v>
      </c>
      <c r="I13" s="4">
        <f t="shared" ref="I13:I40" si="12">IF(N13&gt;M13,H13+(N13-M13)/$I$1,H13-(N13-M13)/$I$1)</f>
        <v>190.46659288957588</v>
      </c>
      <c r="J13" s="4">
        <f>VLOOKUP(C13,nodes!A:E,3,0)</f>
        <v>305</v>
      </c>
      <c r="K13" s="1" t="str">
        <f t="shared" si="4"/>
        <v>95,145,190.466592889576,305</v>
      </c>
      <c r="L13" s="1">
        <f>VLOOKUP(B13,nodes!A:G,7,0)</f>
        <v>210.93318577915176</v>
      </c>
      <c r="M13" s="1">
        <f t="shared" si="5"/>
        <v>210.93318577915176</v>
      </c>
      <c r="N13" s="6">
        <f>VLOOKUP(C13,nodes!A:G,7,0)</f>
        <v>120</v>
      </c>
      <c r="O13" s="1">
        <f t="shared" si="6"/>
        <v>120</v>
      </c>
      <c r="P13" s="1" t="str">
        <f t="shared" si="7"/>
        <v>210.933185779152,210.933185779152,120,120</v>
      </c>
      <c r="Q13" s="1" t="str">
        <f>VLOOKUP(B13,nodes!A:N,14,0)</f>
        <v>#83c9ff</v>
      </c>
      <c r="R13" s="1">
        <f t="shared" si="9"/>
        <v>230</v>
      </c>
      <c r="S13" s="1">
        <f t="shared" ref="S13:S15" si="13">N13</f>
        <v>120</v>
      </c>
      <c r="T13" s="1">
        <f t="shared" ref="T13:T15" si="14">IF(D13=0,"",ROUND(D13,1))</f>
        <v>25.4</v>
      </c>
      <c r="V13" s="1">
        <v>10</v>
      </c>
      <c r="W13" s="1">
        <v>0.03</v>
      </c>
    </row>
    <row r="14" spans="1:23" s="1" customFormat="1" ht="19" customHeight="1">
      <c r="A14" s="1" t="str">
        <f t="shared" si="0"/>
        <v>Coal-Other energy supply</v>
      </c>
      <c r="B14" s="1" t="s">
        <v>3</v>
      </c>
      <c r="C14" s="1" t="s">
        <v>16</v>
      </c>
      <c r="D14" s="1">
        <f>_xlfn.IFNA(VLOOKUP(A14,line_prep!A:D,4,0),0)</f>
        <v>24.176335102378001</v>
      </c>
      <c r="E14" s="1">
        <f t="shared" si="1"/>
        <v>24.176335102378001</v>
      </c>
      <c r="F14" s="1">
        <f t="shared" si="2"/>
        <v>0</v>
      </c>
      <c r="G14" s="4">
        <f>VLOOKUP(B14,nodes!A:E,5,0)</f>
        <v>95</v>
      </c>
      <c r="H14" s="1">
        <f t="shared" si="3"/>
        <v>145</v>
      </c>
      <c r="I14" s="4">
        <f t="shared" si="12"/>
        <v>146.0253775225903</v>
      </c>
      <c r="J14" s="4">
        <f>VLOOKUP(C14,nodes!A:E,3,0)</f>
        <v>305</v>
      </c>
      <c r="K14" s="1" t="str">
        <f t="shared" si="4"/>
        <v>95,145,146.02537752259,305</v>
      </c>
      <c r="L14" s="1">
        <f>VLOOKUP(B14,nodes!A:G,7,0)</f>
        <v>122.05075504518061</v>
      </c>
      <c r="M14" s="1">
        <f t="shared" si="5"/>
        <v>122.05075504518061</v>
      </c>
      <c r="N14" s="6">
        <f>VLOOKUP(C14,nodes!A:G,7,0)</f>
        <v>120</v>
      </c>
      <c r="O14" s="1">
        <f t="shared" si="6"/>
        <v>120</v>
      </c>
      <c r="P14" s="1" t="str">
        <f t="shared" si="7"/>
        <v>122.050755045181,122.050755045181,120,120</v>
      </c>
      <c r="Q14" s="1" t="str">
        <f>VLOOKUP(B14,nodes!A:N,14,0)</f>
        <v>#0068c9</v>
      </c>
      <c r="R14" s="1">
        <f t="shared" si="9"/>
        <v>230</v>
      </c>
      <c r="S14" s="1">
        <f t="shared" si="13"/>
        <v>120</v>
      </c>
      <c r="T14" s="1">
        <f t="shared" si="14"/>
        <v>24.2</v>
      </c>
      <c r="V14" s="1">
        <v>10</v>
      </c>
      <c r="W14" s="1">
        <v>0.03</v>
      </c>
    </row>
    <row r="15" spans="1:23" s="1" customFormat="1" ht="19" customHeight="1">
      <c r="A15" s="1" t="str">
        <f t="shared" si="0"/>
        <v>Oil-Other energy supply</v>
      </c>
      <c r="B15" s="1" t="s">
        <v>6</v>
      </c>
      <c r="C15" s="1" t="s">
        <v>16</v>
      </c>
      <c r="D15" s="1">
        <f>_xlfn.IFNA(VLOOKUP(A15,line_prep!A:D,4,0),0)</f>
        <v>11.5360520013332</v>
      </c>
      <c r="E15" s="1">
        <f t="shared" si="1"/>
        <v>11.5360520013332</v>
      </c>
      <c r="F15" s="1">
        <f t="shared" si="2"/>
        <v>0</v>
      </c>
      <c r="G15" s="4">
        <f>VLOOKUP(B15,nodes!A:E,5,0)</f>
        <v>95</v>
      </c>
      <c r="H15" s="1">
        <f t="shared" si="3"/>
        <v>145</v>
      </c>
      <c r="I15" s="4">
        <f t="shared" si="12"/>
        <v>178.95319376389199</v>
      </c>
      <c r="J15" s="4">
        <f>VLOOKUP(C15,nodes!A:E,3,0)</f>
        <v>305</v>
      </c>
      <c r="K15" s="1" t="str">
        <f t="shared" si="4"/>
        <v>95,145,178.953193763892,305</v>
      </c>
      <c r="L15" s="1">
        <f>VLOOKUP(B15,nodes!A:G,7,0)</f>
        <v>52.093612472216051</v>
      </c>
      <c r="M15" s="1">
        <f t="shared" si="5"/>
        <v>52.093612472216051</v>
      </c>
      <c r="N15" s="6">
        <f>VLOOKUP(C15,nodes!A:G,7,0)</f>
        <v>120</v>
      </c>
      <c r="O15" s="1">
        <f t="shared" si="6"/>
        <v>120</v>
      </c>
      <c r="P15" s="1" t="str">
        <f t="shared" si="7"/>
        <v>52.0936124722161,52.0936124722161,120,120</v>
      </c>
      <c r="Q15" s="1" t="str">
        <f>VLOOKUP(B15,nodes!A:N,14,0)</f>
        <v>#4d95d9</v>
      </c>
      <c r="R15" s="1">
        <f t="shared" si="9"/>
        <v>230</v>
      </c>
      <c r="S15" s="1">
        <f t="shared" si="13"/>
        <v>120</v>
      </c>
      <c r="T15" s="1">
        <f t="shared" si="14"/>
        <v>11.5</v>
      </c>
      <c r="V15" s="1">
        <v>10</v>
      </c>
      <c r="W15" s="1">
        <v>0.03</v>
      </c>
    </row>
    <row r="16" spans="1:23" s="3" customFormat="1" ht="19" customHeight="1">
      <c r="A16" s="3" t="str">
        <f t="shared" ref="A16:A23" si="15">_xlfn.CONCAT(B16,"-",C16)</f>
        <v>Power-Loss</v>
      </c>
      <c r="B16" s="3" t="s">
        <v>4</v>
      </c>
      <c r="C16" s="3" t="s">
        <v>26</v>
      </c>
      <c r="D16" s="3">
        <f>_xlfn.IFNA(VLOOKUP(A16,line_prep!A:D,4,0),0)</f>
        <v>38.877553851783802</v>
      </c>
      <c r="E16" s="3">
        <f t="shared" ref="E16:E23" si="16">IF(D16=0,0,IF(D16&lt;1,1,D16))</f>
        <v>38.877553851783802</v>
      </c>
      <c r="F16" s="1">
        <f t="shared" ref="F16:F23" si="17">E16-D16</f>
        <v>0</v>
      </c>
      <c r="G16" s="4">
        <f>VLOOKUP(B16,nodes!A:E,5,0)</f>
        <v>395</v>
      </c>
      <c r="H16" s="1">
        <f>G16+50</f>
        <v>445</v>
      </c>
      <c r="I16" s="4">
        <f t="shared" ref="I16:I23" si="18">IF(N16&gt;M16,H16+(N16-M16)/$I$1,H16-(N16-M16)/$I$1)</f>
        <v>484</v>
      </c>
      <c r="J16" s="4">
        <f>VLOOKUP(C16,nodes!A:E,3,0)</f>
        <v>705</v>
      </c>
      <c r="K16" s="3" t="str">
        <f t="shared" ref="K16:K23" si="19">_xlfn.CONCAT(G16,",",H16,",",I16,",",J16)</f>
        <v>395,445,484,705</v>
      </c>
      <c r="L16" s="1">
        <f>VLOOKUP(B16,nodes!A:G,7,0)</f>
        <v>300</v>
      </c>
      <c r="M16" s="3">
        <f t="shared" ref="M16:M23" si="20">L16</f>
        <v>300</v>
      </c>
      <c r="N16" s="6">
        <f>VLOOKUP(C16,nodes!A:G,7,0)</f>
        <v>378</v>
      </c>
      <c r="O16" s="3">
        <f t="shared" ref="O16:O23" si="21">N16</f>
        <v>378</v>
      </c>
      <c r="P16" s="3" t="str">
        <f t="shared" ref="P16:P23" si="22">_xlfn.CONCAT(L16,",",M16,",",N16,",",O16)</f>
        <v>300,300,378,378</v>
      </c>
      <c r="Q16" s="3" t="str">
        <f>VLOOKUP(C16,nodes!A:N,14,0)</f>
        <v>#d5dae5</v>
      </c>
      <c r="R16" s="3">
        <f>J16-200</f>
        <v>505</v>
      </c>
      <c r="S16" s="3">
        <f>N16</f>
        <v>378</v>
      </c>
      <c r="T16" s="3">
        <f>IF(D16=0,"",ROUND(D16,1))</f>
        <v>38.9</v>
      </c>
      <c r="V16" s="3">
        <v>10</v>
      </c>
      <c r="W16" s="3">
        <v>0.03</v>
      </c>
    </row>
    <row r="17" spans="1:23" s="1" customFormat="1" ht="19" customHeight="1">
      <c r="A17" s="1" t="str">
        <f t="shared" si="15"/>
        <v>Other energy supply-Loss</v>
      </c>
      <c r="B17" s="1" t="s">
        <v>16</v>
      </c>
      <c r="C17" s="1" t="s">
        <v>26</v>
      </c>
      <c r="D17" s="1">
        <f>_xlfn.IFNA(VLOOKUP(A17,line_prep!A:D,4,0),0)</f>
        <v>6.5581656435125302</v>
      </c>
      <c r="E17" s="1">
        <f t="shared" si="16"/>
        <v>6.5581656435125302</v>
      </c>
      <c r="F17" s="1">
        <f t="shared" si="17"/>
        <v>0</v>
      </c>
      <c r="G17" s="4">
        <f>VLOOKUP(B17,nodes!A:E,5,0)</f>
        <v>395</v>
      </c>
      <c r="H17" s="1">
        <f>G17+50</f>
        <v>445</v>
      </c>
      <c r="I17" s="4">
        <f t="shared" si="18"/>
        <v>574</v>
      </c>
      <c r="J17" s="4">
        <f>VLOOKUP(C17,nodes!A:E,3,0)</f>
        <v>705</v>
      </c>
      <c r="K17" s="1" t="str">
        <f t="shared" si="19"/>
        <v>395,445,574,705</v>
      </c>
      <c r="L17" s="1">
        <f>VLOOKUP(B17,nodes!A:G,7,0)</f>
        <v>120</v>
      </c>
      <c r="M17" s="1">
        <f t="shared" si="20"/>
        <v>120</v>
      </c>
      <c r="N17" s="6">
        <f>VLOOKUP(C17,nodes!A:G,7,0)</f>
        <v>378</v>
      </c>
      <c r="O17" s="1">
        <f t="shared" si="21"/>
        <v>378</v>
      </c>
      <c r="P17" s="1" t="str">
        <f t="shared" si="22"/>
        <v>120,120,378,378</v>
      </c>
      <c r="Q17" s="1" t="str">
        <f>VLOOKUP(C17,nodes!A:N,14,0)</f>
        <v>#d5dae5</v>
      </c>
      <c r="R17" s="1">
        <f>I17</f>
        <v>574</v>
      </c>
      <c r="S17" s="1">
        <f>N17-8</f>
        <v>370</v>
      </c>
      <c r="T17" s="3">
        <f>IF(D17=0,"",ROUND(D17,1))</f>
        <v>6.6</v>
      </c>
      <c r="V17" s="1">
        <v>10</v>
      </c>
      <c r="W17" s="1">
        <v>0.03</v>
      </c>
    </row>
    <row r="18" spans="1:23" s="1" customFormat="1" ht="19" customHeight="1">
      <c r="A18" s="1" t="str">
        <f t="shared" si="15"/>
        <v>Other energy supply-Biomass products</v>
      </c>
      <c r="B18" s="1" t="s">
        <v>16</v>
      </c>
      <c r="C18" s="1" t="s">
        <v>22</v>
      </c>
      <c r="D18" s="1">
        <f>_xlfn.IFNA(VLOOKUP(A18,line_prep!A:D,4,0),0)</f>
        <v>2.6891096936660499E-2</v>
      </c>
      <c r="E18" s="1">
        <f t="shared" si="16"/>
        <v>1</v>
      </c>
      <c r="F18" s="1">
        <f t="shared" si="17"/>
        <v>0.97310890306333997</v>
      </c>
      <c r="G18" s="4">
        <f>VLOOKUP(B18,nodes!A:E,5,0)</f>
        <v>395</v>
      </c>
      <c r="H18" s="1">
        <f t="shared" ref="H18:H23" si="23">G18+10</f>
        <v>405</v>
      </c>
      <c r="I18" s="4">
        <f t="shared" si="18"/>
        <v>421.4361320758527</v>
      </c>
      <c r="J18" s="4">
        <f>VLOOKUP(C18,nodes!A:E,3,0)</f>
        <v>430</v>
      </c>
      <c r="K18" s="1" t="str">
        <f t="shared" si="19"/>
        <v>395,405,421.436132075853,430</v>
      </c>
      <c r="L18" s="1">
        <f>VLOOKUP(B18,nodes!A:G,7,0)</f>
        <v>120</v>
      </c>
      <c r="M18" s="1">
        <f t="shared" si="20"/>
        <v>120</v>
      </c>
      <c r="N18" s="6">
        <f>VLOOKUP(C18,nodes!A:G,7,0)</f>
        <v>152.87226415170534</v>
      </c>
      <c r="O18" s="1">
        <f t="shared" si="21"/>
        <v>152.87226415170534</v>
      </c>
      <c r="P18" s="1" t="str">
        <f t="shared" si="22"/>
        <v>120,120,152.872264151705,152.872264151705</v>
      </c>
      <c r="Q18" s="1" t="str">
        <f>VLOOKUP(C18,nodes!A:N,14,0)</f>
        <v>#2ca02c</v>
      </c>
      <c r="V18" s="1">
        <v>10</v>
      </c>
      <c r="W18" s="1">
        <v>0.03</v>
      </c>
    </row>
    <row r="19" spans="1:23" s="1" customFormat="1" ht="19" customHeight="1">
      <c r="A19" s="1" t="str">
        <f t="shared" si="15"/>
        <v>Other energy supply-Heat</v>
      </c>
      <c r="B19" s="1" t="s">
        <v>16</v>
      </c>
      <c r="C19" s="1" t="s">
        <v>17</v>
      </c>
      <c r="D19" s="1">
        <f>_xlfn.IFNA(VLOOKUP(A19,line_prep!A:D,4,0),0)</f>
        <v>7.67386724958972</v>
      </c>
      <c r="E19" s="1">
        <f t="shared" si="16"/>
        <v>7.67386724958972</v>
      </c>
      <c r="F19" s="1">
        <f t="shared" si="17"/>
        <v>0</v>
      </c>
      <c r="G19" s="4">
        <f>VLOOKUP(B19,nodes!A:E,5,0)</f>
        <v>395</v>
      </c>
      <c r="H19" s="1">
        <f t="shared" si="23"/>
        <v>405</v>
      </c>
      <c r="I19" s="4">
        <f t="shared" si="18"/>
        <v>415.51019965353328</v>
      </c>
      <c r="J19" s="4">
        <f>VLOOKUP(C19,nodes!A:E,3,0)</f>
        <v>430</v>
      </c>
      <c r="K19" s="1" t="str">
        <f t="shared" si="19"/>
        <v>395,405,415.510199653533,430</v>
      </c>
      <c r="L19" s="1">
        <f>VLOOKUP(B19,nodes!A:G,7,0)</f>
        <v>120</v>
      </c>
      <c r="M19" s="1">
        <f t="shared" si="20"/>
        <v>120</v>
      </c>
      <c r="N19" s="6">
        <f>VLOOKUP(C19,nodes!A:G,7,0)</f>
        <v>141.02039930706661</v>
      </c>
      <c r="O19" s="1">
        <f t="shared" si="21"/>
        <v>141.02039930706661</v>
      </c>
      <c r="P19" s="1" t="str">
        <f t="shared" si="22"/>
        <v>120,120,141.020399307067,141.020399307067</v>
      </c>
      <c r="Q19" s="1" t="str">
        <f>VLOOKUP(C19,nodes!A:N,14,0)</f>
        <v>#FF6692</v>
      </c>
      <c r="T19" s="1">
        <f>IF(D19=0,"",ROUND(D19,1))</f>
        <v>7.7</v>
      </c>
      <c r="V19" s="1">
        <v>10</v>
      </c>
      <c r="W19" s="1">
        <v>0.03</v>
      </c>
    </row>
    <row r="20" spans="1:23" s="1" customFormat="1" ht="19" customHeight="1">
      <c r="A20" s="1" t="str">
        <f t="shared" si="15"/>
        <v>Other energy supply-Gas products</v>
      </c>
      <c r="B20" s="1" t="s">
        <v>16</v>
      </c>
      <c r="C20" s="1" t="s">
        <v>21</v>
      </c>
      <c r="D20" s="1">
        <f>_xlfn.IFNA(VLOOKUP(A20,line_prep!A:D,4,0),0)</f>
        <v>9.8233088862396407</v>
      </c>
      <c r="E20" s="1">
        <f t="shared" si="16"/>
        <v>9.8233088862396407</v>
      </c>
      <c r="F20" s="1">
        <f t="shared" si="17"/>
        <v>0</v>
      </c>
      <c r="G20" s="4">
        <f>VLOOKUP(B20,nodes!A:E,5,0)</f>
        <v>395</v>
      </c>
      <c r="H20" s="1">
        <f t="shared" si="23"/>
        <v>405</v>
      </c>
      <c r="I20" s="4">
        <f t="shared" si="18"/>
        <v>411.13516278388818</v>
      </c>
      <c r="J20" s="4">
        <f>VLOOKUP(C20,nodes!A:E,3,0)</f>
        <v>430</v>
      </c>
      <c r="K20" s="1" t="str">
        <f t="shared" si="19"/>
        <v>395,405,411.135162783888,430</v>
      </c>
      <c r="L20" s="1">
        <f>VLOOKUP(B20,nodes!A:G,7,0)</f>
        <v>120</v>
      </c>
      <c r="M20" s="1">
        <f t="shared" si="20"/>
        <v>120</v>
      </c>
      <c r="N20" s="6">
        <f>VLOOKUP(C20,nodes!A:G,7,0)</f>
        <v>132.27032556777638</v>
      </c>
      <c r="O20" s="1">
        <f t="shared" si="21"/>
        <v>132.27032556777638</v>
      </c>
      <c r="P20" s="1" t="str">
        <f t="shared" si="22"/>
        <v>120,120,132.270325567776,132.270325567776</v>
      </c>
      <c r="Q20" s="1" t="str">
        <f>VLOOKUP(C20,nodes!A:N,14,0)</f>
        <v>#83c9ff</v>
      </c>
      <c r="V20" s="1">
        <v>10</v>
      </c>
      <c r="W20" s="1">
        <v>0.03</v>
      </c>
    </row>
    <row r="21" spans="1:23" s="1" customFormat="1" ht="19" customHeight="1">
      <c r="A21" s="1" t="str">
        <f t="shared" si="15"/>
        <v>Other energy supply-Coal products</v>
      </c>
      <c r="B21" s="1" t="s">
        <v>16</v>
      </c>
      <c r="C21" s="1" t="s">
        <v>19</v>
      </c>
      <c r="D21" s="1">
        <f>_xlfn.IFNA(VLOOKUP(A21,line_prep!A:D,4,0),0)</f>
        <v>15.913035177045399</v>
      </c>
      <c r="E21" s="1">
        <f t="shared" si="16"/>
        <v>15.913035177045399</v>
      </c>
      <c r="F21" s="1">
        <f t="shared" si="17"/>
        <v>0</v>
      </c>
      <c r="G21" s="4">
        <f>VLOOKUP(B21,nodes!A:E,5,0)</f>
        <v>395</v>
      </c>
      <c r="H21" s="1">
        <f t="shared" si="23"/>
        <v>405</v>
      </c>
      <c r="I21" s="4">
        <f t="shared" si="18"/>
        <v>405.29892323193309</v>
      </c>
      <c r="J21" s="4">
        <f>VLOOKUP(C21,nodes!A:E,3,0)</f>
        <v>430</v>
      </c>
      <c r="K21" s="1" t="str">
        <f t="shared" si="19"/>
        <v>395,405,405.298923231933,430</v>
      </c>
      <c r="L21" s="1">
        <f>VLOOKUP(B21,nodes!A:G,7,0)</f>
        <v>120</v>
      </c>
      <c r="M21" s="1">
        <f t="shared" si="20"/>
        <v>120</v>
      </c>
      <c r="N21" s="6">
        <f>VLOOKUP(C21,nodes!A:G,7,0)</f>
        <v>119.40215353613387</v>
      </c>
      <c r="O21" s="1">
        <f t="shared" si="21"/>
        <v>119.40215353613387</v>
      </c>
      <c r="P21" s="1" t="str">
        <f t="shared" si="22"/>
        <v>120,120,119.402153536134,119.402153536134</v>
      </c>
      <c r="Q21" s="1" t="str">
        <f>VLOOKUP(C21,nodes!A:N,14,0)</f>
        <v>#0068c9</v>
      </c>
      <c r="T21" s="1">
        <f t="shared" ref="T21:T28" si="24">IF(D21=0,"",ROUND(D21,1))</f>
        <v>15.9</v>
      </c>
      <c r="V21" s="1">
        <v>10</v>
      </c>
      <c r="W21" s="1">
        <v>0.03</v>
      </c>
    </row>
    <row r="22" spans="1:23" s="1" customFormat="1" ht="19" customHeight="1">
      <c r="A22" s="1" t="str">
        <f t="shared" si="15"/>
        <v>Other energy supply-Oil products</v>
      </c>
      <c r="B22" s="1" t="s">
        <v>16</v>
      </c>
      <c r="C22" s="1" t="s">
        <v>20</v>
      </c>
      <c r="D22" s="1">
        <f>_xlfn.IFNA(VLOOKUP(A22,line_prep!A:D,4,0),0)</f>
        <v>19.462467081641599</v>
      </c>
      <c r="E22" s="1">
        <f t="shared" si="16"/>
        <v>19.462467081641599</v>
      </c>
      <c r="F22" s="1">
        <f t="shared" si="17"/>
        <v>0</v>
      </c>
      <c r="G22" s="4">
        <f>VLOOKUP(B22,nodes!A:E,5,0)</f>
        <v>395</v>
      </c>
      <c r="H22" s="1">
        <f t="shared" si="23"/>
        <v>405</v>
      </c>
      <c r="I22" s="4">
        <f t="shared" si="18"/>
        <v>414.14279879660484</v>
      </c>
      <c r="J22" s="4">
        <f>VLOOKUP(C22,nodes!A:E,3,0)</f>
        <v>430</v>
      </c>
      <c r="K22" s="1" t="str">
        <f t="shared" si="19"/>
        <v>395,405,414.142798796605,430</v>
      </c>
      <c r="L22" s="1">
        <f>VLOOKUP(B22,nodes!A:G,7,0)</f>
        <v>120</v>
      </c>
      <c r="M22" s="1">
        <f t="shared" si="20"/>
        <v>120</v>
      </c>
      <c r="N22" s="6">
        <f>VLOOKUP(C22,nodes!A:G,7,0)</f>
        <v>101.71440240679037</v>
      </c>
      <c r="O22" s="1">
        <f t="shared" si="21"/>
        <v>101.71440240679037</v>
      </c>
      <c r="P22" s="1" t="str">
        <f t="shared" si="22"/>
        <v>120,120,101.71440240679,101.71440240679</v>
      </c>
      <c r="Q22" s="1" t="str">
        <f>VLOOKUP(C22,nodes!A:N,14,0)</f>
        <v>#4d95d9</v>
      </c>
      <c r="T22" s="1">
        <f t="shared" si="24"/>
        <v>19.5</v>
      </c>
      <c r="V22" s="1">
        <v>10</v>
      </c>
      <c r="W22" s="1">
        <v>0.03</v>
      </c>
    </row>
    <row r="23" spans="1:23" s="1" customFormat="1" ht="19" customHeight="1">
      <c r="A23" s="1" t="str">
        <f t="shared" si="15"/>
        <v>Other energy supply-Hydrogen</v>
      </c>
      <c r="B23" s="1" t="s">
        <v>16</v>
      </c>
      <c r="C23" s="1" t="s">
        <v>18</v>
      </c>
      <c r="D23" s="1">
        <f>_xlfn.IFNA(VLOOKUP(A23,line_prep!A:D,4,0),0)</f>
        <v>1.72321113193258</v>
      </c>
      <c r="E23" s="1">
        <f t="shared" si="16"/>
        <v>1.72321113193258</v>
      </c>
      <c r="F23" s="1">
        <f t="shared" si="17"/>
        <v>0</v>
      </c>
      <c r="G23" s="4">
        <f>VLOOKUP(B23,nodes!A:E,5,0)</f>
        <v>395</v>
      </c>
      <c r="H23" s="1">
        <f t="shared" si="23"/>
        <v>405</v>
      </c>
      <c r="I23" s="4">
        <f t="shared" si="18"/>
        <v>423.43921834999833</v>
      </c>
      <c r="J23" s="4">
        <f>VLOOKUP(C23,nodes!A:E,3,0)</f>
        <v>430</v>
      </c>
      <c r="K23" s="1" t="str">
        <f t="shared" si="19"/>
        <v>395,405,423.439218349998,430</v>
      </c>
      <c r="L23" s="1">
        <f>VLOOKUP(B23,nodes!A:G,7,0)</f>
        <v>120</v>
      </c>
      <c r="M23" s="1">
        <f t="shared" si="20"/>
        <v>120</v>
      </c>
      <c r="N23" s="6">
        <f>VLOOKUP(C23,nodes!A:G,7,0)</f>
        <v>83.121563300003288</v>
      </c>
      <c r="O23" s="1">
        <f t="shared" si="21"/>
        <v>83.121563300003288</v>
      </c>
      <c r="P23" s="1" t="str">
        <f t="shared" si="22"/>
        <v>120,120,83.1215633000033,83.1215633000033</v>
      </c>
      <c r="Q23" s="1" t="str">
        <f>VLOOKUP(C23,nodes!A:N,14,0)</f>
        <v>#6D3FC0</v>
      </c>
      <c r="T23" s="1">
        <f t="shared" si="24"/>
        <v>1.7</v>
      </c>
      <c r="V23" s="1">
        <v>10</v>
      </c>
      <c r="W23" s="1">
        <v>0.03</v>
      </c>
    </row>
    <row r="24" spans="1:23" s="3" customFormat="1" ht="19" customHeight="1">
      <c r="A24" s="3" t="str">
        <f t="shared" si="0"/>
        <v>Power-Buildings</v>
      </c>
      <c r="B24" s="3" t="s">
        <v>4</v>
      </c>
      <c r="C24" s="3" t="s">
        <v>14</v>
      </c>
      <c r="D24" s="3">
        <f>_xlfn.IFNA(VLOOKUP(A24,line_prep!A:D,4,0),0)</f>
        <v>21.225511600000001</v>
      </c>
      <c r="E24" s="3">
        <f t="shared" si="1"/>
        <v>21.225511600000001</v>
      </c>
      <c r="F24" s="1">
        <f t="shared" si="2"/>
        <v>0</v>
      </c>
      <c r="G24" s="4">
        <f>VLOOKUP(B24,nodes!A:E,5,0)</f>
        <v>395</v>
      </c>
      <c r="H24" s="1">
        <f t="shared" ref="H24:H40" si="25">G24+50</f>
        <v>445</v>
      </c>
      <c r="I24" s="4">
        <f t="shared" si="12"/>
        <v>455.73826898329924</v>
      </c>
      <c r="J24" s="4">
        <f>VLOOKUP(C24,nodes!A:E,3,0)</f>
        <v>705</v>
      </c>
      <c r="K24" s="3" t="str">
        <f t="shared" si="4"/>
        <v>395,445,455.738268983299,705</v>
      </c>
      <c r="L24" s="1">
        <f>VLOOKUP(B24,nodes!A:G,7,0)</f>
        <v>300</v>
      </c>
      <c r="M24" s="3">
        <f t="shared" si="5"/>
        <v>300</v>
      </c>
      <c r="N24" s="6">
        <f>VLOOKUP(C24,nodes!A:G,7,0)</f>
        <v>278.52346203340153</v>
      </c>
      <c r="O24" s="3">
        <f t="shared" si="6"/>
        <v>278.52346203340153</v>
      </c>
      <c r="P24" s="3" t="str">
        <f t="shared" si="7"/>
        <v>300,300,278.523462033402,278.523462033402</v>
      </c>
      <c r="Q24" s="3" t="str">
        <f>VLOOKUP(B24,nodes!A:N,14,0)</f>
        <v>#ffabab</v>
      </c>
      <c r="R24" s="3">
        <f>J24-60</f>
        <v>645</v>
      </c>
      <c r="S24" s="3">
        <f>N24</f>
        <v>278.52346203340153</v>
      </c>
      <c r="T24" s="3">
        <f t="shared" si="24"/>
        <v>21.2</v>
      </c>
      <c r="V24" s="3">
        <v>10</v>
      </c>
      <c r="W24" s="3">
        <v>0.03</v>
      </c>
    </row>
    <row r="25" spans="1:23" s="1" customFormat="1" ht="19" customHeight="1">
      <c r="A25" s="1" t="str">
        <f t="shared" si="0"/>
        <v>Biomass products-Buildings</v>
      </c>
      <c r="B25" s="1" t="s">
        <v>22</v>
      </c>
      <c r="C25" s="1" t="s">
        <v>14</v>
      </c>
      <c r="D25" s="1">
        <f>_xlfn.IFNA(VLOOKUP(A25,line_prep!A:D,4,0),0)</f>
        <v>0</v>
      </c>
      <c r="E25" s="1">
        <f t="shared" si="1"/>
        <v>0</v>
      </c>
      <c r="F25" s="1">
        <f t="shared" si="2"/>
        <v>0</v>
      </c>
      <c r="G25" s="4">
        <f>VLOOKUP(B25,nodes!A:E,5,0)</f>
        <v>520</v>
      </c>
      <c r="H25" s="1">
        <f t="shared" si="25"/>
        <v>570</v>
      </c>
      <c r="I25" s="4">
        <f t="shared" si="12"/>
        <v>632.82559894084807</v>
      </c>
      <c r="J25" s="4">
        <f>VLOOKUP(C25,nodes!A:E,3,0)</f>
        <v>705</v>
      </c>
      <c r="K25" s="1" t="str">
        <f t="shared" si="4"/>
        <v>520,570,632.825598940848,705</v>
      </c>
      <c r="L25" s="1">
        <f>VLOOKUP(B25,nodes!A:G,7,0)</f>
        <v>152.87226415170534</v>
      </c>
      <c r="M25" s="1">
        <f t="shared" si="5"/>
        <v>152.87226415170534</v>
      </c>
      <c r="N25" s="6">
        <f>VLOOKUP(C25,nodes!A:G,7,0)</f>
        <v>278.52346203340153</v>
      </c>
      <c r="O25" s="1">
        <f t="shared" si="6"/>
        <v>278.52346203340153</v>
      </c>
      <c r="P25" s="1" t="str">
        <f t="shared" si="7"/>
        <v>152.872264151705,152.872264151705,278.523462033402,278.523462033402</v>
      </c>
      <c r="Q25" s="1" t="str">
        <f>VLOOKUP(B25,nodes!A:N,14,0)</f>
        <v>#2ca02c</v>
      </c>
      <c r="T25" s="1" t="str">
        <f t="shared" si="24"/>
        <v/>
      </c>
      <c r="V25" s="1">
        <v>10</v>
      </c>
      <c r="W25" s="1">
        <v>0.03</v>
      </c>
    </row>
    <row r="26" spans="1:23" s="1" customFormat="1" ht="19" customHeight="1">
      <c r="A26" s="1" t="str">
        <f t="shared" si="0"/>
        <v>Heat-Buildings</v>
      </c>
      <c r="B26" s="1" t="s">
        <v>17</v>
      </c>
      <c r="C26" s="1" t="s">
        <v>14</v>
      </c>
      <c r="D26" s="1">
        <f>_xlfn.IFNA(VLOOKUP(A26,line_prep!A:D,4,0),0)</f>
        <v>1.4772188397164301</v>
      </c>
      <c r="E26" s="1">
        <f t="shared" si="1"/>
        <v>1.4772188397164301</v>
      </c>
      <c r="F26" s="1">
        <f t="shared" si="2"/>
        <v>0</v>
      </c>
      <c r="G26" s="4">
        <f>VLOOKUP(B26,nodes!A:E,5,0)</f>
        <v>520</v>
      </c>
      <c r="H26" s="1">
        <f t="shared" si="25"/>
        <v>570</v>
      </c>
      <c r="I26" s="4">
        <f t="shared" si="12"/>
        <v>638.75153136316749</v>
      </c>
      <c r="J26" s="4">
        <f>VLOOKUP(C26,nodes!A:E,3,0)</f>
        <v>705</v>
      </c>
      <c r="K26" s="1" t="str">
        <f t="shared" si="4"/>
        <v>520,570,638.751531363167,705</v>
      </c>
      <c r="L26" s="1">
        <f>VLOOKUP(B26,nodes!A:G,7,0)</f>
        <v>141.02039930706661</v>
      </c>
      <c r="M26" s="1">
        <f t="shared" si="5"/>
        <v>141.02039930706661</v>
      </c>
      <c r="N26" s="6">
        <f>VLOOKUP(C26,nodes!A:G,7,0)</f>
        <v>278.52346203340153</v>
      </c>
      <c r="O26" s="1">
        <f t="shared" si="6"/>
        <v>278.52346203340153</v>
      </c>
      <c r="P26" s="1" t="str">
        <f t="shared" si="7"/>
        <v>141.020399307067,141.020399307067,278.523462033402,278.523462033402</v>
      </c>
      <c r="Q26" s="1" t="str">
        <f>VLOOKUP(B26,nodes!A:N,14,0)</f>
        <v>#FF6692</v>
      </c>
      <c r="R26" s="1">
        <f t="shared" ref="R26:R29" si="26">I26+8</f>
        <v>646.75153136316749</v>
      </c>
      <c r="S26" s="1">
        <f>N26-8</f>
        <v>270.52346203340153</v>
      </c>
      <c r="T26" s="1">
        <f t="shared" si="24"/>
        <v>1.5</v>
      </c>
      <c r="U26" s="1" t="str">
        <f t="shared" ref="U26:U29" si="27">Q26</f>
        <v>#FF6692</v>
      </c>
      <c r="V26" s="1">
        <v>10</v>
      </c>
      <c r="W26" s="1">
        <v>0.03</v>
      </c>
    </row>
    <row r="27" spans="1:23" s="1" customFormat="1" ht="19" customHeight="1">
      <c r="A27" s="1" t="str">
        <f t="shared" si="0"/>
        <v>Gas products-Buildings</v>
      </c>
      <c r="B27" s="1" t="s">
        <v>21</v>
      </c>
      <c r="C27" s="1" t="s">
        <v>14</v>
      </c>
      <c r="D27" s="1">
        <f>_xlfn.IFNA(VLOOKUP(A27,line_prep!A:D,4,0),0)</f>
        <v>2.8129945590643799</v>
      </c>
      <c r="E27" s="1">
        <f t="shared" si="1"/>
        <v>2.8129945590643799</v>
      </c>
      <c r="F27" s="1">
        <f t="shared" si="2"/>
        <v>0</v>
      </c>
      <c r="G27" s="4">
        <f>VLOOKUP(B27,nodes!A:E,5,0)</f>
        <v>520</v>
      </c>
      <c r="H27" s="1">
        <f t="shared" si="25"/>
        <v>570</v>
      </c>
      <c r="I27" s="4">
        <f t="shared" si="12"/>
        <v>643.12656823281259</v>
      </c>
      <c r="J27" s="4">
        <f>VLOOKUP(C27,nodes!A:E,3,0)</f>
        <v>705</v>
      </c>
      <c r="K27" s="1" t="str">
        <f t="shared" si="4"/>
        <v>520,570,643.126568232813,705</v>
      </c>
      <c r="L27" s="1">
        <f>VLOOKUP(B27,nodes!A:G,7,0)</f>
        <v>132.27032556777638</v>
      </c>
      <c r="M27" s="1">
        <f t="shared" si="5"/>
        <v>132.27032556777638</v>
      </c>
      <c r="N27" s="6">
        <f>VLOOKUP(C27,nodes!A:G,7,0)</f>
        <v>278.52346203340153</v>
      </c>
      <c r="O27" s="1">
        <f t="shared" si="6"/>
        <v>278.52346203340153</v>
      </c>
      <c r="P27" s="1" t="str">
        <f t="shared" si="7"/>
        <v>132.270325567776,132.270325567776,278.523462033402,278.523462033402</v>
      </c>
      <c r="Q27" s="1" t="str">
        <f>VLOOKUP(B27,nodes!A:N,14,0)</f>
        <v>#83c9ff</v>
      </c>
      <c r="R27" s="1">
        <f t="shared" si="26"/>
        <v>651.12656823281259</v>
      </c>
      <c r="S27" s="1">
        <f>N27-8</f>
        <v>270.52346203340153</v>
      </c>
      <c r="T27" s="1">
        <f t="shared" si="24"/>
        <v>2.8</v>
      </c>
      <c r="U27" s="1" t="str">
        <f t="shared" si="27"/>
        <v>#83c9ff</v>
      </c>
      <c r="V27" s="1">
        <v>10</v>
      </c>
      <c r="W27" s="1">
        <v>0.03</v>
      </c>
    </row>
    <row r="28" spans="1:23" s="1" customFormat="1" ht="19" customHeight="1">
      <c r="A28" s="1" t="str">
        <f t="shared" si="0"/>
        <v>Coal products-Buildings</v>
      </c>
      <c r="B28" s="1" t="s">
        <v>19</v>
      </c>
      <c r="C28" s="1" t="s">
        <v>14</v>
      </c>
      <c r="D28" s="1">
        <f>_xlfn.IFNA(VLOOKUP(A28,line_prep!A:D,4,0),0)</f>
        <v>1.07598225063452</v>
      </c>
      <c r="E28" s="1">
        <f t="shared" si="1"/>
        <v>1.07598225063452</v>
      </c>
      <c r="F28" s="1">
        <f t="shared" si="2"/>
        <v>0</v>
      </c>
      <c r="G28" s="4">
        <f>VLOOKUP(B28,nodes!A:E,5,0)</f>
        <v>520</v>
      </c>
      <c r="H28" s="1">
        <f t="shared" si="25"/>
        <v>570</v>
      </c>
      <c r="I28" s="4">
        <f t="shared" si="12"/>
        <v>649.5606542486338</v>
      </c>
      <c r="J28" s="4">
        <f>VLOOKUP(C28,nodes!A:E,3,0)</f>
        <v>705</v>
      </c>
      <c r="K28" s="1" t="str">
        <f t="shared" si="4"/>
        <v>520,570,649.560654248634,705</v>
      </c>
      <c r="L28" s="1">
        <f>VLOOKUP(B28,nodes!A:G,7,0)</f>
        <v>119.40215353613387</v>
      </c>
      <c r="M28" s="1">
        <f t="shared" si="5"/>
        <v>119.40215353613387</v>
      </c>
      <c r="N28" s="6">
        <f>VLOOKUP(C28,nodes!A:G,7,0)</f>
        <v>278.52346203340153</v>
      </c>
      <c r="O28" s="1">
        <f t="shared" si="6"/>
        <v>278.52346203340153</v>
      </c>
      <c r="P28" s="1" t="str">
        <f t="shared" si="7"/>
        <v>119.402153536134,119.402153536134,278.523462033402,278.523462033402</v>
      </c>
      <c r="Q28" s="1" t="str">
        <f>VLOOKUP(B28,nodes!A:N,14,0)</f>
        <v>#0068c9</v>
      </c>
      <c r="R28" s="1">
        <f t="shared" si="26"/>
        <v>657.5606542486338</v>
      </c>
      <c r="S28" s="1">
        <f>N28-8</f>
        <v>270.52346203340153</v>
      </c>
      <c r="T28" s="1">
        <f t="shared" si="24"/>
        <v>1.1000000000000001</v>
      </c>
      <c r="U28" s="1" t="str">
        <f t="shared" si="27"/>
        <v>#0068c9</v>
      </c>
      <c r="V28" s="1">
        <v>10</v>
      </c>
      <c r="W28" s="1">
        <v>0.03</v>
      </c>
    </row>
    <row r="29" spans="1:23" s="1" customFormat="1" ht="19" customHeight="1">
      <c r="A29" s="1" t="str">
        <f t="shared" si="0"/>
        <v>Oil products-Buildings</v>
      </c>
      <c r="B29" s="1" t="s">
        <v>20</v>
      </c>
      <c r="C29" s="1" t="s">
        <v>14</v>
      </c>
      <c r="D29" s="1">
        <f>_xlfn.IFNA(VLOOKUP(A29,line_prep!A:D,4,0),0)</f>
        <v>0.60795721075292897</v>
      </c>
      <c r="E29" s="1">
        <f t="shared" si="1"/>
        <v>1</v>
      </c>
      <c r="F29" s="1">
        <f t="shared" si="2"/>
        <v>0.39204278924707098</v>
      </c>
      <c r="G29" s="4">
        <f>VLOOKUP(B29,nodes!A:E,5,0)</f>
        <v>520</v>
      </c>
      <c r="H29" s="1">
        <f t="shared" si="25"/>
        <v>570</v>
      </c>
      <c r="I29" s="4">
        <f t="shared" si="12"/>
        <v>658.40452981330554</v>
      </c>
      <c r="J29" s="4">
        <f>VLOOKUP(C29,nodes!A:E,3,0)</f>
        <v>705</v>
      </c>
      <c r="K29" s="1" t="str">
        <f t="shared" si="4"/>
        <v>520,570,658.404529813306,705</v>
      </c>
      <c r="L29" s="1">
        <f>VLOOKUP(B29,nodes!A:G,7,0)</f>
        <v>101.71440240679037</v>
      </c>
      <c r="M29" s="1">
        <f t="shared" si="5"/>
        <v>101.71440240679037</v>
      </c>
      <c r="N29" s="6">
        <f>VLOOKUP(C29,nodes!A:G,7,0)</f>
        <v>278.52346203340153</v>
      </c>
      <c r="O29" s="1">
        <f t="shared" si="6"/>
        <v>278.52346203340153</v>
      </c>
      <c r="P29" s="1" t="str">
        <f t="shared" si="7"/>
        <v>101.71440240679,101.71440240679,278.523462033402,278.523462033402</v>
      </c>
      <c r="Q29" s="1" t="str">
        <f>VLOOKUP(B29,nodes!A:N,14,0)</f>
        <v>#4d95d9</v>
      </c>
      <c r="R29" s="1">
        <f t="shared" si="26"/>
        <v>666.40452981330554</v>
      </c>
      <c r="S29" s="1">
        <f>N29-8</f>
        <v>270.52346203340153</v>
      </c>
      <c r="T29" s="1">
        <v>0.6</v>
      </c>
      <c r="U29" s="1" t="str">
        <f t="shared" si="27"/>
        <v>#4d95d9</v>
      </c>
      <c r="V29" s="1">
        <v>10</v>
      </c>
      <c r="W29" s="1">
        <v>0.03</v>
      </c>
    </row>
    <row r="30" spans="1:23" s="3" customFormat="1" ht="19" customHeight="1">
      <c r="A30" s="3" t="str">
        <f t="shared" si="0"/>
        <v>Power-Industry</v>
      </c>
      <c r="B30" s="3" t="s">
        <v>4</v>
      </c>
      <c r="C30" s="3" t="s">
        <v>13</v>
      </c>
      <c r="D30" s="3">
        <f>_xlfn.IFNA(VLOOKUP(A30,line_prep!A:D,4,0),0)</f>
        <v>26.226040399999999</v>
      </c>
      <c r="E30" s="3">
        <f t="shared" si="1"/>
        <v>26.226040399999999</v>
      </c>
      <c r="F30" s="1">
        <f t="shared" si="2"/>
        <v>0</v>
      </c>
      <c r="G30" s="4">
        <f>VLOOKUP(B30,nodes!A:E,5,0)</f>
        <v>395</v>
      </c>
      <c r="H30" s="1">
        <f t="shared" si="25"/>
        <v>445</v>
      </c>
      <c r="I30" s="4">
        <f t="shared" si="12"/>
        <v>510.91203370818937</v>
      </c>
      <c r="J30" s="4">
        <f>VLOOKUP(C30,nodes!A:E,3,0)</f>
        <v>705</v>
      </c>
      <c r="K30" s="3" t="str">
        <f t="shared" si="4"/>
        <v>395,445,510.912033708189,705</v>
      </c>
      <c r="L30" s="1">
        <f>VLOOKUP(B30,nodes!A:G,7,0)</f>
        <v>300</v>
      </c>
      <c r="M30" s="3">
        <f t="shared" si="5"/>
        <v>300</v>
      </c>
      <c r="N30" s="6">
        <f>VLOOKUP(C30,nodes!A:G,7,0)</f>
        <v>168.17593258362132</v>
      </c>
      <c r="O30" s="3">
        <f t="shared" si="6"/>
        <v>168.17593258362132</v>
      </c>
      <c r="P30" s="3" t="str">
        <f t="shared" si="7"/>
        <v>300,300,168.175932583621,168.175932583621</v>
      </c>
      <c r="Q30" s="3" t="str">
        <f>VLOOKUP(B30,nodes!A:N,14,0)</f>
        <v>#ffabab</v>
      </c>
      <c r="R30" s="3">
        <f t="shared" ref="R30:R33" si="28">J30-60</f>
        <v>645</v>
      </c>
      <c r="S30" s="3">
        <f t="shared" ref="S30:S33" si="29">N30</f>
        <v>168.17593258362132</v>
      </c>
      <c r="T30" s="3">
        <f t="shared" ref="T30:T36" si="30">IF(D30=0,"",ROUND(D30,1))</f>
        <v>26.2</v>
      </c>
      <c r="V30" s="3">
        <v>10</v>
      </c>
      <c r="W30" s="3">
        <v>0.03</v>
      </c>
    </row>
    <row r="31" spans="1:23" s="1" customFormat="1" ht="19" customHeight="1">
      <c r="A31" s="1" t="str">
        <f t="shared" si="0"/>
        <v>Heat-Industry</v>
      </c>
      <c r="B31" s="1" t="s">
        <v>17</v>
      </c>
      <c r="C31" s="1" t="s">
        <v>13</v>
      </c>
      <c r="D31" s="1">
        <f>_xlfn.IFNA(VLOOKUP(A31,line_prep!A:D,4,0),0)</f>
        <v>6.1996197526243799</v>
      </c>
      <c r="E31" s="1">
        <f t="shared" si="1"/>
        <v>6.1996197526243799</v>
      </c>
      <c r="F31" s="1">
        <f t="shared" si="2"/>
        <v>0</v>
      </c>
      <c r="G31" s="4">
        <f>VLOOKUP(B31,nodes!A:E,5,0)</f>
        <v>520</v>
      </c>
      <c r="H31" s="1">
        <f t="shared" si="25"/>
        <v>570</v>
      </c>
      <c r="I31" s="4">
        <f t="shared" si="12"/>
        <v>583.57776663827735</v>
      </c>
      <c r="J31" s="4">
        <f>VLOOKUP(C31,nodes!A:E,3,0)</f>
        <v>705</v>
      </c>
      <c r="K31" s="1" t="str">
        <f t="shared" si="4"/>
        <v>520,570,583.577766638277,705</v>
      </c>
      <c r="L31" s="1">
        <f>VLOOKUP(B31,nodes!A:G,7,0)</f>
        <v>141.02039930706661</v>
      </c>
      <c r="M31" s="1">
        <f t="shared" si="5"/>
        <v>141.02039930706661</v>
      </c>
      <c r="N31" s="6">
        <f>VLOOKUP(C31,nodes!A:G,7,0)</f>
        <v>168.17593258362132</v>
      </c>
      <c r="O31" s="1">
        <f t="shared" si="6"/>
        <v>168.17593258362132</v>
      </c>
      <c r="P31" s="1" t="str">
        <f t="shared" si="7"/>
        <v>141.020399307067,141.020399307067,168.175932583621,168.175932583621</v>
      </c>
      <c r="Q31" s="1" t="str">
        <f>VLOOKUP(B31,nodes!A:N,14,0)</f>
        <v>#FF6692</v>
      </c>
      <c r="R31" s="1">
        <f t="shared" si="28"/>
        <v>645</v>
      </c>
      <c r="S31" s="1">
        <f t="shared" si="29"/>
        <v>168.17593258362132</v>
      </c>
      <c r="T31" s="1">
        <f t="shared" si="30"/>
        <v>6.2</v>
      </c>
      <c r="V31" s="1">
        <v>10</v>
      </c>
      <c r="W31" s="1">
        <v>0.03</v>
      </c>
    </row>
    <row r="32" spans="1:23" s="1" customFormat="1" ht="19" customHeight="1">
      <c r="A32" s="1" t="str">
        <f t="shared" si="0"/>
        <v>Gas products-Industry</v>
      </c>
      <c r="B32" s="1" t="s">
        <v>21</v>
      </c>
      <c r="C32" s="1" t="s">
        <v>13</v>
      </c>
      <c r="D32" s="1">
        <f>_xlfn.IFNA(VLOOKUP(A32,line_prep!A:D,4,0),0)</f>
        <v>6.6138787113793898</v>
      </c>
      <c r="E32" s="1">
        <f t="shared" si="1"/>
        <v>6.6138787113793898</v>
      </c>
      <c r="F32" s="1">
        <f t="shared" si="2"/>
        <v>0</v>
      </c>
      <c r="G32" s="4">
        <f>VLOOKUP(B32,nodes!A:E,5,0)</f>
        <v>520</v>
      </c>
      <c r="H32" s="1">
        <f t="shared" si="25"/>
        <v>570</v>
      </c>
      <c r="I32" s="4">
        <f t="shared" si="12"/>
        <v>587.95280350792245</v>
      </c>
      <c r="J32" s="4">
        <f>VLOOKUP(C32,nodes!A:E,3,0)</f>
        <v>705</v>
      </c>
      <c r="K32" s="1" t="str">
        <f t="shared" si="4"/>
        <v>520,570,587.952803507922,705</v>
      </c>
      <c r="L32" s="1">
        <f>VLOOKUP(B32,nodes!A:G,7,0)</f>
        <v>132.27032556777638</v>
      </c>
      <c r="M32" s="1">
        <f t="shared" si="5"/>
        <v>132.27032556777638</v>
      </c>
      <c r="N32" s="6">
        <f>VLOOKUP(C32,nodes!A:G,7,0)</f>
        <v>168.17593258362132</v>
      </c>
      <c r="O32" s="1">
        <f t="shared" si="6"/>
        <v>168.17593258362132</v>
      </c>
      <c r="P32" s="1" t="str">
        <f t="shared" si="7"/>
        <v>132.270325567776,132.270325567776,168.175932583621,168.175932583621</v>
      </c>
      <c r="Q32" s="1" t="str">
        <f>VLOOKUP(B32,nodes!A:N,14,0)</f>
        <v>#83c9ff</v>
      </c>
      <c r="R32" s="1">
        <f>J32-80</f>
        <v>625</v>
      </c>
      <c r="S32" s="1">
        <f t="shared" si="29"/>
        <v>168.17593258362132</v>
      </c>
      <c r="T32" s="1">
        <f t="shared" si="30"/>
        <v>6.6</v>
      </c>
      <c r="V32" s="1">
        <v>10</v>
      </c>
      <c r="W32" s="1">
        <v>0.03</v>
      </c>
    </row>
    <row r="33" spans="1:23" s="1" customFormat="1" ht="19" customHeight="1">
      <c r="A33" s="1" t="str">
        <f t="shared" si="0"/>
        <v>Coal products-Industry</v>
      </c>
      <c r="B33" s="1" t="s">
        <v>19</v>
      </c>
      <c r="C33" s="1" t="s">
        <v>13</v>
      </c>
      <c r="D33" s="1">
        <f>_xlfn.IFNA(VLOOKUP(A33,line_prep!A:D,4,0),0)</f>
        <v>14.8370529264109</v>
      </c>
      <c r="E33" s="1">
        <f t="shared" si="1"/>
        <v>14.8370529264109</v>
      </c>
      <c r="F33" s="1">
        <f t="shared" si="2"/>
        <v>0</v>
      </c>
      <c r="G33" s="4">
        <f>VLOOKUP(B33,nodes!A:E,5,0)</f>
        <v>520</v>
      </c>
      <c r="H33" s="1">
        <f t="shared" si="25"/>
        <v>570</v>
      </c>
      <c r="I33" s="4">
        <f t="shared" si="12"/>
        <v>594.38688952374378</v>
      </c>
      <c r="J33" s="4">
        <f>VLOOKUP(C33,nodes!A:E,3,0)</f>
        <v>705</v>
      </c>
      <c r="K33" s="1" t="str">
        <f t="shared" si="4"/>
        <v>520,570,594.386889523744,705</v>
      </c>
      <c r="L33" s="1">
        <f>VLOOKUP(B33,nodes!A:G,7,0)</f>
        <v>119.40215353613387</v>
      </c>
      <c r="M33" s="1">
        <f t="shared" si="5"/>
        <v>119.40215353613387</v>
      </c>
      <c r="N33" s="6">
        <f>VLOOKUP(C33,nodes!A:G,7,0)</f>
        <v>168.17593258362132</v>
      </c>
      <c r="O33" s="1">
        <f t="shared" si="6"/>
        <v>168.17593258362132</v>
      </c>
      <c r="P33" s="1" t="str">
        <f t="shared" si="7"/>
        <v>119.402153536134,119.402153536134,168.175932583621,168.175932583621</v>
      </c>
      <c r="Q33" s="1" t="str">
        <f>VLOOKUP(B33,nodes!A:N,14,0)</f>
        <v>#0068c9</v>
      </c>
      <c r="R33" s="1">
        <f t="shared" si="28"/>
        <v>645</v>
      </c>
      <c r="S33" s="1">
        <f t="shared" si="29"/>
        <v>168.17593258362132</v>
      </c>
      <c r="T33" s="1">
        <f t="shared" si="30"/>
        <v>14.8</v>
      </c>
      <c r="V33" s="1">
        <v>10</v>
      </c>
      <c r="W33" s="1">
        <v>0.03</v>
      </c>
    </row>
    <row r="34" spans="1:23" s="1" customFormat="1" ht="19" customHeight="1">
      <c r="A34" s="1" t="str">
        <f t="shared" si="0"/>
        <v>Oil products-Industry</v>
      </c>
      <c r="B34" s="1" t="s">
        <v>20</v>
      </c>
      <c r="C34" s="1" t="s">
        <v>13</v>
      </c>
      <c r="D34" s="1">
        <f>_xlfn.IFNA(VLOOKUP(A34,line_prep!A:D,4,0),0)</f>
        <v>5.1160024970053399</v>
      </c>
      <c r="E34" s="1">
        <f t="shared" si="1"/>
        <v>5.1160024970053399</v>
      </c>
      <c r="F34" s="1">
        <f t="shared" si="2"/>
        <v>0</v>
      </c>
      <c r="G34" s="4">
        <f>VLOOKUP(B34,nodes!A:E,5,0)</f>
        <v>520</v>
      </c>
      <c r="H34" s="1">
        <f t="shared" si="25"/>
        <v>570</v>
      </c>
      <c r="I34" s="4">
        <f t="shared" si="12"/>
        <v>603.23076508841552</v>
      </c>
      <c r="J34" s="4">
        <f>VLOOKUP(C34,nodes!A:E,3,0)</f>
        <v>705</v>
      </c>
      <c r="K34" s="1" t="str">
        <f t="shared" si="4"/>
        <v>520,570,603.230765088416,705</v>
      </c>
      <c r="L34" s="1">
        <f>VLOOKUP(B34,nodes!A:G,7,0)</f>
        <v>101.71440240679037</v>
      </c>
      <c r="M34" s="1">
        <f t="shared" si="5"/>
        <v>101.71440240679037</v>
      </c>
      <c r="N34" s="6">
        <f>VLOOKUP(C34,nodes!A:G,7,0)</f>
        <v>168.17593258362132</v>
      </c>
      <c r="O34" s="1">
        <f t="shared" si="6"/>
        <v>168.17593258362132</v>
      </c>
      <c r="P34" s="1" t="str">
        <f t="shared" si="7"/>
        <v>101.71440240679,101.71440240679,168.175932583621,168.175932583621</v>
      </c>
      <c r="Q34" s="1" t="str">
        <f>VLOOKUP(B34,nodes!A:N,14,0)</f>
        <v>#4d95d9</v>
      </c>
      <c r="R34" s="1">
        <f>I34+8</f>
        <v>611.23076508841552</v>
      </c>
      <c r="S34" s="1">
        <f>N34-8</f>
        <v>160.17593258362132</v>
      </c>
      <c r="T34" s="1">
        <f t="shared" si="30"/>
        <v>5.0999999999999996</v>
      </c>
      <c r="U34" s="1" t="str">
        <f t="shared" ref="U34:U36" si="31">Q34</f>
        <v>#4d95d9</v>
      </c>
      <c r="V34" s="1">
        <v>10</v>
      </c>
      <c r="W34" s="1">
        <v>0.03</v>
      </c>
    </row>
    <row r="35" spans="1:23" s="1" customFormat="1" ht="19" customHeight="1">
      <c r="A35" s="1" t="str">
        <f t="shared" si="0"/>
        <v>Hydrogen-Industry</v>
      </c>
      <c r="B35" s="1" t="s">
        <v>18</v>
      </c>
      <c r="C35" s="1" t="s">
        <v>13</v>
      </c>
      <c r="D35" s="1">
        <f>_xlfn.IFNA(VLOOKUP(A35,line_prep!A:D,4,0),0)</f>
        <v>0.93778051878530999</v>
      </c>
      <c r="E35" s="1">
        <f t="shared" si="1"/>
        <v>1</v>
      </c>
      <c r="F35" s="1">
        <f t="shared" si="2"/>
        <v>6.2219481214690002E-2</v>
      </c>
      <c r="G35" s="4">
        <f>VLOOKUP(B35,nodes!A:E,5,0)</f>
        <v>520</v>
      </c>
      <c r="H35" s="1">
        <f t="shared" si="25"/>
        <v>570</v>
      </c>
      <c r="I35" s="4">
        <f t="shared" si="12"/>
        <v>612.52718464180907</v>
      </c>
      <c r="J35" s="4">
        <f>VLOOKUP(C35,nodes!A:E,3,0)</f>
        <v>705</v>
      </c>
      <c r="K35" s="1" t="str">
        <f t="shared" si="4"/>
        <v>520,570,612.527184641809,705</v>
      </c>
      <c r="L35" s="1">
        <f>VLOOKUP(B35,nodes!A:G,7,0)</f>
        <v>83.121563300003288</v>
      </c>
      <c r="M35" s="1">
        <f t="shared" si="5"/>
        <v>83.121563300003288</v>
      </c>
      <c r="N35" s="6">
        <f>VLOOKUP(C35,nodes!A:G,7,0)</f>
        <v>168.17593258362132</v>
      </c>
      <c r="O35" s="1">
        <f t="shared" si="6"/>
        <v>168.17593258362132</v>
      </c>
      <c r="P35" s="1" t="str">
        <f t="shared" si="7"/>
        <v>83.1215633000033,83.1215633000033,168.175932583621,168.175932583621</v>
      </c>
      <c r="Q35" s="1" t="str">
        <f>VLOOKUP(B35,nodes!A:N,14,0)</f>
        <v>#6D3FC0</v>
      </c>
      <c r="R35" s="1">
        <f>I35+8</f>
        <v>620.52718464180907</v>
      </c>
      <c r="S35" s="1">
        <f>N35-8</f>
        <v>160.17593258362132</v>
      </c>
      <c r="T35" s="1">
        <f t="shared" si="30"/>
        <v>0.9</v>
      </c>
      <c r="U35" s="1" t="str">
        <f t="shared" si="31"/>
        <v>#6D3FC0</v>
      </c>
      <c r="V35" s="1">
        <v>10</v>
      </c>
      <c r="W35" s="1">
        <v>0.03</v>
      </c>
    </row>
    <row r="36" spans="1:23" s="3" customFormat="1" ht="19" customHeight="1">
      <c r="A36" s="3" t="str">
        <f t="shared" si="0"/>
        <v>Power-Transportation</v>
      </c>
      <c r="B36" s="3" t="s">
        <v>4</v>
      </c>
      <c r="C36" s="3" t="s">
        <v>15</v>
      </c>
      <c r="D36" s="3">
        <f>_xlfn.IFNA(VLOOKUP(A36,line_prep!A:D,4,0),0)</f>
        <v>3.0532299699999998</v>
      </c>
      <c r="E36" s="3">
        <f t="shared" si="1"/>
        <v>3.0532299699999998</v>
      </c>
      <c r="F36" s="1">
        <f t="shared" si="2"/>
        <v>0</v>
      </c>
      <c r="G36" s="4">
        <f>VLOOKUP(B36,nodes!A:E,5,0)</f>
        <v>395</v>
      </c>
      <c r="H36" s="1">
        <f t="shared" si="25"/>
        <v>445</v>
      </c>
      <c r="I36" s="4">
        <f t="shared" si="12"/>
        <v>562.63466276595352</v>
      </c>
      <c r="J36" s="4">
        <f>VLOOKUP(C36,nodes!A:E,3,0)</f>
        <v>705</v>
      </c>
      <c r="K36" s="3" t="str">
        <f t="shared" si="4"/>
        <v>395,445,562.634662765954,705</v>
      </c>
      <c r="L36" s="1">
        <f>VLOOKUP(B36,nodes!A:G,7,0)</f>
        <v>300</v>
      </c>
      <c r="M36" s="3">
        <f t="shared" si="5"/>
        <v>300</v>
      </c>
      <c r="N36" s="6">
        <f>VLOOKUP(C36,nodes!A:G,7,0)</f>
        <v>64.730674468092928</v>
      </c>
      <c r="O36" s="3">
        <f t="shared" si="6"/>
        <v>64.730674468092928</v>
      </c>
      <c r="P36" s="3" t="str">
        <f t="shared" si="7"/>
        <v>300,300,64.7306744680929,64.7306744680929</v>
      </c>
      <c r="Q36" s="3" t="str">
        <f>VLOOKUP(B36,nodes!A:N,14,0)</f>
        <v>#ffabab</v>
      </c>
      <c r="R36" s="3">
        <f>J36-60</f>
        <v>645</v>
      </c>
      <c r="S36" s="3">
        <f>N36+8</f>
        <v>72.730674468092928</v>
      </c>
      <c r="T36" s="3">
        <f t="shared" si="30"/>
        <v>3.1</v>
      </c>
      <c r="U36" s="3" t="str">
        <f t="shared" si="31"/>
        <v>#ffabab</v>
      </c>
      <c r="V36" s="3">
        <v>10</v>
      </c>
      <c r="W36" s="3">
        <v>0.03</v>
      </c>
    </row>
    <row r="37" spans="1:23" s="3" customFormat="1" ht="19" customHeight="1">
      <c r="A37" s="3" t="str">
        <f t="shared" si="0"/>
        <v>Biomass products-Transportation</v>
      </c>
      <c r="B37" s="3" t="s">
        <v>22</v>
      </c>
      <c r="C37" s="3" t="s">
        <v>15</v>
      </c>
      <c r="D37" s="3">
        <f>_xlfn.IFNA(VLOOKUP(A37,line_prep!A:D,4,0),0)</f>
        <v>2.6891096936660499E-2</v>
      </c>
      <c r="E37" s="3">
        <f t="shared" si="1"/>
        <v>1</v>
      </c>
      <c r="F37" s="1">
        <f t="shared" si="2"/>
        <v>0.97310890306333997</v>
      </c>
      <c r="G37" s="4">
        <f>VLOOKUP(B37,nodes!A:E,5,0)</f>
        <v>520</v>
      </c>
      <c r="H37" s="1">
        <f t="shared" si="25"/>
        <v>570</v>
      </c>
      <c r="I37" s="4">
        <f t="shared" si="12"/>
        <v>614.07079484180622</v>
      </c>
      <c r="J37" s="4">
        <f>VLOOKUP(C37,nodes!A:E,3,0)</f>
        <v>705</v>
      </c>
      <c r="K37" s="3" t="str">
        <f t="shared" si="4"/>
        <v>520,570,614.070794841806,705</v>
      </c>
      <c r="L37" s="1">
        <f>VLOOKUP(B37,nodes!A:G,7,0)</f>
        <v>152.87226415170534</v>
      </c>
      <c r="M37" s="3">
        <f t="shared" si="5"/>
        <v>152.87226415170534</v>
      </c>
      <c r="N37" s="6">
        <f>VLOOKUP(C37,nodes!A:G,7,0)</f>
        <v>64.730674468092928</v>
      </c>
      <c r="O37" s="3">
        <f t="shared" si="6"/>
        <v>64.730674468092928</v>
      </c>
      <c r="P37" s="3" t="str">
        <f t="shared" si="7"/>
        <v>152.872264151705,152.872264151705,64.7306744680929,64.7306744680929</v>
      </c>
      <c r="Q37" s="3" t="str">
        <f>VLOOKUP(B37,nodes!A:N,14,0)</f>
        <v>#2ca02c</v>
      </c>
      <c r="T37" s="3">
        <v>0.03</v>
      </c>
      <c r="V37" s="3">
        <v>10</v>
      </c>
      <c r="W37" s="3">
        <v>0.03</v>
      </c>
    </row>
    <row r="38" spans="1:23" s="1" customFormat="1" ht="19" customHeight="1">
      <c r="A38" s="1" t="str">
        <f t="shared" si="0"/>
        <v>Gas products-Transportation</v>
      </c>
      <c r="B38" s="1" t="s">
        <v>21</v>
      </c>
      <c r="C38" s="1" t="s">
        <v>15</v>
      </c>
      <c r="D38" s="1">
        <f>_xlfn.IFNA(VLOOKUP(A38,line_prep!A:D,4,0),0)</f>
        <v>0.392576960531966</v>
      </c>
      <c r="E38" s="1">
        <f t="shared" si="1"/>
        <v>1</v>
      </c>
      <c r="F38" s="1">
        <f t="shared" si="2"/>
        <v>0.607423039468034</v>
      </c>
      <c r="G38" s="4">
        <f>VLOOKUP(B38,nodes!A:E,5,0)</f>
        <v>520</v>
      </c>
      <c r="H38" s="1">
        <f t="shared" si="25"/>
        <v>570</v>
      </c>
      <c r="I38" s="4">
        <f t="shared" si="12"/>
        <v>603.7698255498417</v>
      </c>
      <c r="J38" s="4">
        <f>VLOOKUP(C38,nodes!A:E,3,0)</f>
        <v>705</v>
      </c>
      <c r="K38" s="1" t="str">
        <f t="shared" si="4"/>
        <v>520,570,603.769825549842,705</v>
      </c>
      <c r="L38" s="1">
        <f>VLOOKUP(B38,nodes!A:G,7,0)</f>
        <v>132.27032556777638</v>
      </c>
      <c r="M38" s="1">
        <f t="shared" si="5"/>
        <v>132.27032556777638</v>
      </c>
      <c r="N38" s="6">
        <f>VLOOKUP(C38,nodes!A:G,7,0)</f>
        <v>64.730674468092928</v>
      </c>
      <c r="O38" s="1">
        <f t="shared" si="6"/>
        <v>64.730674468092928</v>
      </c>
      <c r="P38" s="1" t="str">
        <f t="shared" si="7"/>
        <v>132.270325567776,132.270325567776,64.7306744680929,64.7306744680929</v>
      </c>
      <c r="Q38" s="1" t="str">
        <f>VLOOKUP(B38,nodes!A:N,14,0)</f>
        <v>#83c9ff</v>
      </c>
      <c r="R38" s="1">
        <f>I38-5</f>
        <v>598.7698255498417</v>
      </c>
      <c r="S38" s="1">
        <f>N38+8</f>
        <v>72.730674468092928</v>
      </c>
      <c r="T38" s="1">
        <v>0.4</v>
      </c>
      <c r="U38" s="1" t="str">
        <f>Q38</f>
        <v>#83c9ff</v>
      </c>
      <c r="V38" s="1">
        <v>10</v>
      </c>
      <c r="W38" s="1">
        <v>0.03</v>
      </c>
    </row>
    <row r="39" spans="1:23" s="1" customFormat="1" ht="19" customHeight="1">
      <c r="A39" s="1" t="str">
        <f t="shared" si="0"/>
        <v>Oil products-Transportation</v>
      </c>
      <c r="B39" s="1" t="s">
        <v>20</v>
      </c>
      <c r="C39" s="1" t="s">
        <v>15</v>
      </c>
      <c r="D39" s="1">
        <f>_xlfn.IFNA(VLOOKUP(A39,line_prep!A:D,4,0),0)</f>
        <v>13.7385073738833</v>
      </c>
      <c r="E39" s="1">
        <f t="shared" si="1"/>
        <v>13.7385073738833</v>
      </c>
      <c r="F39" s="1">
        <f t="shared" si="2"/>
        <v>0</v>
      </c>
      <c r="G39" s="4">
        <f>VLOOKUP(B39,nodes!A:E,5,0)</f>
        <v>520</v>
      </c>
      <c r="H39" s="1">
        <f t="shared" si="25"/>
        <v>570</v>
      </c>
      <c r="I39" s="4">
        <f t="shared" si="12"/>
        <v>588.49186396934874</v>
      </c>
      <c r="J39" s="4">
        <f>VLOOKUP(C39,nodes!A:E,3,0)</f>
        <v>705</v>
      </c>
      <c r="K39" s="1" t="str">
        <f t="shared" si="4"/>
        <v>520,570,588.491863969349,705</v>
      </c>
      <c r="L39" s="1">
        <f>VLOOKUP(B39,nodes!A:G,7,0)</f>
        <v>101.71440240679037</v>
      </c>
      <c r="M39" s="1">
        <f t="shared" si="5"/>
        <v>101.71440240679037</v>
      </c>
      <c r="N39" s="6">
        <f>VLOOKUP(C39,nodes!A:G,7,0)</f>
        <v>64.730674468092928</v>
      </c>
      <c r="O39" s="1">
        <f t="shared" si="6"/>
        <v>64.730674468092928</v>
      </c>
      <c r="P39" s="1" t="str">
        <f t="shared" si="7"/>
        <v>101.71440240679,101.71440240679,64.7306744680929,64.7306744680929</v>
      </c>
      <c r="Q39" s="1" t="str">
        <f>VLOOKUP(B39,nodes!A:N,14,0)</f>
        <v>#4d95d9</v>
      </c>
      <c r="R39" s="1">
        <f>J39-60</f>
        <v>645</v>
      </c>
      <c r="S39" s="1">
        <f>N39</f>
        <v>64.730674468092928</v>
      </c>
      <c r="T39" s="1">
        <f>IF(D39=0,"",ROUND(D39,1))</f>
        <v>13.7</v>
      </c>
      <c r="V39" s="1">
        <v>10</v>
      </c>
      <c r="W39" s="1">
        <v>0.03</v>
      </c>
    </row>
    <row r="40" spans="1:23" s="1" customFormat="1" ht="19" customHeight="1">
      <c r="A40" s="1" t="str">
        <f t="shared" si="0"/>
        <v>Hydrogen-Transportation</v>
      </c>
      <c r="B40" s="1" t="s">
        <v>18</v>
      </c>
      <c r="C40" s="1" t="s">
        <v>15</v>
      </c>
      <c r="D40" s="1">
        <f>_xlfn.IFNA(VLOOKUP(A40,line_prep!A:D,4,0),0)</f>
        <v>0.78543061314727902</v>
      </c>
      <c r="E40" s="1">
        <f t="shared" si="1"/>
        <v>1</v>
      </c>
      <c r="F40" s="1">
        <f t="shared" si="2"/>
        <v>0.21456938685272101</v>
      </c>
      <c r="G40" s="4">
        <f>VLOOKUP(B40,nodes!A:E,5,0)</f>
        <v>520</v>
      </c>
      <c r="H40" s="1">
        <f t="shared" si="25"/>
        <v>570</v>
      </c>
      <c r="I40" s="4">
        <f t="shared" si="12"/>
        <v>579.19544441595519</v>
      </c>
      <c r="J40" s="4">
        <f>VLOOKUP(C40,nodes!A:E,3,0)</f>
        <v>705</v>
      </c>
      <c r="K40" s="1" t="str">
        <f t="shared" si="4"/>
        <v>520,570,579.195444415955,705</v>
      </c>
      <c r="L40" s="1">
        <f>VLOOKUP(B40,nodes!A:G,7,0)</f>
        <v>83.121563300003288</v>
      </c>
      <c r="M40" s="1">
        <f t="shared" si="5"/>
        <v>83.121563300003288</v>
      </c>
      <c r="N40" s="6">
        <f>VLOOKUP(C40,nodes!A:G,7,0)</f>
        <v>64.730674468092928</v>
      </c>
      <c r="O40" s="1">
        <f t="shared" si="6"/>
        <v>64.730674468092928</v>
      </c>
      <c r="P40" s="1" t="str">
        <f t="shared" si="7"/>
        <v>83.1215633000033,83.1215633000033,64.7306744680929,64.7306744680929</v>
      </c>
      <c r="Q40" s="1" t="str">
        <f>VLOOKUP(B40,nodes!A:N,14,0)</f>
        <v>#6D3FC0</v>
      </c>
      <c r="R40" s="1">
        <f>I40+5</f>
        <v>584.19544441595519</v>
      </c>
      <c r="S40" s="1">
        <f>N40-8</f>
        <v>56.730674468092928</v>
      </c>
      <c r="T40" s="1">
        <v>0.8</v>
      </c>
      <c r="U40" s="1" t="str">
        <f>Q40</f>
        <v>#6D3FC0</v>
      </c>
      <c r="V40" s="1">
        <v>10</v>
      </c>
      <c r="W40" s="1">
        <v>0.03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source_data</vt:lpstr>
      <vt:lpstr>line_prep</vt:lpstr>
      <vt:lpstr>node_prep</vt:lpstr>
      <vt:lpstr>line_to_other</vt:lpstr>
      <vt:lpstr>line_to_power</vt:lpstr>
      <vt:lpstr>line_from_other</vt:lpstr>
      <vt:lpstr>line_to_final</vt:lpstr>
      <vt:lpstr>nodes</vt:lpstr>
      <vt:lpstr>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Xu</dc:creator>
  <cp:lastModifiedBy>Wenxin Xu</cp:lastModifiedBy>
  <dcterms:created xsi:type="dcterms:W3CDTF">2025-09-14T20:44:00Z</dcterms:created>
  <dcterms:modified xsi:type="dcterms:W3CDTF">2025-09-21T02:27:23Z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1033-6.11.0.8885</vt:lpwstr>
  </property>
  <property fmtid="{D5CDD505-2E9C-101B-9397-08002B2CF9AE}" pid="3" name="ICV">
    <vt:lpwstr>0BF67ED5647E9B151FFFC768303207F8_43</vt:lpwstr>
  </property>
</Properties>
</file>