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Club House\"/>
    </mc:Choice>
  </mc:AlternateContent>
  <xr:revisionPtr revIDLastSave="0" documentId="13_ncr:1_{EB47C6BF-0186-47D7-8BB2-D129EE474755}" xr6:coauthVersionLast="43" xr6:coauthVersionMax="43" xr10:uidLastSave="{00000000-0000-0000-0000-000000000000}"/>
  <bookViews>
    <workbookView xWindow="-120" yWindow="-120" windowWidth="29040" windowHeight="15840" tabRatio="601" xr2:uid="{00000000-000D-0000-FFFF-FFFF00000000}"/>
  </bookViews>
  <sheets>
    <sheet name="S-Curve" sheetId="6" r:id="rId1"/>
    <sheet name="Sheet2" sheetId="9" r:id="rId2"/>
  </sheets>
  <externalReferences>
    <externalReference r:id="rId3"/>
  </externalReferences>
  <definedNames>
    <definedName name="_xlnm._FilterDatabase" localSheetId="0" hidden="1">'S-Curve'!$A$10:$BO$165</definedName>
    <definedName name="_xlnm.Print_Area" localSheetId="0">'S-Curve'!$D$2:$BH$182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6" l="1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BA167" i="6"/>
  <c r="BB167" i="6"/>
  <c r="BC167" i="6"/>
  <c r="BD167" i="6"/>
  <c r="BE167" i="6"/>
  <c r="BF167" i="6"/>
  <c r="BG167" i="6"/>
  <c r="BH167" i="6"/>
  <c r="AJ167" i="6"/>
  <c r="AW162" i="6"/>
  <c r="AX162" i="6"/>
  <c r="AV162" i="6"/>
  <c r="AJ162" i="6"/>
  <c r="AK162" i="6"/>
  <c r="AL162" i="6"/>
  <c r="AM162" i="6"/>
  <c r="AN162" i="6"/>
  <c r="AO162" i="6"/>
  <c r="AP162" i="6"/>
  <c r="AQ162" i="6"/>
  <c r="AR162" i="6"/>
  <c r="AS162" i="6"/>
  <c r="BN165" i="6"/>
  <c r="BN164" i="6"/>
  <c r="BN163" i="6"/>
  <c r="BN161" i="6"/>
  <c r="BN159" i="6"/>
  <c r="BN157" i="6"/>
  <c r="BN155" i="6"/>
  <c r="BN154" i="6"/>
  <c r="BN153" i="6"/>
  <c r="BN151" i="6"/>
  <c r="BN149" i="6"/>
  <c r="BN147" i="6"/>
  <c r="BN145" i="6"/>
  <c r="BN143" i="6"/>
  <c r="BN141" i="6"/>
  <c r="BN139" i="6"/>
  <c r="BN137" i="6"/>
  <c r="BN135" i="6"/>
  <c r="BN134" i="6"/>
  <c r="BN132" i="6"/>
  <c r="BN130" i="6"/>
  <c r="BN128" i="6"/>
  <c r="BN126" i="6"/>
  <c r="BN124" i="6"/>
  <c r="BN122" i="6"/>
  <c r="BN120" i="6"/>
  <c r="BN118" i="6"/>
  <c r="BN116" i="6"/>
  <c r="BN115" i="6"/>
  <c r="BN113" i="6"/>
  <c r="BN111" i="6"/>
  <c r="BN110" i="6"/>
  <c r="BN109" i="6"/>
  <c r="BN107" i="6"/>
  <c r="BN105" i="6"/>
  <c r="BN103" i="6"/>
  <c r="BN101" i="6"/>
  <c r="BN99" i="6"/>
  <c r="BN97" i="6"/>
  <c r="BN95" i="6"/>
  <c r="BN93" i="6"/>
  <c r="BN91" i="6"/>
  <c r="BN90" i="6"/>
  <c r="BN88" i="6"/>
  <c r="BN86" i="6"/>
  <c r="BN84" i="6"/>
  <c r="BN82" i="6"/>
  <c r="BN80" i="6"/>
  <c r="BN78" i="6"/>
  <c r="BN76" i="6"/>
  <c r="BN74" i="6"/>
  <c r="BN72" i="6"/>
  <c r="BN71" i="6"/>
  <c r="BN69" i="6"/>
  <c r="BN67" i="6"/>
  <c r="BN65" i="6"/>
  <c r="BN64" i="6"/>
  <c r="BN62" i="6"/>
  <c r="BN60" i="6"/>
  <c r="BN58" i="6"/>
  <c r="BN56" i="6"/>
  <c r="BN54" i="6"/>
  <c r="BN53" i="6"/>
  <c r="BN51" i="6"/>
  <c r="BN49" i="6"/>
  <c r="BN48" i="6"/>
  <c r="BN47" i="6"/>
  <c r="BN45" i="6"/>
  <c r="BN43" i="6"/>
  <c r="BN41" i="6"/>
  <c r="BN39" i="6"/>
  <c r="BN38" i="6"/>
  <c r="BN36" i="6"/>
  <c r="BN34" i="6"/>
  <c r="BN32" i="6"/>
  <c r="BN30" i="6"/>
  <c r="BN28" i="6"/>
  <c r="BN26" i="6"/>
  <c r="BN25" i="6"/>
  <c r="BN24" i="6"/>
  <c r="BN21" i="6"/>
  <c r="BN19" i="6"/>
  <c r="BN18" i="6"/>
  <c r="BN17" i="6"/>
  <c r="BN15" i="6"/>
  <c r="BN13" i="6"/>
  <c r="F12" i="6" l="1"/>
  <c r="I159" i="6" l="1"/>
  <c r="I157" i="6"/>
  <c r="I163" i="6" l="1"/>
  <c r="G162" i="6"/>
  <c r="I161" i="6"/>
  <c r="G160" i="6"/>
  <c r="B160" i="6"/>
  <c r="G158" i="6"/>
  <c r="G156" i="6"/>
  <c r="B156" i="6"/>
  <c r="I153" i="6"/>
  <c r="G152" i="6"/>
  <c r="I151" i="6"/>
  <c r="G150" i="6"/>
  <c r="I149" i="6"/>
  <c r="G148" i="6"/>
  <c r="I147" i="6"/>
  <c r="G146" i="6"/>
  <c r="I145" i="6"/>
  <c r="G144" i="6"/>
  <c r="I143" i="6"/>
  <c r="G142" i="6"/>
  <c r="B142" i="6"/>
  <c r="I141" i="6"/>
  <c r="G140" i="6"/>
  <c r="I139" i="6"/>
  <c r="G138" i="6"/>
  <c r="I137" i="6"/>
  <c r="G136" i="6"/>
  <c r="B136" i="6"/>
  <c r="I134" i="6"/>
  <c r="G133" i="6"/>
  <c r="I132" i="6"/>
  <c r="G131" i="6"/>
  <c r="B131" i="6"/>
  <c r="I130" i="6"/>
  <c r="G129" i="6"/>
  <c r="B129" i="6"/>
  <c r="I128" i="6"/>
  <c r="G127" i="6"/>
  <c r="B127" i="6"/>
  <c r="I126" i="6"/>
  <c r="G125" i="6"/>
  <c r="I124" i="6"/>
  <c r="G123" i="6"/>
  <c r="B123" i="6"/>
  <c r="I122" i="6"/>
  <c r="G121" i="6"/>
  <c r="B121" i="6"/>
  <c r="BM119" i="6"/>
  <c r="BN119" i="6" s="1"/>
  <c r="B119" i="6"/>
  <c r="I118" i="6"/>
  <c r="G117" i="6"/>
  <c r="B117" i="6"/>
  <c r="I115" i="6"/>
  <c r="G114" i="6"/>
  <c r="I113" i="6"/>
  <c r="G112" i="6"/>
  <c r="B112" i="6"/>
  <c r="I109" i="6"/>
  <c r="G108" i="6"/>
  <c r="I107" i="6"/>
  <c r="G106" i="6"/>
  <c r="I105" i="6"/>
  <c r="G104" i="6"/>
  <c r="I103" i="6"/>
  <c r="G102" i="6"/>
  <c r="I101" i="6"/>
  <c r="G100" i="6"/>
  <c r="I99" i="6"/>
  <c r="G98" i="6"/>
  <c r="B98" i="6"/>
  <c r="I97" i="6"/>
  <c r="G96" i="6"/>
  <c r="I95" i="6"/>
  <c r="G94" i="6"/>
  <c r="I93" i="6"/>
  <c r="G92" i="6"/>
  <c r="B92" i="6"/>
  <c r="I90" i="6"/>
  <c r="G89" i="6"/>
  <c r="I88" i="6"/>
  <c r="G87" i="6"/>
  <c r="B87" i="6"/>
  <c r="I86" i="6"/>
  <c r="G85" i="6"/>
  <c r="B85" i="6"/>
  <c r="I84" i="6"/>
  <c r="G83" i="6"/>
  <c r="B83" i="6"/>
  <c r="I82" i="6"/>
  <c r="G81" i="6"/>
  <c r="I80" i="6"/>
  <c r="G79" i="6"/>
  <c r="B79" i="6"/>
  <c r="I78" i="6"/>
  <c r="G77" i="6"/>
  <c r="B77" i="6"/>
  <c r="BM75" i="6"/>
  <c r="BN75" i="6" s="1"/>
  <c r="B75" i="6"/>
  <c r="I74" i="6"/>
  <c r="G73" i="6"/>
  <c r="B73" i="6"/>
  <c r="I17" i="6"/>
  <c r="G16" i="6"/>
  <c r="I51" i="6" l="1"/>
  <c r="BI167" i="6" l="1"/>
  <c r="BJ167" i="6"/>
  <c r="BK167" i="6"/>
  <c r="BL167" i="6"/>
  <c r="G14" i="6"/>
  <c r="G12" i="6" s="1"/>
  <c r="BM22" i="6" l="1"/>
  <c r="BN22" i="6" s="1"/>
  <c r="I71" i="6" l="1"/>
  <c r="I69" i="6"/>
  <c r="I67" i="6"/>
  <c r="I64" i="6"/>
  <c r="I62" i="6"/>
  <c r="I60" i="6"/>
  <c r="I58" i="6"/>
  <c r="I56" i="6"/>
  <c r="I53" i="6"/>
  <c r="I47" i="6"/>
  <c r="I45" i="6"/>
  <c r="I43" i="6"/>
  <c r="I41" i="6"/>
  <c r="I38" i="6"/>
  <c r="I36" i="6"/>
  <c r="I34" i="6"/>
  <c r="I32" i="6"/>
  <c r="I30" i="6"/>
  <c r="I28" i="6"/>
  <c r="I24" i="6"/>
  <c r="I21" i="6"/>
  <c r="I15" i="6"/>
  <c r="L10" i="6"/>
  <c r="M10" i="6" s="1"/>
  <c r="G70" i="6"/>
  <c r="G68" i="6"/>
  <c r="G66" i="6"/>
  <c r="G63" i="6"/>
  <c r="G61" i="6"/>
  <c r="G59" i="6"/>
  <c r="G57" i="6"/>
  <c r="G55" i="6"/>
  <c r="G52" i="6"/>
  <c r="G50" i="6"/>
  <c r="G46" i="6"/>
  <c r="G44" i="6"/>
  <c r="G42" i="6"/>
  <c r="G40" i="6"/>
  <c r="G37" i="6"/>
  <c r="G35" i="6"/>
  <c r="G33" i="6"/>
  <c r="G31" i="6"/>
  <c r="G29" i="6"/>
  <c r="G27" i="6"/>
  <c r="G23" i="6"/>
  <c r="G20" i="6"/>
  <c r="BM11" i="6"/>
  <c r="BN11" i="6" s="1"/>
  <c r="N10" i="6" l="1"/>
  <c r="AI30" i="9" l="1"/>
  <c r="AJ30" i="9" s="1"/>
  <c r="F166" i="6" l="1"/>
  <c r="CF43" i="9" l="1"/>
  <c r="H30" i="9" l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AK30" i="9" s="1"/>
  <c r="AL30" i="9" s="1"/>
  <c r="AM30" i="9" s="1"/>
  <c r="AN30" i="9" s="1"/>
  <c r="AO30" i="9" s="1"/>
  <c r="AP30" i="9" s="1"/>
  <c r="AQ30" i="9" s="1"/>
  <c r="AR30" i="9" s="1"/>
  <c r="AS30" i="9" s="1"/>
  <c r="AT30" i="9" s="1"/>
  <c r="AU30" i="9" s="1"/>
  <c r="AV30" i="9" s="1"/>
  <c r="AW30" i="9" s="1"/>
  <c r="AX30" i="9" s="1"/>
  <c r="AY30" i="9" s="1"/>
  <c r="AZ30" i="9" s="1"/>
  <c r="BA30" i="9" s="1"/>
  <c r="BB30" i="9" s="1"/>
  <c r="BC30" i="9" s="1"/>
  <c r="BD30" i="9" s="1"/>
  <c r="BE30" i="9" s="1"/>
  <c r="BF30" i="9" s="1"/>
  <c r="BG30" i="9" s="1"/>
  <c r="BH30" i="9" s="1"/>
  <c r="BI30" i="9" s="1"/>
  <c r="BJ30" i="9" s="1"/>
  <c r="BK30" i="9" s="1"/>
  <c r="BL30" i="9" s="1"/>
  <c r="BM30" i="9" s="1"/>
  <c r="BN30" i="9" s="1"/>
  <c r="BO30" i="9" s="1"/>
  <c r="BP30" i="9" s="1"/>
  <c r="BQ30" i="9" s="1"/>
  <c r="BR30" i="9" s="1"/>
  <c r="BS30" i="9" s="1"/>
  <c r="BT30" i="9" s="1"/>
  <c r="BU30" i="9" s="1"/>
  <c r="BV30" i="9" s="1"/>
  <c r="BW30" i="9" s="1"/>
  <c r="BX30" i="9" s="1"/>
  <c r="BY30" i="9" s="1"/>
  <c r="BZ30" i="9" s="1"/>
  <c r="CA30" i="9" s="1"/>
  <c r="CB30" i="9" s="1"/>
  <c r="CC30" i="9" s="1"/>
  <c r="CD30" i="9" s="1"/>
  <c r="AI28" i="9"/>
  <c r="C8" i="9"/>
  <c r="C9" i="9" s="1"/>
  <c r="C10" i="9" s="1"/>
  <c r="D3" i="9"/>
  <c r="D6" i="9" s="1"/>
  <c r="BM170" i="6"/>
  <c r="B40" i="6"/>
  <c r="O10" i="6"/>
  <c r="P10" i="6" s="1"/>
  <c r="Q10" i="6" s="1"/>
  <c r="R10" i="6" l="1"/>
  <c r="S10" i="6" s="1"/>
  <c r="T10" i="6" s="1"/>
  <c r="U10" i="6" s="1"/>
  <c r="V10" i="6" s="1"/>
  <c r="W10" i="6" s="1"/>
  <c r="X10" i="6" s="1"/>
  <c r="G166" i="6"/>
  <c r="H12" i="6" s="1"/>
  <c r="D5" i="9"/>
  <c r="C11" i="9"/>
  <c r="C12" i="9" s="1"/>
  <c r="D10" i="9"/>
  <c r="D8" i="9"/>
  <c r="D7" i="9"/>
  <c r="D9" i="9"/>
  <c r="D11" i="9"/>
  <c r="D4" i="9"/>
  <c r="B167" i="6"/>
  <c r="B50" i="6"/>
  <c r="B35" i="6"/>
  <c r="H14" i="6" l="1"/>
  <c r="H136" i="6"/>
  <c r="H106" i="6"/>
  <c r="H98" i="6"/>
  <c r="H16" i="6"/>
  <c r="H160" i="6"/>
  <c r="H114" i="6"/>
  <c r="H104" i="6"/>
  <c r="H96" i="6"/>
  <c r="H158" i="6"/>
  <c r="H112" i="6"/>
  <c r="H94" i="6"/>
  <c r="H148" i="6"/>
  <c r="H140" i="6"/>
  <c r="H102" i="6"/>
  <c r="H131" i="6"/>
  <c r="H123" i="6"/>
  <c r="H138" i="6"/>
  <c r="H121" i="6"/>
  <c r="H83" i="6"/>
  <c r="H156" i="6"/>
  <c r="H144" i="6"/>
  <c r="H87" i="6"/>
  <c r="H127" i="6"/>
  <c r="H79" i="6"/>
  <c r="H89" i="6"/>
  <c r="H146" i="6"/>
  <c r="H85" i="6"/>
  <c r="H81" i="6"/>
  <c r="H152" i="6"/>
  <c r="H142" i="6"/>
  <c r="H133" i="6"/>
  <c r="H125" i="6"/>
  <c r="H77" i="6"/>
  <c r="H100" i="6"/>
  <c r="H129" i="6"/>
  <c r="H150" i="6"/>
  <c r="H108" i="6"/>
  <c r="H162" i="6"/>
  <c r="H92" i="6"/>
  <c r="H117" i="6"/>
  <c r="H73" i="6"/>
  <c r="Y10" i="6"/>
  <c r="Z10" i="6" s="1"/>
  <c r="H59" i="6"/>
  <c r="H63" i="6"/>
  <c r="H46" i="6"/>
  <c r="H44" i="6"/>
  <c r="H97" i="9"/>
  <c r="H98" i="9" s="1"/>
  <c r="H33" i="6"/>
  <c r="H40" i="6"/>
  <c r="CC29" i="9"/>
  <c r="D12" i="9"/>
  <c r="C13" i="9"/>
  <c r="H68" i="6"/>
  <c r="H35" i="6"/>
  <c r="H29" i="6"/>
  <c r="H20" i="6"/>
  <c r="H52" i="6"/>
  <c r="H61" i="6"/>
  <c r="H27" i="6"/>
  <c r="H50" i="6"/>
  <c r="H57" i="6"/>
  <c r="H66" i="6"/>
  <c r="H289" i="9"/>
  <c r="H290" i="9" s="1"/>
  <c r="H55" i="6"/>
  <c r="H42" i="6"/>
  <c r="H31" i="6"/>
  <c r="H153" i="9"/>
  <c r="H154" i="9" s="1"/>
  <c r="H70" i="6"/>
  <c r="H37" i="6"/>
  <c r="H185" i="9"/>
  <c r="H186" i="9" s="1"/>
  <c r="H23" i="6"/>
  <c r="AE129" i="6" l="1"/>
  <c r="AI129" i="6"/>
  <c r="AF129" i="6"/>
  <c r="AD129" i="6"/>
  <c r="AG129" i="6"/>
  <c r="AH129" i="6"/>
  <c r="AJ133" i="6"/>
  <c r="AK133" i="6"/>
  <c r="AH133" i="6"/>
  <c r="AL133" i="6"/>
  <c r="AI133" i="6"/>
  <c r="AG133" i="6"/>
  <c r="T83" i="6"/>
  <c r="W83" i="6"/>
  <c r="X83" i="6"/>
  <c r="Y83" i="6"/>
  <c r="V83" i="6"/>
  <c r="Z83" i="6"/>
  <c r="U83" i="6"/>
  <c r="AF162" i="6"/>
  <c r="AG162" i="6"/>
  <c r="AH162" i="6"/>
  <c r="AE162" i="6"/>
  <c r="AI162" i="6"/>
  <c r="AX142" i="6"/>
  <c r="AH142" i="6"/>
  <c r="AL142" i="6"/>
  <c r="AP142" i="6"/>
  <c r="AG142" i="6"/>
  <c r="AY142" i="6"/>
  <c r="AI142" i="6"/>
  <c r="AM142" i="6"/>
  <c r="AQ142" i="6"/>
  <c r="AZ142" i="6"/>
  <c r="AJ142" i="6"/>
  <c r="AN142" i="6"/>
  <c r="AR142" i="6"/>
  <c r="AK142" i="6"/>
  <c r="AW142" i="6"/>
  <c r="AO142" i="6"/>
  <c r="AS142" i="6"/>
  <c r="AV142" i="6"/>
  <c r="AG87" i="6"/>
  <c r="AK87" i="6"/>
  <c r="AD87" i="6"/>
  <c r="AH87" i="6"/>
  <c r="AC87" i="6"/>
  <c r="AE87" i="6"/>
  <c r="AI87" i="6"/>
  <c r="AF87" i="6"/>
  <c r="AJ87" i="6"/>
  <c r="AX102" i="6"/>
  <c r="AK102" i="6"/>
  <c r="AO102" i="6"/>
  <c r="AY102" i="6"/>
  <c r="AL102" i="6"/>
  <c r="AP102" i="6"/>
  <c r="AV102" i="6"/>
  <c r="AM102" i="6"/>
  <c r="AQ102" i="6"/>
  <c r="AR102" i="6"/>
  <c r="AW102" i="6"/>
  <c r="AS102" i="6"/>
  <c r="AI102" i="6"/>
  <c r="AJ102" i="6"/>
  <c r="AN102" i="6"/>
  <c r="AC112" i="6"/>
  <c r="AG112" i="6"/>
  <c r="AK112" i="6"/>
  <c r="AO112" i="6"/>
  <c r="AS112" i="6"/>
  <c r="AD112" i="6"/>
  <c r="AH112" i="6"/>
  <c r="AL112" i="6"/>
  <c r="AP112" i="6"/>
  <c r="Z112" i="6"/>
  <c r="AA112" i="6"/>
  <c r="AE112" i="6"/>
  <c r="AI112" i="6"/>
  <c r="AM112" i="6"/>
  <c r="AQ112" i="6"/>
  <c r="AN112" i="6"/>
  <c r="AB112" i="6"/>
  <c r="AR112" i="6"/>
  <c r="AF112" i="6"/>
  <c r="AJ112" i="6"/>
  <c r="AV114" i="6"/>
  <c r="AC114" i="6"/>
  <c r="AG114" i="6"/>
  <c r="AK114" i="6"/>
  <c r="AO114" i="6"/>
  <c r="AS114" i="6"/>
  <c r="AW114" i="6"/>
  <c r="Z114" i="6"/>
  <c r="AD114" i="6"/>
  <c r="AH114" i="6"/>
  <c r="AL114" i="6"/>
  <c r="AP114" i="6"/>
  <c r="Y114" i="6"/>
  <c r="AX114" i="6"/>
  <c r="AA114" i="6"/>
  <c r="AE114" i="6"/>
  <c r="AI114" i="6"/>
  <c r="AM114" i="6"/>
  <c r="AQ114" i="6"/>
  <c r="AB114" i="6"/>
  <c r="AR114" i="6"/>
  <c r="AF114" i="6"/>
  <c r="AY114" i="6"/>
  <c r="AJ114" i="6"/>
  <c r="AN114" i="6"/>
  <c r="P73" i="6"/>
  <c r="Q73" i="6"/>
  <c r="M73" i="6"/>
  <c r="N73" i="6"/>
  <c r="O73" i="6"/>
  <c r="AI108" i="6"/>
  <c r="AM108" i="6"/>
  <c r="AJ108" i="6"/>
  <c r="AN108" i="6"/>
  <c r="AG108" i="6"/>
  <c r="AK108" i="6"/>
  <c r="AF108" i="6"/>
  <c r="AH108" i="6"/>
  <c r="AL108" i="6"/>
  <c r="R77" i="6"/>
  <c r="O77" i="6"/>
  <c r="N77" i="6"/>
  <c r="P77" i="6"/>
  <c r="Q77" i="6"/>
  <c r="AV152" i="6"/>
  <c r="AQ152" i="6"/>
  <c r="AN152" i="6"/>
  <c r="AR152" i="6"/>
  <c r="AO152" i="6"/>
  <c r="AS152" i="6"/>
  <c r="AW152" i="6"/>
  <c r="AP152" i="6"/>
  <c r="AM152" i="6"/>
  <c r="AB89" i="6"/>
  <c r="AF89" i="6"/>
  <c r="AJ89" i="6"/>
  <c r="AN89" i="6"/>
  <c r="Z89" i="6"/>
  <c r="AC89" i="6"/>
  <c r="AG89" i="6"/>
  <c r="AK89" i="6"/>
  <c r="AH89" i="6"/>
  <c r="AD89" i="6"/>
  <c r="AM89" i="6"/>
  <c r="AA89" i="6"/>
  <c r="AI89" i="6"/>
  <c r="AL89" i="6"/>
  <c r="AE89" i="6"/>
  <c r="AY144" i="6"/>
  <c r="AN144" i="6"/>
  <c r="AR144" i="6"/>
  <c r="AZ144" i="6"/>
  <c r="AO144" i="6"/>
  <c r="AS144" i="6"/>
  <c r="AW144" i="6"/>
  <c r="AV144" i="6"/>
  <c r="AP144" i="6"/>
  <c r="AL144" i="6"/>
  <c r="AM144" i="6"/>
  <c r="AQ144" i="6"/>
  <c r="AX144" i="6"/>
  <c r="AW138" i="6"/>
  <c r="AF138" i="6"/>
  <c r="AJ138" i="6"/>
  <c r="AN138" i="6"/>
  <c r="AR138" i="6"/>
  <c r="AX138" i="6"/>
  <c r="AG138" i="6"/>
  <c r="AK138" i="6"/>
  <c r="AO138" i="6"/>
  <c r="AS138" i="6"/>
  <c r="AY138" i="6"/>
  <c r="AH138" i="6"/>
  <c r="AL138" i="6"/>
  <c r="AP138" i="6"/>
  <c r="AE138" i="6"/>
  <c r="AV138" i="6"/>
  <c r="AM138" i="6"/>
  <c r="AI138" i="6"/>
  <c r="AZ138" i="6"/>
  <c r="AQ138" i="6"/>
  <c r="AX140" i="6"/>
  <c r="AJ140" i="6"/>
  <c r="AN140" i="6"/>
  <c r="AR140" i="6"/>
  <c r="AZ140" i="6"/>
  <c r="AY140" i="6"/>
  <c r="AK140" i="6"/>
  <c r="AO140" i="6"/>
  <c r="AS140" i="6"/>
  <c r="AV140" i="6"/>
  <c r="AH140" i="6"/>
  <c r="AL140" i="6"/>
  <c r="AP140" i="6"/>
  <c r="AG140" i="6"/>
  <c r="AI140" i="6"/>
  <c r="AM140" i="6"/>
  <c r="AQ140" i="6"/>
  <c r="AW140" i="6"/>
  <c r="AZ158" i="6"/>
  <c r="BD158" i="6"/>
  <c r="AF158" i="6"/>
  <c r="AJ158" i="6"/>
  <c r="AN158" i="6"/>
  <c r="AR158" i="6"/>
  <c r="AW158" i="6"/>
  <c r="BA158" i="6"/>
  <c r="BE158" i="6"/>
  <c r="AG158" i="6"/>
  <c r="AK158" i="6"/>
  <c r="AO158" i="6"/>
  <c r="AS158" i="6"/>
  <c r="AX158" i="6"/>
  <c r="BB158" i="6"/>
  <c r="AV158" i="6"/>
  <c r="AH158" i="6"/>
  <c r="AL158" i="6"/>
  <c r="AP158" i="6"/>
  <c r="AD158" i="6"/>
  <c r="AY158" i="6"/>
  <c r="AM158" i="6"/>
  <c r="BC158" i="6"/>
  <c r="AQ158" i="6"/>
  <c r="AE158" i="6"/>
  <c r="AI158" i="6"/>
  <c r="AX160" i="6"/>
  <c r="BB160" i="6"/>
  <c r="AP160" i="6"/>
  <c r="AM160" i="6"/>
  <c r="AY160" i="6"/>
  <c r="AV160" i="6"/>
  <c r="AQ160" i="6"/>
  <c r="AZ160" i="6"/>
  <c r="AN160" i="6"/>
  <c r="AR160" i="6"/>
  <c r="AW160" i="6"/>
  <c r="BA160" i="6"/>
  <c r="AO160" i="6"/>
  <c r="AS160" i="6"/>
  <c r="AX136" i="6"/>
  <c r="AC136" i="6"/>
  <c r="AG136" i="6"/>
  <c r="AK136" i="6"/>
  <c r="AO136" i="6"/>
  <c r="AS136" i="6"/>
  <c r="AY136" i="6"/>
  <c r="AD136" i="6"/>
  <c r="AH136" i="6"/>
  <c r="AL136" i="6"/>
  <c r="AP136" i="6"/>
  <c r="AB136" i="6"/>
  <c r="AZ136" i="6"/>
  <c r="AE136" i="6"/>
  <c r="AI136" i="6"/>
  <c r="AM136" i="6"/>
  <c r="AQ136" i="6"/>
  <c r="AW136" i="6"/>
  <c r="AN136" i="6"/>
  <c r="AV136" i="6"/>
  <c r="AR136" i="6"/>
  <c r="AF136" i="6"/>
  <c r="AJ136" i="6"/>
  <c r="X92" i="6"/>
  <c r="AB92" i="6"/>
  <c r="AF92" i="6"/>
  <c r="AJ92" i="6"/>
  <c r="AN92" i="6"/>
  <c r="AR92" i="6"/>
  <c r="Y92" i="6"/>
  <c r="AC92" i="6"/>
  <c r="AG92" i="6"/>
  <c r="AK92" i="6"/>
  <c r="AO92" i="6"/>
  <c r="AS92" i="6"/>
  <c r="AD92" i="6"/>
  <c r="AL92" i="6"/>
  <c r="W92" i="6"/>
  <c r="AH92" i="6"/>
  <c r="AA92" i="6"/>
  <c r="AQ92" i="6"/>
  <c r="AE92" i="6"/>
  <c r="AM92" i="6"/>
  <c r="Z92" i="6"/>
  <c r="AP92" i="6"/>
  <c r="AI92" i="6"/>
  <c r="Z85" i="6"/>
  <c r="W85" i="6"/>
  <c r="AA85" i="6"/>
  <c r="X85" i="6"/>
  <c r="AB85" i="6"/>
  <c r="Y85" i="6"/>
  <c r="V85" i="6"/>
  <c r="AE127" i="6"/>
  <c r="AF127" i="6"/>
  <c r="AC127" i="6"/>
  <c r="AG127" i="6"/>
  <c r="AB127" i="6"/>
  <c r="AD127" i="6"/>
  <c r="AJ131" i="6"/>
  <c r="AN131" i="6"/>
  <c r="AK131" i="6"/>
  <c r="AO131" i="6"/>
  <c r="AL131" i="6"/>
  <c r="AP131" i="6"/>
  <c r="AM131" i="6"/>
  <c r="AQ131" i="6"/>
  <c r="AA94" i="6"/>
  <c r="AE94" i="6"/>
  <c r="AI94" i="6"/>
  <c r="AM94" i="6"/>
  <c r="AQ94" i="6"/>
  <c r="AB94" i="6"/>
  <c r="AF94" i="6"/>
  <c r="AJ94" i="6"/>
  <c r="AN94" i="6"/>
  <c r="AR94" i="6"/>
  <c r="AG94" i="6"/>
  <c r="AO94" i="6"/>
  <c r="AC94" i="6"/>
  <c r="AS94" i="6"/>
  <c r="AL94" i="6"/>
  <c r="AH94" i="6"/>
  <c r="AP94" i="6"/>
  <c r="AK94" i="6"/>
  <c r="AD94" i="6"/>
  <c r="Z94" i="6"/>
  <c r="AX104" i="6"/>
  <c r="AJ104" i="6"/>
  <c r="AN104" i="6"/>
  <c r="AR104" i="6"/>
  <c r="AY104" i="6"/>
  <c r="AK104" i="6"/>
  <c r="AO104" i="6"/>
  <c r="AS104" i="6"/>
  <c r="AZ104" i="6"/>
  <c r="AL104" i="6"/>
  <c r="AP104" i="6"/>
  <c r="AI104" i="6"/>
  <c r="AQ104" i="6"/>
  <c r="AW104" i="6"/>
  <c r="AV104" i="6"/>
  <c r="AM104" i="6"/>
  <c r="AC98" i="6"/>
  <c r="AG98" i="6"/>
  <c r="AK98" i="6"/>
  <c r="AO98" i="6"/>
  <c r="AS98" i="6"/>
  <c r="AD98" i="6"/>
  <c r="AH98" i="6"/>
  <c r="AL98" i="6"/>
  <c r="AP98" i="6"/>
  <c r="AB98" i="6"/>
  <c r="AE98" i="6"/>
  <c r="AM98" i="6"/>
  <c r="AI98" i="6"/>
  <c r="AJ98" i="6"/>
  <c r="AR98" i="6"/>
  <c r="AF98" i="6"/>
  <c r="AN98" i="6"/>
  <c r="AQ98" i="6"/>
  <c r="AI100" i="6"/>
  <c r="AM100" i="6"/>
  <c r="AQ100" i="6"/>
  <c r="AJ100" i="6"/>
  <c r="AN100" i="6"/>
  <c r="AR100" i="6"/>
  <c r="AO100" i="6"/>
  <c r="AL100" i="6"/>
  <c r="AH100" i="6"/>
  <c r="AP100" i="6"/>
  <c r="AK100" i="6"/>
  <c r="AS100" i="6"/>
  <c r="AG100" i="6"/>
  <c r="AX146" i="6"/>
  <c r="BB146" i="6"/>
  <c r="AO146" i="6"/>
  <c r="AS146" i="6"/>
  <c r="AY146" i="6"/>
  <c r="BC146" i="6"/>
  <c r="AP146" i="6"/>
  <c r="AN146" i="6"/>
  <c r="AZ146" i="6"/>
  <c r="BD146" i="6"/>
  <c r="AQ146" i="6"/>
  <c r="BA146" i="6"/>
  <c r="AV146" i="6"/>
  <c r="AR146" i="6"/>
  <c r="AW146" i="6"/>
  <c r="X121" i="6"/>
  <c r="U121" i="6"/>
  <c r="Y121" i="6"/>
  <c r="V121" i="6"/>
  <c r="T121" i="6"/>
  <c r="W121" i="6"/>
  <c r="BC106" i="6"/>
  <c r="BD106" i="6"/>
  <c r="BA106" i="6"/>
  <c r="BB106" i="6"/>
  <c r="U117" i="6"/>
  <c r="S117" i="6"/>
  <c r="V117" i="6"/>
  <c r="W117" i="6"/>
  <c r="T117" i="6"/>
  <c r="X117" i="6"/>
  <c r="BB150" i="6"/>
  <c r="BC150" i="6"/>
  <c r="BD150" i="6"/>
  <c r="BA150" i="6"/>
  <c r="Z125" i="6"/>
  <c r="AD125" i="6"/>
  <c r="AA125" i="6"/>
  <c r="AE125" i="6"/>
  <c r="AB125" i="6"/>
  <c r="AF125" i="6"/>
  <c r="AC125" i="6"/>
  <c r="Y125" i="6"/>
  <c r="S81" i="6"/>
  <c r="W81" i="6"/>
  <c r="T81" i="6"/>
  <c r="X81" i="6"/>
  <c r="U81" i="6"/>
  <c r="R81" i="6"/>
  <c r="V81" i="6"/>
  <c r="P79" i="6"/>
  <c r="S79" i="6"/>
  <c r="T79" i="6"/>
  <c r="Q79" i="6"/>
  <c r="R79" i="6"/>
  <c r="AI156" i="6"/>
  <c r="AM156" i="6"/>
  <c r="AJ156" i="6"/>
  <c r="AN156" i="6"/>
  <c r="AK156" i="6"/>
  <c r="AG156" i="6"/>
  <c r="AH156" i="6"/>
  <c r="AL156" i="6"/>
  <c r="X123" i="6"/>
  <c r="W123" i="6"/>
  <c r="Y123" i="6"/>
  <c r="Z123" i="6"/>
  <c r="AA123" i="6"/>
  <c r="AW148" i="6"/>
  <c r="BA148" i="6"/>
  <c r="AV148" i="6"/>
  <c r="AR148" i="6"/>
  <c r="AX148" i="6"/>
  <c r="BB148" i="6"/>
  <c r="AO148" i="6"/>
  <c r="AS148" i="6"/>
  <c r="AY148" i="6"/>
  <c r="BC148" i="6"/>
  <c r="AP148" i="6"/>
  <c r="AN148" i="6"/>
  <c r="AZ148" i="6"/>
  <c r="AQ148" i="6"/>
  <c r="BD148" i="6"/>
  <c r="AE96" i="6"/>
  <c r="AI96" i="6"/>
  <c r="AM96" i="6"/>
  <c r="AQ96" i="6"/>
  <c r="AF96" i="6"/>
  <c r="AJ96" i="6"/>
  <c r="AN96" i="6"/>
  <c r="AR96" i="6"/>
  <c r="AC96" i="6"/>
  <c r="AK96" i="6"/>
  <c r="AS96" i="6"/>
  <c r="AG96" i="6"/>
  <c r="AP96" i="6"/>
  <c r="AD96" i="6"/>
  <c r="AL96" i="6"/>
  <c r="AB96" i="6"/>
  <c r="AO96" i="6"/>
  <c r="AH96" i="6"/>
  <c r="AX16" i="6"/>
  <c r="BB16" i="6"/>
  <c r="BF16" i="6"/>
  <c r="BF12" i="6" s="1"/>
  <c r="K16" i="6"/>
  <c r="O16" i="6"/>
  <c r="S16" i="6"/>
  <c r="W16" i="6"/>
  <c r="AA16" i="6"/>
  <c r="AE16" i="6"/>
  <c r="AI16" i="6"/>
  <c r="AM16" i="6"/>
  <c r="AQ16" i="6"/>
  <c r="AJ16" i="6"/>
  <c r="AR16" i="6"/>
  <c r="AY16" i="6"/>
  <c r="BC16" i="6"/>
  <c r="BG16" i="6"/>
  <c r="BG12" i="6" s="1"/>
  <c r="L16" i="6"/>
  <c r="P16" i="6"/>
  <c r="T16" i="6"/>
  <c r="X16" i="6"/>
  <c r="AB16" i="6"/>
  <c r="AF16" i="6"/>
  <c r="AN16" i="6"/>
  <c r="AZ16" i="6"/>
  <c r="BH16" i="6"/>
  <c r="BH12" i="6" s="1"/>
  <c r="Q16" i="6"/>
  <c r="Y16" i="6"/>
  <c r="AG16" i="6"/>
  <c r="AO16" i="6"/>
  <c r="M16" i="6"/>
  <c r="AC16" i="6"/>
  <c r="AS16" i="6"/>
  <c r="N16" i="6"/>
  <c r="AD16" i="6"/>
  <c r="BA16" i="6"/>
  <c r="AV16" i="6"/>
  <c r="R16" i="6"/>
  <c r="Z16" i="6"/>
  <c r="AH16" i="6"/>
  <c r="AP16" i="6"/>
  <c r="BD16" i="6"/>
  <c r="U16" i="6"/>
  <c r="AK16" i="6"/>
  <c r="AW16" i="6"/>
  <c r="BE16" i="6"/>
  <c r="BE12" i="6" s="1"/>
  <c r="V16" i="6"/>
  <c r="AL16" i="6"/>
  <c r="J16" i="6"/>
  <c r="AA10" i="6"/>
  <c r="I20" i="6" s="1"/>
  <c r="W20" i="6" s="1"/>
  <c r="I50" i="6"/>
  <c r="U50" i="6" s="1"/>
  <c r="H166" i="6"/>
  <c r="BN166" i="6" s="1"/>
  <c r="H77" i="9"/>
  <c r="H78" i="9" s="1"/>
  <c r="U80" i="9" s="1"/>
  <c r="AB10" i="6"/>
  <c r="H137" i="9"/>
  <c r="H138" i="9" s="1"/>
  <c r="G140" i="9" s="1"/>
  <c r="H121" i="9"/>
  <c r="H122" i="9" s="1"/>
  <c r="K124" i="9" s="1"/>
  <c r="H113" i="9"/>
  <c r="H114" i="9" s="1"/>
  <c r="BZ116" i="9" s="1"/>
  <c r="O20" i="6"/>
  <c r="S20" i="6"/>
  <c r="AA20" i="6"/>
  <c r="R20" i="6"/>
  <c r="P20" i="6"/>
  <c r="X20" i="6"/>
  <c r="M20" i="6"/>
  <c r="V20" i="6"/>
  <c r="U20" i="6"/>
  <c r="Y20" i="6"/>
  <c r="N20" i="6"/>
  <c r="H81" i="9"/>
  <c r="H82" i="9" s="1"/>
  <c r="J84" i="9" s="1"/>
  <c r="H69" i="9"/>
  <c r="H70" i="9" s="1"/>
  <c r="V72" i="9" s="1"/>
  <c r="H53" i="9"/>
  <c r="H54" i="9" s="1"/>
  <c r="H56" i="9" s="1"/>
  <c r="H42" i="9"/>
  <c r="H43" i="9" s="1"/>
  <c r="BI45" i="9" s="1"/>
  <c r="AH156" i="9"/>
  <c r="AG156" i="9"/>
  <c r="AQ292" i="9"/>
  <c r="T292" i="9"/>
  <c r="AS292" i="9"/>
  <c r="AR292" i="9"/>
  <c r="U292" i="9"/>
  <c r="H285" i="9"/>
  <c r="H286" i="9" s="1"/>
  <c r="H169" i="9"/>
  <c r="H170" i="9" s="1"/>
  <c r="H253" i="9"/>
  <c r="H254" i="9" s="1"/>
  <c r="H217" i="9"/>
  <c r="H218" i="9" s="1"/>
  <c r="H89" i="9"/>
  <c r="H90" i="9" s="1"/>
  <c r="H117" i="9"/>
  <c r="H118" i="9" s="1"/>
  <c r="H261" i="9"/>
  <c r="H262" i="9" s="1"/>
  <c r="H209" i="9"/>
  <c r="H210" i="9" s="1"/>
  <c r="H65" i="9"/>
  <c r="H66" i="9" s="1"/>
  <c r="H101" i="9"/>
  <c r="H102" i="9" s="1"/>
  <c r="H141" i="9"/>
  <c r="H142" i="9" s="1"/>
  <c r="H293" i="9"/>
  <c r="H294" i="9" s="1"/>
  <c r="H165" i="9"/>
  <c r="H166" i="9" s="1"/>
  <c r="H197" i="9"/>
  <c r="H198" i="9" s="1"/>
  <c r="H93" i="9"/>
  <c r="H94" i="9" s="1"/>
  <c r="H277" i="9"/>
  <c r="H278" i="9" s="1"/>
  <c r="H129" i="9"/>
  <c r="H130" i="9" s="1"/>
  <c r="H161" i="9"/>
  <c r="H162" i="9" s="1"/>
  <c r="H105" i="9"/>
  <c r="H106" i="9" s="1"/>
  <c r="H149" i="9"/>
  <c r="H150" i="9" s="1"/>
  <c r="H73" i="9"/>
  <c r="H74" i="9" s="1"/>
  <c r="H241" i="9"/>
  <c r="H242" i="9" s="1"/>
  <c r="AE100" i="9"/>
  <c r="AJ100" i="9"/>
  <c r="O100" i="9"/>
  <c r="AO100" i="9"/>
  <c r="T100" i="9"/>
  <c r="Y100" i="9"/>
  <c r="AL100" i="9"/>
  <c r="V100" i="9"/>
  <c r="M100" i="9"/>
  <c r="AF100" i="9"/>
  <c r="I100" i="9"/>
  <c r="AH100" i="9"/>
  <c r="R100" i="9"/>
  <c r="P100" i="9"/>
  <c r="AK100" i="9"/>
  <c r="AP100" i="9"/>
  <c r="J100" i="9"/>
  <c r="AB100" i="9"/>
  <c r="S100" i="9"/>
  <c r="AN100" i="9"/>
  <c r="AD100" i="9"/>
  <c r="U100" i="9"/>
  <c r="G100" i="9"/>
  <c r="AG100" i="9"/>
  <c r="X100" i="9"/>
  <c r="N100" i="9"/>
  <c r="Z100" i="9"/>
  <c r="AA100" i="9"/>
  <c r="Q100" i="9"/>
  <c r="AM100" i="9"/>
  <c r="AC100" i="9"/>
  <c r="AI100" i="9"/>
  <c r="W100" i="9"/>
  <c r="H100" i="9"/>
  <c r="H201" i="9"/>
  <c r="H202" i="9" s="1"/>
  <c r="H173" i="9"/>
  <c r="H174" i="9" s="1"/>
  <c r="H213" i="9"/>
  <c r="H214" i="9" s="1"/>
  <c r="H85" i="9"/>
  <c r="H86" i="9" s="1"/>
  <c r="H177" i="9"/>
  <c r="H178" i="9" s="1"/>
  <c r="H249" i="9"/>
  <c r="H250" i="9" s="1"/>
  <c r="H157" i="9"/>
  <c r="H158" i="9" s="1"/>
  <c r="H269" i="9"/>
  <c r="H270" i="9" s="1"/>
  <c r="H245" i="9"/>
  <c r="H246" i="9" s="1"/>
  <c r="H57" i="9"/>
  <c r="H58" i="9" s="1"/>
  <c r="H189" i="9"/>
  <c r="H190" i="9" s="1"/>
  <c r="H49" i="9"/>
  <c r="H50" i="9" s="1"/>
  <c r="H61" i="9"/>
  <c r="H62" i="9" s="1"/>
  <c r="H237" i="9"/>
  <c r="H238" i="9" s="1"/>
  <c r="H233" i="9"/>
  <c r="H234" i="9" s="1"/>
  <c r="H265" i="9"/>
  <c r="H266" i="9" s="1"/>
  <c r="H221" i="9"/>
  <c r="H222" i="9" s="1"/>
  <c r="H225" i="9"/>
  <c r="H226" i="9" s="1"/>
  <c r="K188" i="9"/>
  <c r="H188" i="9"/>
  <c r="L188" i="9"/>
  <c r="J188" i="9"/>
  <c r="I188" i="9"/>
  <c r="G188" i="9"/>
  <c r="H181" i="9"/>
  <c r="H182" i="9" s="1"/>
  <c r="H305" i="9"/>
  <c r="H306" i="9" s="1"/>
  <c r="H133" i="9"/>
  <c r="H134" i="9" s="1"/>
  <c r="AD156" i="9"/>
  <c r="R156" i="9"/>
  <c r="L156" i="9"/>
  <c r="M156" i="9"/>
  <c r="Q156" i="9"/>
  <c r="AC156" i="9"/>
  <c r="V156" i="9"/>
  <c r="X156" i="9"/>
  <c r="AB156" i="9"/>
  <c r="Y156" i="9"/>
  <c r="AE156" i="9"/>
  <c r="O156" i="9"/>
  <c r="P156" i="9"/>
  <c r="H156" i="9"/>
  <c r="I156" i="9"/>
  <c r="AA156" i="9"/>
  <c r="K156" i="9"/>
  <c r="U156" i="9"/>
  <c r="N156" i="9"/>
  <c r="W156" i="9"/>
  <c r="G156" i="9"/>
  <c r="Z156" i="9"/>
  <c r="S156" i="9"/>
  <c r="J156" i="9"/>
  <c r="T156" i="9"/>
  <c r="AF156" i="9"/>
  <c r="H297" i="9"/>
  <c r="H273" i="9"/>
  <c r="H274" i="9" s="1"/>
  <c r="AM292" i="9"/>
  <c r="AI292" i="9"/>
  <c r="AE292" i="9"/>
  <c r="AA292" i="9"/>
  <c r="W292" i="9"/>
  <c r="Q292" i="9"/>
  <c r="M292" i="9"/>
  <c r="I292" i="9"/>
  <c r="AP292" i="9"/>
  <c r="AL292" i="9"/>
  <c r="AH292" i="9"/>
  <c r="AD292" i="9"/>
  <c r="Z292" i="9"/>
  <c r="V292" i="9"/>
  <c r="P292" i="9"/>
  <c r="L292" i="9"/>
  <c r="H292" i="9"/>
  <c r="AB292" i="9"/>
  <c r="R292" i="9"/>
  <c r="J292" i="9"/>
  <c r="AO292" i="9"/>
  <c r="AK292" i="9"/>
  <c r="AG292" i="9"/>
  <c r="AC292" i="9"/>
  <c r="Y292" i="9"/>
  <c r="S292" i="9"/>
  <c r="O292" i="9"/>
  <c r="K292" i="9"/>
  <c r="G292" i="9"/>
  <c r="AN292" i="9"/>
  <c r="AJ292" i="9"/>
  <c r="AF292" i="9"/>
  <c r="X292" i="9"/>
  <c r="N292" i="9"/>
  <c r="H145" i="9"/>
  <c r="H146" i="9" s="1"/>
  <c r="H257" i="9"/>
  <c r="H258" i="9" s="1"/>
  <c r="H229" i="9"/>
  <c r="H230" i="9" s="1"/>
  <c r="I232" i="9" s="1"/>
  <c r="H109" i="9"/>
  <c r="H110" i="9" s="1"/>
  <c r="H193" i="9"/>
  <c r="H194" i="9" s="1"/>
  <c r="H125" i="9"/>
  <c r="H126" i="9" s="1"/>
  <c r="H205" i="9"/>
  <c r="H206" i="9" s="1"/>
  <c r="H281" i="9"/>
  <c r="H282" i="9" s="1"/>
  <c r="C14" i="9"/>
  <c r="D13" i="9"/>
  <c r="B54" i="6"/>
  <c r="Z20" i="6" l="1"/>
  <c r="Q20" i="6"/>
  <c r="T20" i="6"/>
  <c r="T50" i="6"/>
  <c r="BM73" i="6"/>
  <c r="W50" i="6"/>
  <c r="M50" i="6"/>
  <c r="BM144" i="6"/>
  <c r="BN144" i="6" s="1"/>
  <c r="BM146" i="6"/>
  <c r="BN146" i="6" s="1"/>
  <c r="X50" i="6"/>
  <c r="V50" i="6"/>
  <c r="O50" i="6"/>
  <c r="Q50" i="6"/>
  <c r="R50" i="6"/>
  <c r="N50" i="6"/>
  <c r="Y50" i="6"/>
  <c r="P50" i="6"/>
  <c r="S50" i="6"/>
  <c r="BM136" i="6"/>
  <c r="BN136" i="6" s="1"/>
  <c r="BM140" i="6"/>
  <c r="BN140" i="6" s="1"/>
  <c r="BM138" i="6"/>
  <c r="BN138" i="6" s="1"/>
  <c r="BM79" i="6"/>
  <c r="BN79" i="6" s="1"/>
  <c r="BM127" i="6"/>
  <c r="BN127" i="6" s="1"/>
  <c r="BM108" i="6"/>
  <c r="BN108" i="6" s="1"/>
  <c r="BM142" i="6"/>
  <c r="BN142" i="6" s="1"/>
  <c r="BM123" i="6"/>
  <c r="BN123" i="6" s="1"/>
  <c r="BM125" i="6"/>
  <c r="BN125" i="6" s="1"/>
  <c r="BM121" i="6"/>
  <c r="BN121" i="6" s="1"/>
  <c r="BM131" i="6"/>
  <c r="BN131" i="6" s="1"/>
  <c r="BM92" i="6"/>
  <c r="BN92" i="6" s="1"/>
  <c r="BM114" i="6"/>
  <c r="BN114" i="6" s="1"/>
  <c r="BM112" i="6"/>
  <c r="BN112" i="6" s="1"/>
  <c r="BM102" i="6"/>
  <c r="BN102" i="6" s="1"/>
  <c r="BM133" i="6"/>
  <c r="BN133" i="6" s="1"/>
  <c r="BM162" i="6"/>
  <c r="BN162" i="6" s="1"/>
  <c r="BM150" i="6"/>
  <c r="BN150" i="6" s="1"/>
  <c r="BM129" i="6"/>
  <c r="BN129" i="6" s="1"/>
  <c r="BM158" i="6"/>
  <c r="BN158" i="6" s="1"/>
  <c r="BM148" i="6"/>
  <c r="BN148" i="6" s="1"/>
  <c r="BM156" i="6"/>
  <c r="BN156" i="6" s="1"/>
  <c r="BM152" i="6"/>
  <c r="BN152" i="6" s="1"/>
  <c r="BM160" i="6"/>
  <c r="BN160" i="6" s="1"/>
  <c r="BM104" i="6"/>
  <c r="BN104" i="6" s="1"/>
  <c r="P124" i="9"/>
  <c r="AG124" i="9"/>
  <c r="O124" i="9"/>
  <c r="W124" i="9"/>
  <c r="S80" i="9"/>
  <c r="H124" i="9"/>
  <c r="AF124" i="9"/>
  <c r="AJ124" i="9"/>
  <c r="Q80" i="9"/>
  <c r="L80" i="9"/>
  <c r="O80" i="9"/>
  <c r="V80" i="9"/>
  <c r="AD124" i="9"/>
  <c r="J124" i="9"/>
  <c r="AA124" i="9"/>
  <c r="T124" i="9"/>
  <c r="M80" i="9"/>
  <c r="G80" i="9"/>
  <c r="T80" i="9"/>
  <c r="AK124" i="9"/>
  <c r="AB124" i="9"/>
  <c r="S124" i="9"/>
  <c r="AS116" i="9"/>
  <c r="BJ116" i="9"/>
  <c r="AI116" i="9"/>
  <c r="AZ116" i="9"/>
  <c r="AC116" i="9"/>
  <c r="H116" i="9"/>
  <c r="O116" i="9"/>
  <c r="BX116" i="9"/>
  <c r="G116" i="9"/>
  <c r="BS116" i="9"/>
  <c r="AG116" i="9"/>
  <c r="BU116" i="9"/>
  <c r="AF116" i="9"/>
  <c r="AV116" i="9"/>
  <c r="AL116" i="9"/>
  <c r="K116" i="9"/>
  <c r="W116" i="9"/>
  <c r="BM116" i="9"/>
  <c r="R116" i="9"/>
  <c r="BL116" i="9"/>
  <c r="AQ116" i="9"/>
  <c r="Z116" i="9"/>
  <c r="BY116" i="9"/>
  <c r="BN116" i="9"/>
  <c r="AJ116" i="9"/>
  <c r="AM116" i="9"/>
  <c r="BI116" i="9"/>
  <c r="P72" i="9"/>
  <c r="Y116" i="9"/>
  <c r="CD116" i="9"/>
  <c r="Q116" i="9"/>
  <c r="M116" i="9"/>
  <c r="BV116" i="9"/>
  <c r="BD116" i="9"/>
  <c r="X116" i="9"/>
  <c r="BB116" i="9"/>
  <c r="M72" i="9"/>
  <c r="T72" i="9"/>
  <c r="AB72" i="9"/>
  <c r="H140" i="9"/>
  <c r="X72" i="9"/>
  <c r="Y72" i="9"/>
  <c r="AH116" i="9"/>
  <c r="S116" i="9"/>
  <c r="J116" i="9"/>
  <c r="AA116" i="9"/>
  <c r="P116" i="9"/>
  <c r="BQ116" i="9"/>
  <c r="BH116" i="9"/>
  <c r="AT116" i="9"/>
  <c r="AD116" i="9"/>
  <c r="V116" i="9"/>
  <c r="BF116" i="9"/>
  <c r="AU116" i="9"/>
  <c r="CB116" i="9"/>
  <c r="AY116" i="9"/>
  <c r="AB116" i="9"/>
  <c r="AK116" i="9"/>
  <c r="I116" i="9"/>
  <c r="BG116" i="9"/>
  <c r="CA116" i="9"/>
  <c r="BE116" i="9"/>
  <c r="AN116" i="9"/>
  <c r="AE116" i="9"/>
  <c r="L116" i="9"/>
  <c r="BT116" i="9"/>
  <c r="AX116" i="9"/>
  <c r="CC116" i="9"/>
  <c r="BP116" i="9"/>
  <c r="BA116" i="9"/>
  <c r="AR116" i="9"/>
  <c r="AW116" i="9"/>
  <c r="BK116" i="9"/>
  <c r="BR116" i="9"/>
  <c r="BO116" i="9"/>
  <c r="N116" i="9"/>
  <c r="BC116" i="9"/>
  <c r="BW116" i="9"/>
  <c r="I124" i="9"/>
  <c r="Z124" i="9"/>
  <c r="G124" i="9"/>
  <c r="Q124" i="9"/>
  <c r="V124" i="9"/>
  <c r="U124" i="9"/>
  <c r="L124" i="9"/>
  <c r="AE124" i="9"/>
  <c r="Y124" i="9"/>
  <c r="AH124" i="9"/>
  <c r="R124" i="9"/>
  <c r="X124" i="9"/>
  <c r="AC124" i="9"/>
  <c r="AI124" i="9"/>
  <c r="I72" i="9"/>
  <c r="O72" i="9"/>
  <c r="U72" i="9"/>
  <c r="W72" i="9"/>
  <c r="S72" i="9"/>
  <c r="H72" i="9"/>
  <c r="AA72" i="9"/>
  <c r="J72" i="9"/>
  <c r="N72" i="9"/>
  <c r="K72" i="9"/>
  <c r="L72" i="9"/>
  <c r="G72" i="9"/>
  <c r="Z72" i="9"/>
  <c r="P80" i="9"/>
  <c r="W80" i="9"/>
  <c r="I80" i="9"/>
  <c r="K80" i="9"/>
  <c r="R80" i="9"/>
  <c r="J80" i="9"/>
  <c r="H80" i="9"/>
  <c r="N80" i="9"/>
  <c r="AC10" i="6"/>
  <c r="AD10" i="6" s="1"/>
  <c r="AE10" i="6" s="1"/>
  <c r="K56" i="9"/>
  <c r="L56" i="9"/>
  <c r="T84" i="9"/>
  <c r="M84" i="9"/>
  <c r="W84" i="9"/>
  <c r="G56" i="9"/>
  <c r="R84" i="9"/>
  <c r="AN84" i="9"/>
  <c r="J56" i="9"/>
  <c r="AJ84" i="9"/>
  <c r="I56" i="9"/>
  <c r="AL84" i="9"/>
  <c r="AE84" i="9"/>
  <c r="AH84" i="9"/>
  <c r="AF84" i="9"/>
  <c r="AA84" i="9"/>
  <c r="AK84" i="9"/>
  <c r="S84" i="9"/>
  <c r="I84" i="9"/>
  <c r="AD84" i="9"/>
  <c r="K84" i="9"/>
  <c r="AB84" i="9"/>
  <c r="AM84" i="9"/>
  <c r="U84" i="9"/>
  <c r="AG84" i="9"/>
  <c r="O84" i="9"/>
  <c r="L84" i="9"/>
  <c r="P84" i="9"/>
  <c r="N84" i="9"/>
  <c r="H84" i="9"/>
  <c r="Z84" i="9"/>
  <c r="G84" i="9"/>
  <c r="V84" i="9"/>
  <c r="AI84" i="9"/>
  <c r="Q84" i="9"/>
  <c r="AC84" i="9"/>
  <c r="N45" i="9"/>
  <c r="BQ45" i="9"/>
  <c r="AH45" i="9"/>
  <c r="AD45" i="9"/>
  <c r="AU45" i="9"/>
  <c r="AS45" i="9"/>
  <c r="CC45" i="9"/>
  <c r="Q45" i="9"/>
  <c r="BX45" i="9"/>
  <c r="BP45" i="9"/>
  <c r="AP45" i="9"/>
  <c r="Y45" i="9"/>
  <c r="BY45" i="9"/>
  <c r="BC45" i="9"/>
  <c r="BE45" i="9"/>
  <c r="BH45" i="9"/>
  <c r="BL45" i="9"/>
  <c r="CE45" i="9"/>
  <c r="U45" i="9"/>
  <c r="AA45" i="9"/>
  <c r="AC45" i="9"/>
  <c r="AX45" i="9"/>
  <c r="BB45" i="9"/>
  <c r="AL45" i="9"/>
  <c r="AM45" i="9"/>
  <c r="V45" i="9"/>
  <c r="I45" i="9"/>
  <c r="P45" i="9"/>
  <c r="AG45" i="9"/>
  <c r="L45" i="9"/>
  <c r="AE45" i="9"/>
  <c r="BV45" i="9"/>
  <c r="AV45" i="9"/>
  <c r="X45" i="9"/>
  <c r="Z45" i="9"/>
  <c r="H298" i="9"/>
  <c r="J300" i="9" s="1"/>
  <c r="BG45" i="9"/>
  <c r="AF45" i="9"/>
  <c r="O45" i="9"/>
  <c r="AN45" i="9"/>
  <c r="BO45" i="9"/>
  <c r="CB45" i="9"/>
  <c r="AT45" i="9"/>
  <c r="AO45" i="9"/>
  <c r="BN45" i="9"/>
  <c r="CA45" i="9"/>
  <c r="BT45" i="9"/>
  <c r="S45" i="9"/>
  <c r="AW45" i="9"/>
  <c r="CD45" i="9"/>
  <c r="BS45" i="9"/>
  <c r="AK45" i="9"/>
  <c r="AB45" i="9"/>
  <c r="R45" i="9"/>
  <c r="BW45" i="9"/>
  <c r="AR45" i="9"/>
  <c r="BK45" i="9"/>
  <c r="AZ45" i="9"/>
  <c r="T45" i="9"/>
  <c r="J45" i="9"/>
  <c r="AQ45" i="9"/>
  <c r="BU45" i="9"/>
  <c r="BZ45" i="9"/>
  <c r="M45" i="9"/>
  <c r="BR45" i="9"/>
  <c r="AY45" i="9"/>
  <c r="BM45" i="9"/>
  <c r="W45" i="9"/>
  <c r="H45" i="9"/>
  <c r="BA45" i="9"/>
  <c r="G45" i="9"/>
  <c r="BJ45" i="9"/>
  <c r="BD45" i="9"/>
  <c r="BF45" i="9"/>
  <c r="K45" i="9"/>
  <c r="J228" i="9"/>
  <c r="K228" i="9"/>
  <c r="L228" i="9"/>
  <c r="AM176" i="9"/>
  <c r="AN176" i="9"/>
  <c r="I152" i="9"/>
  <c r="AN152" i="9"/>
  <c r="AL152" i="9"/>
  <c r="V152" i="9"/>
  <c r="AJ152" i="9"/>
  <c r="T152" i="9"/>
  <c r="AM152" i="9"/>
  <c r="W152" i="9"/>
  <c r="AO152" i="9"/>
  <c r="Y152" i="9"/>
  <c r="AH152" i="9"/>
  <c r="R152" i="9"/>
  <c r="AF152" i="9"/>
  <c r="P152" i="9"/>
  <c r="AI152" i="9"/>
  <c r="S152" i="9"/>
  <c r="AK152" i="9"/>
  <c r="U152" i="9"/>
  <c r="AD152" i="9"/>
  <c r="N152" i="9"/>
  <c r="AB152" i="9"/>
  <c r="L152" i="9"/>
  <c r="AE152" i="9"/>
  <c r="O152" i="9"/>
  <c r="AG152" i="9"/>
  <c r="Q152" i="9"/>
  <c r="Z152" i="9"/>
  <c r="J152" i="9"/>
  <c r="X152" i="9"/>
  <c r="H152" i="9"/>
  <c r="AA152" i="9"/>
  <c r="K152" i="9"/>
  <c r="AC152" i="9"/>
  <c r="M152" i="9"/>
  <c r="AP88" i="9"/>
  <c r="AR88" i="9"/>
  <c r="AQ88" i="9"/>
  <c r="AN88" i="9"/>
  <c r="AO88" i="9"/>
  <c r="AE172" i="9"/>
  <c r="T172" i="9"/>
  <c r="X172" i="9"/>
  <c r="AB172" i="9"/>
  <c r="AF172" i="9"/>
  <c r="U172" i="9"/>
  <c r="Y172" i="9"/>
  <c r="AC172" i="9"/>
  <c r="AG172" i="9"/>
  <c r="V172" i="9"/>
  <c r="Z172" i="9"/>
  <c r="AD172" i="9"/>
  <c r="S172" i="9"/>
  <c r="W172" i="9"/>
  <c r="AA172" i="9"/>
  <c r="AS296" i="9"/>
  <c r="AR296" i="9"/>
  <c r="AQ296" i="9"/>
  <c r="J288" i="9"/>
  <c r="N288" i="9"/>
  <c r="T288" i="9"/>
  <c r="X288" i="9"/>
  <c r="AB288" i="9"/>
  <c r="AF288" i="9"/>
  <c r="AJ288" i="9"/>
  <c r="AN288" i="9"/>
  <c r="AR288" i="9"/>
  <c r="AV288" i="9"/>
  <c r="AZ288" i="9"/>
  <c r="BD288" i="9"/>
  <c r="L288" i="9"/>
  <c r="V288" i="9"/>
  <c r="Z288" i="9"/>
  <c r="AH288" i="9"/>
  <c r="AP288" i="9"/>
  <c r="AX288" i="9"/>
  <c r="I288" i="9"/>
  <c r="S288" i="9"/>
  <c r="AA288" i="9"/>
  <c r="AI288" i="9"/>
  <c r="AQ288" i="9"/>
  <c r="AY288" i="9"/>
  <c r="K288" i="9"/>
  <c r="O288" i="9"/>
  <c r="U288" i="9"/>
  <c r="Y288" i="9"/>
  <c r="AC288" i="9"/>
  <c r="AG288" i="9"/>
  <c r="AK288" i="9"/>
  <c r="AO288" i="9"/>
  <c r="AS288" i="9"/>
  <c r="AW288" i="9"/>
  <c r="BA288" i="9"/>
  <c r="H288" i="9"/>
  <c r="P288" i="9"/>
  <c r="AD288" i="9"/>
  <c r="AL288" i="9"/>
  <c r="AT288" i="9"/>
  <c r="BB288" i="9"/>
  <c r="M288" i="9"/>
  <c r="W288" i="9"/>
  <c r="AE288" i="9"/>
  <c r="AM288" i="9"/>
  <c r="AU288" i="9"/>
  <c r="BC288" i="9"/>
  <c r="F292" i="9"/>
  <c r="T208" i="9"/>
  <c r="R208" i="9"/>
  <c r="P208" i="9"/>
  <c r="H208" i="9"/>
  <c r="K208" i="9"/>
  <c r="N208" i="9"/>
  <c r="O208" i="9"/>
  <c r="S208" i="9"/>
  <c r="Q208" i="9"/>
  <c r="U208" i="9"/>
  <c r="J208" i="9"/>
  <c r="G208" i="9"/>
  <c r="I208" i="9"/>
  <c r="M208" i="9"/>
  <c r="L208" i="9"/>
  <c r="H232" i="9"/>
  <c r="G232" i="9"/>
  <c r="T148" i="9"/>
  <c r="H148" i="9"/>
  <c r="L148" i="9"/>
  <c r="M148" i="9"/>
  <c r="Q148" i="9"/>
  <c r="G148" i="9"/>
  <c r="S148" i="9"/>
  <c r="V148" i="9"/>
  <c r="K148" i="9"/>
  <c r="R148" i="9"/>
  <c r="P148" i="9"/>
  <c r="I148" i="9"/>
  <c r="N148" i="9"/>
  <c r="U148" i="9"/>
  <c r="O148" i="9"/>
  <c r="J148" i="9"/>
  <c r="Q276" i="9"/>
  <c r="G276" i="9"/>
  <c r="K276" i="9"/>
  <c r="R276" i="9"/>
  <c r="J276" i="9"/>
  <c r="O276" i="9"/>
  <c r="N276" i="9"/>
  <c r="S276" i="9"/>
  <c r="P276" i="9"/>
  <c r="H276" i="9"/>
  <c r="L276" i="9"/>
  <c r="I276" i="9"/>
  <c r="M276" i="9"/>
  <c r="G228" i="9"/>
  <c r="H228" i="9"/>
  <c r="I228" i="9"/>
  <c r="I216" i="9"/>
  <c r="G216" i="9"/>
  <c r="H216" i="9"/>
  <c r="M216" i="9"/>
  <c r="Q244" i="9"/>
  <c r="N244" i="9"/>
  <c r="P244" i="9"/>
  <c r="J244" i="9"/>
  <c r="L244" i="9"/>
  <c r="K244" i="9"/>
  <c r="M244" i="9"/>
  <c r="O244" i="9"/>
  <c r="H244" i="9"/>
  <c r="I244" i="9"/>
  <c r="G244" i="9"/>
  <c r="H108" i="9"/>
  <c r="I108" i="9"/>
  <c r="G108" i="9"/>
  <c r="M280" i="9"/>
  <c r="K280" i="9"/>
  <c r="L280" i="9"/>
  <c r="H280" i="9"/>
  <c r="G280" i="9"/>
  <c r="I280" i="9"/>
  <c r="J280" i="9"/>
  <c r="U296" i="9"/>
  <c r="I296" i="9"/>
  <c r="AK296" i="9"/>
  <c r="Y296" i="9"/>
  <c r="M296" i="9"/>
  <c r="AO296" i="9"/>
  <c r="AC296" i="9"/>
  <c r="Q296" i="9"/>
  <c r="AG296" i="9"/>
  <c r="V296" i="9"/>
  <c r="AL296" i="9"/>
  <c r="O296" i="9"/>
  <c r="AE296" i="9"/>
  <c r="J296" i="9"/>
  <c r="Z296" i="9"/>
  <c r="AP296" i="9"/>
  <c r="S296" i="9"/>
  <c r="AI296" i="9"/>
  <c r="H296" i="9"/>
  <c r="X296" i="9"/>
  <c r="AN296" i="9"/>
  <c r="N296" i="9"/>
  <c r="AD296" i="9"/>
  <c r="G296" i="9"/>
  <c r="W296" i="9"/>
  <c r="AM296" i="9"/>
  <c r="L296" i="9"/>
  <c r="AB296" i="9"/>
  <c r="AJ296" i="9"/>
  <c r="P296" i="9"/>
  <c r="AH296" i="9"/>
  <c r="K296" i="9"/>
  <c r="R296" i="9"/>
  <c r="AA296" i="9"/>
  <c r="T296" i="9"/>
  <c r="AF296" i="9"/>
  <c r="T212" i="9"/>
  <c r="V212" i="9"/>
  <c r="W212" i="9"/>
  <c r="K212" i="9"/>
  <c r="O212" i="9"/>
  <c r="H212" i="9"/>
  <c r="J212" i="9"/>
  <c r="S212" i="9"/>
  <c r="U212" i="9"/>
  <c r="Q212" i="9"/>
  <c r="R212" i="9"/>
  <c r="G212" i="9"/>
  <c r="I212" i="9"/>
  <c r="P212" i="9"/>
  <c r="G220" i="9"/>
  <c r="H220" i="9"/>
  <c r="L220" i="9"/>
  <c r="I220" i="9"/>
  <c r="J136" i="9"/>
  <c r="M136" i="9"/>
  <c r="I136" i="9"/>
  <c r="O136" i="9"/>
  <c r="H136" i="9"/>
  <c r="P136" i="9"/>
  <c r="K136" i="9"/>
  <c r="L136" i="9"/>
  <c r="N136" i="9"/>
  <c r="G136" i="9"/>
  <c r="R308" i="9"/>
  <c r="K308" i="9"/>
  <c r="AQ308" i="9"/>
  <c r="N308" i="9"/>
  <c r="AT308" i="9"/>
  <c r="Z308" i="9"/>
  <c r="S308" i="9"/>
  <c r="V308" i="9"/>
  <c r="AE308" i="9"/>
  <c r="AH308" i="9"/>
  <c r="AA308" i="9"/>
  <c r="AD308" i="9"/>
  <c r="G308" i="9"/>
  <c r="AM308" i="9"/>
  <c r="AP308" i="9"/>
  <c r="AI308" i="9"/>
  <c r="O308" i="9"/>
  <c r="J308" i="9"/>
  <c r="AL308" i="9"/>
  <c r="T308" i="9"/>
  <c r="AJ308" i="9"/>
  <c r="W308" i="9"/>
  <c r="H308" i="9"/>
  <c r="X308" i="9"/>
  <c r="AN308" i="9"/>
  <c r="Q308" i="9"/>
  <c r="AG308" i="9"/>
  <c r="L308" i="9"/>
  <c r="AB308" i="9"/>
  <c r="AR308" i="9"/>
  <c r="U308" i="9"/>
  <c r="AK308" i="9"/>
  <c r="AC308" i="9"/>
  <c r="I308" i="9"/>
  <c r="AO308" i="9"/>
  <c r="P308" i="9"/>
  <c r="M308" i="9"/>
  <c r="AS308" i="9"/>
  <c r="AF308" i="9"/>
  <c r="Y308" i="9"/>
  <c r="F188" i="9"/>
  <c r="O240" i="9"/>
  <c r="J240" i="9"/>
  <c r="P240" i="9"/>
  <c r="R240" i="9"/>
  <c r="H240" i="9"/>
  <c r="N240" i="9"/>
  <c r="L240" i="9"/>
  <c r="I240" i="9"/>
  <c r="M240" i="9"/>
  <c r="G240" i="9"/>
  <c r="Q240" i="9"/>
  <c r="K240" i="9"/>
  <c r="H52" i="9"/>
  <c r="G52" i="9"/>
  <c r="I52" i="9"/>
  <c r="J52" i="9"/>
  <c r="K52" i="9"/>
  <c r="J60" i="9"/>
  <c r="I60" i="9"/>
  <c r="H60" i="9"/>
  <c r="G60" i="9"/>
  <c r="N272" i="9"/>
  <c r="R272" i="9"/>
  <c r="P272" i="9"/>
  <c r="O272" i="9"/>
  <c r="L272" i="9"/>
  <c r="K272" i="9"/>
  <c r="I272" i="9"/>
  <c r="J272" i="9"/>
  <c r="H272" i="9"/>
  <c r="G272" i="9"/>
  <c r="Q272" i="9"/>
  <c r="M272" i="9"/>
  <c r="S272" i="9"/>
  <c r="L252" i="9"/>
  <c r="M252" i="9"/>
  <c r="J252" i="9"/>
  <c r="I252" i="9"/>
  <c r="G252" i="9"/>
  <c r="H252" i="9"/>
  <c r="K252" i="9"/>
  <c r="AJ92" i="9"/>
  <c r="W92" i="9"/>
  <c r="X88" i="9"/>
  <c r="X92" i="9"/>
  <c r="AM92" i="9"/>
  <c r="AB88" i="9"/>
  <c r="AC92" i="9"/>
  <c r="AC88" i="9"/>
  <c r="AE92" i="9"/>
  <c r="AH92" i="9"/>
  <c r="AM88" i="9"/>
  <c r="W88" i="9"/>
  <c r="AA88" i="9"/>
  <c r="AF92" i="9"/>
  <c r="AG92" i="9"/>
  <c r="AG88" i="9"/>
  <c r="AH88" i="9"/>
  <c r="AD92" i="9"/>
  <c r="AI88" i="9"/>
  <c r="AB92" i="9"/>
  <c r="AD88" i="9"/>
  <c r="AK92" i="9"/>
  <c r="AF88" i="9"/>
  <c r="AL88" i="9"/>
  <c r="Z92" i="9"/>
  <c r="AE88" i="9"/>
  <c r="AJ88" i="9"/>
  <c r="AI92" i="9"/>
  <c r="Y92" i="9"/>
  <c r="AL92" i="9"/>
  <c r="V92" i="9"/>
  <c r="AK88" i="9"/>
  <c r="Y88" i="9"/>
  <c r="AA92" i="9"/>
  <c r="Z88" i="9"/>
  <c r="F100" i="9"/>
  <c r="I196" i="9"/>
  <c r="G196" i="9"/>
  <c r="K196" i="9"/>
  <c r="L196" i="9"/>
  <c r="J196" i="9"/>
  <c r="H196" i="9"/>
  <c r="M268" i="9"/>
  <c r="I268" i="9"/>
  <c r="O268" i="9"/>
  <c r="N268" i="9"/>
  <c r="L268" i="9"/>
  <c r="K268" i="9"/>
  <c r="J268" i="9"/>
  <c r="Q268" i="9"/>
  <c r="G268" i="9"/>
  <c r="P268" i="9"/>
  <c r="R268" i="9"/>
  <c r="H268" i="9"/>
  <c r="S268" i="9"/>
  <c r="I204" i="9"/>
  <c r="K204" i="9"/>
  <c r="G204" i="9"/>
  <c r="J204" i="9"/>
  <c r="L204" i="9"/>
  <c r="H204" i="9"/>
  <c r="H76" i="9"/>
  <c r="G76" i="9"/>
  <c r="G132" i="9"/>
  <c r="H132" i="9"/>
  <c r="S200" i="9"/>
  <c r="R200" i="9"/>
  <c r="L200" i="9"/>
  <c r="N200" i="9"/>
  <c r="T200" i="9"/>
  <c r="H200" i="9"/>
  <c r="P200" i="9"/>
  <c r="M200" i="9"/>
  <c r="K200" i="9"/>
  <c r="Q200" i="9"/>
  <c r="O200" i="9"/>
  <c r="J200" i="9"/>
  <c r="U200" i="9"/>
  <c r="G200" i="9"/>
  <c r="I200" i="9"/>
  <c r="I104" i="9"/>
  <c r="J104" i="9"/>
  <c r="H104" i="9"/>
  <c r="G104" i="9"/>
  <c r="L104" i="9"/>
  <c r="K104" i="9"/>
  <c r="O120" i="9"/>
  <c r="AJ120" i="9"/>
  <c r="BF120" i="9"/>
  <c r="CA120" i="9"/>
  <c r="K120" i="9"/>
  <c r="AL120" i="9"/>
  <c r="BG120" i="9"/>
  <c r="CB120" i="9"/>
  <c r="G120" i="9"/>
  <c r="AB120" i="9"/>
  <c r="AX120" i="9"/>
  <c r="BS120" i="9"/>
  <c r="U120" i="9"/>
  <c r="V120" i="9"/>
  <c r="AP120" i="9"/>
  <c r="BK120" i="9"/>
  <c r="P120" i="9"/>
  <c r="AQ120" i="9"/>
  <c r="BL120" i="9"/>
  <c r="L120" i="9"/>
  <c r="AH120" i="9"/>
  <c r="BC120" i="9"/>
  <c r="BX120" i="9"/>
  <c r="Z120" i="9"/>
  <c r="BP120" i="9"/>
  <c r="AA120" i="9"/>
  <c r="BR120" i="9"/>
  <c r="T120" i="9"/>
  <c r="BH120" i="9"/>
  <c r="H120" i="9"/>
  <c r="AI120" i="9"/>
  <c r="BD120" i="9"/>
  <c r="BZ120" i="9"/>
  <c r="AE120" i="9"/>
  <c r="BV120" i="9"/>
  <c r="AF120" i="9"/>
  <c r="BW120" i="9"/>
  <c r="W120" i="9"/>
  <c r="BN120" i="9"/>
  <c r="N120" i="9"/>
  <c r="AN120" i="9"/>
  <c r="BJ120" i="9"/>
  <c r="AU120" i="9"/>
  <c r="AV120" i="9"/>
  <c r="AM120" i="9"/>
  <c r="CD120" i="9"/>
  <c r="X120" i="9"/>
  <c r="AT120" i="9"/>
  <c r="BO120" i="9"/>
  <c r="S120" i="9"/>
  <c r="AK120" i="9"/>
  <c r="BA120" i="9"/>
  <c r="BQ120" i="9"/>
  <c r="BB120" i="9"/>
  <c r="AD120" i="9"/>
  <c r="Y120" i="9"/>
  <c r="AO120" i="9"/>
  <c r="BE120" i="9"/>
  <c r="BU120" i="9"/>
  <c r="AR120" i="9"/>
  <c r="J120" i="9"/>
  <c r="AY120" i="9"/>
  <c r="I120" i="9"/>
  <c r="AC120" i="9"/>
  <c r="AS120" i="9"/>
  <c r="BI120" i="9"/>
  <c r="BY120" i="9"/>
  <c r="AZ120" i="9"/>
  <c r="BT120" i="9"/>
  <c r="AW120" i="9"/>
  <c r="BM120" i="9"/>
  <c r="AG120" i="9"/>
  <c r="M120" i="9"/>
  <c r="CC120" i="9"/>
  <c r="Q172" i="9"/>
  <c r="N172" i="9"/>
  <c r="O172" i="9"/>
  <c r="K172" i="9"/>
  <c r="R172" i="9"/>
  <c r="P172" i="9"/>
  <c r="G172" i="9"/>
  <c r="H172" i="9"/>
  <c r="J172" i="9"/>
  <c r="I172" i="9"/>
  <c r="L172" i="9"/>
  <c r="M172" i="9"/>
  <c r="AA284" i="9"/>
  <c r="L284" i="9"/>
  <c r="P284" i="9"/>
  <c r="T284" i="9"/>
  <c r="X284" i="9"/>
  <c r="AB284" i="9"/>
  <c r="H284" i="9"/>
  <c r="M284" i="9"/>
  <c r="R284" i="9"/>
  <c r="Q284" i="9"/>
  <c r="V284" i="9"/>
  <c r="G284" i="9"/>
  <c r="W284" i="9"/>
  <c r="U284" i="9"/>
  <c r="J284" i="9"/>
  <c r="Z284" i="9"/>
  <c r="K284" i="9"/>
  <c r="S284" i="9"/>
  <c r="O284" i="9"/>
  <c r="I284" i="9"/>
  <c r="N284" i="9"/>
  <c r="Y284" i="9"/>
  <c r="AX128" i="9"/>
  <c r="Q128" i="9"/>
  <c r="AS128" i="9"/>
  <c r="AG128" i="9"/>
  <c r="T128" i="9"/>
  <c r="AW128" i="9"/>
  <c r="AC128" i="9"/>
  <c r="X128" i="9"/>
  <c r="AZ128" i="9"/>
  <c r="N128" i="9"/>
  <c r="AN128" i="9"/>
  <c r="AB128" i="9"/>
  <c r="BD128" i="9"/>
  <c r="AJ128" i="9"/>
  <c r="AD128" i="9"/>
  <c r="R128" i="9"/>
  <c r="AT128" i="9"/>
  <c r="AH128" i="9"/>
  <c r="H128" i="9"/>
  <c r="AR128" i="9"/>
  <c r="I128" i="9"/>
  <c r="V128" i="9"/>
  <c r="AL128" i="9"/>
  <c r="Y128" i="9"/>
  <c r="BB128" i="9"/>
  <c r="BC128" i="9"/>
  <c r="AM128" i="9"/>
  <c r="W128" i="9"/>
  <c r="G128" i="9"/>
  <c r="Z128" i="9"/>
  <c r="AV128" i="9"/>
  <c r="AO128" i="9"/>
  <c r="AY128" i="9"/>
  <c r="AI128" i="9"/>
  <c r="S128" i="9"/>
  <c r="J128" i="9"/>
  <c r="AF128" i="9"/>
  <c r="BA128" i="9"/>
  <c r="AU128" i="9"/>
  <c r="AE128" i="9"/>
  <c r="O128" i="9"/>
  <c r="P128" i="9"/>
  <c r="AK128" i="9"/>
  <c r="AA128" i="9"/>
  <c r="M128" i="9"/>
  <c r="U128" i="9"/>
  <c r="AQ128" i="9"/>
  <c r="AP128" i="9"/>
  <c r="AO112" i="9"/>
  <c r="V112" i="9"/>
  <c r="Q112" i="9"/>
  <c r="R112" i="9"/>
  <c r="AB112" i="9"/>
  <c r="AC112" i="9"/>
  <c r="AG112" i="9"/>
  <c r="X112" i="9"/>
  <c r="H112" i="9"/>
  <c r="Y112" i="9"/>
  <c r="AE112" i="9"/>
  <c r="O112" i="9"/>
  <c r="P112" i="9"/>
  <c r="AK112" i="9"/>
  <c r="AN112" i="9"/>
  <c r="K112" i="9"/>
  <c r="AD112" i="9"/>
  <c r="AA112" i="9"/>
  <c r="M112" i="9"/>
  <c r="U112" i="9"/>
  <c r="AP112" i="9"/>
  <c r="AH112" i="9"/>
  <c r="N112" i="9"/>
  <c r="AJ112" i="9"/>
  <c r="AM112" i="9"/>
  <c r="W112" i="9"/>
  <c r="G112" i="9"/>
  <c r="Z112" i="9"/>
  <c r="AL112" i="9"/>
  <c r="AF112" i="9"/>
  <c r="AI112" i="9"/>
  <c r="S112" i="9"/>
  <c r="T112" i="9"/>
  <c r="L112" i="9"/>
  <c r="S256" i="9"/>
  <c r="O256" i="9"/>
  <c r="R256" i="9"/>
  <c r="N256" i="9"/>
  <c r="T256" i="9"/>
  <c r="L256" i="9"/>
  <c r="W256" i="9"/>
  <c r="Q256" i="9"/>
  <c r="M256" i="9"/>
  <c r="P256" i="9"/>
  <c r="X256" i="9"/>
  <c r="J260" i="9"/>
  <c r="U256" i="9"/>
  <c r="V256" i="9"/>
  <c r="Z256" i="9"/>
  <c r="K260" i="9"/>
  <c r="I260" i="9"/>
  <c r="Y256" i="9"/>
  <c r="G260" i="9"/>
  <c r="H260" i="9"/>
  <c r="F156" i="9"/>
  <c r="M184" i="9"/>
  <c r="Q184" i="9"/>
  <c r="U184" i="9"/>
  <c r="G184" i="9"/>
  <c r="H184" i="9"/>
  <c r="S184" i="9"/>
  <c r="T184" i="9"/>
  <c r="R184" i="9"/>
  <c r="K184" i="9"/>
  <c r="I184" i="9"/>
  <c r="P184" i="9"/>
  <c r="N184" i="9"/>
  <c r="O184" i="9"/>
  <c r="L184" i="9"/>
  <c r="J184" i="9"/>
  <c r="I224" i="9"/>
  <c r="G224" i="9"/>
  <c r="H224" i="9"/>
  <c r="J224" i="9"/>
  <c r="Y236" i="9"/>
  <c r="J236" i="9"/>
  <c r="H236" i="9"/>
  <c r="K236" i="9"/>
  <c r="L236" i="9"/>
  <c r="V236" i="9"/>
  <c r="R236" i="9"/>
  <c r="T236" i="9"/>
  <c r="Z236" i="9"/>
  <c r="P236" i="9"/>
  <c r="X236" i="9"/>
  <c r="G236" i="9"/>
  <c r="N236" i="9"/>
  <c r="U236" i="9"/>
  <c r="O236" i="9"/>
  <c r="I236" i="9"/>
  <c r="S236" i="9"/>
  <c r="M236" i="9"/>
  <c r="W236" i="9"/>
  <c r="Q236" i="9"/>
  <c r="U180" i="9"/>
  <c r="AL176" i="9"/>
  <c r="AF176" i="9"/>
  <c r="Z176" i="9"/>
  <c r="T180" i="9"/>
  <c r="AJ176" i="9"/>
  <c r="N176" i="9"/>
  <c r="H176" i="9"/>
  <c r="AH176" i="9"/>
  <c r="L176" i="9"/>
  <c r="V176" i="9"/>
  <c r="P180" i="9"/>
  <c r="P176" i="9"/>
  <c r="R180" i="9"/>
  <c r="J176" i="9"/>
  <c r="T176" i="9"/>
  <c r="AB176" i="9"/>
  <c r="AD176" i="9"/>
  <c r="X176" i="9"/>
  <c r="Q176" i="9"/>
  <c r="AG176" i="9"/>
  <c r="O176" i="9"/>
  <c r="AE176" i="9"/>
  <c r="U176" i="9"/>
  <c r="AK176" i="9"/>
  <c r="S176" i="9"/>
  <c r="AI176" i="9"/>
  <c r="R176" i="9"/>
  <c r="I176" i="9"/>
  <c r="Y176" i="9"/>
  <c r="O180" i="9"/>
  <c r="G176" i="9"/>
  <c r="W176" i="9"/>
  <c r="S180" i="9"/>
  <c r="K176" i="9"/>
  <c r="AC176" i="9"/>
  <c r="M176" i="9"/>
  <c r="AA176" i="9"/>
  <c r="Q180" i="9"/>
  <c r="F140" i="9"/>
  <c r="G152" i="9"/>
  <c r="Q164" i="9"/>
  <c r="U164" i="9"/>
  <c r="G164" i="9"/>
  <c r="M164" i="9"/>
  <c r="O164" i="9"/>
  <c r="J164" i="9"/>
  <c r="T164" i="9"/>
  <c r="S164" i="9"/>
  <c r="R164" i="9"/>
  <c r="P164" i="9"/>
  <c r="N164" i="9"/>
  <c r="L164" i="9"/>
  <c r="I164" i="9"/>
  <c r="K164" i="9"/>
  <c r="H164" i="9"/>
  <c r="I318" i="9"/>
  <c r="M318" i="9"/>
  <c r="S318" i="9"/>
  <c r="W318" i="9"/>
  <c r="AA318" i="9"/>
  <c r="AE318" i="9"/>
  <c r="AI318" i="9"/>
  <c r="AM318" i="9"/>
  <c r="AQ318" i="9"/>
  <c r="AU318" i="9"/>
  <c r="AY318" i="9"/>
  <c r="BC318" i="9"/>
  <c r="L318" i="9"/>
  <c r="AD318" i="9"/>
  <c r="AP318" i="9"/>
  <c r="J318" i="9"/>
  <c r="N318" i="9"/>
  <c r="T318" i="9"/>
  <c r="X318" i="9"/>
  <c r="AB318" i="9"/>
  <c r="AF318" i="9"/>
  <c r="AJ318" i="9"/>
  <c r="AN318" i="9"/>
  <c r="AR318" i="9"/>
  <c r="AV318" i="9"/>
  <c r="AZ318" i="9"/>
  <c r="BD318" i="9"/>
  <c r="H318" i="9"/>
  <c r="V318" i="9"/>
  <c r="AL318" i="9"/>
  <c r="AX318" i="9"/>
  <c r="G288" i="9"/>
  <c r="K318" i="9"/>
  <c r="O318" i="9"/>
  <c r="U318" i="9"/>
  <c r="Y318" i="9"/>
  <c r="AC318" i="9"/>
  <c r="AG318" i="9"/>
  <c r="AK318" i="9"/>
  <c r="AO318" i="9"/>
  <c r="AS318" i="9"/>
  <c r="AW318" i="9"/>
  <c r="BA318" i="9"/>
  <c r="G318" i="9"/>
  <c r="P318" i="9"/>
  <c r="Z318" i="9"/>
  <c r="AH318" i="9"/>
  <c r="AT318" i="9"/>
  <c r="BB318" i="9"/>
  <c r="G96" i="9"/>
  <c r="I96" i="9"/>
  <c r="H96" i="9"/>
  <c r="G168" i="9"/>
  <c r="M168" i="9"/>
  <c r="I168" i="9"/>
  <c r="H168" i="9"/>
  <c r="K168" i="9"/>
  <c r="N168" i="9"/>
  <c r="J168" i="9"/>
  <c r="O168" i="9"/>
  <c r="P168" i="9"/>
  <c r="L168" i="9"/>
  <c r="N144" i="9"/>
  <c r="U144" i="9"/>
  <c r="G144" i="9"/>
  <c r="V144" i="9"/>
  <c r="Q144" i="9"/>
  <c r="W144" i="9"/>
  <c r="P144" i="9"/>
  <c r="O144" i="9"/>
  <c r="X144" i="9"/>
  <c r="Y144" i="9"/>
  <c r="AA144" i="9"/>
  <c r="H144" i="9"/>
  <c r="M144" i="9"/>
  <c r="R144" i="9"/>
  <c r="K144" i="9"/>
  <c r="Z144" i="9"/>
  <c r="S144" i="9"/>
  <c r="I144" i="9"/>
  <c r="L144" i="9"/>
  <c r="J144" i="9"/>
  <c r="T144" i="9"/>
  <c r="K68" i="9"/>
  <c r="H68" i="9"/>
  <c r="G68" i="9"/>
  <c r="I68" i="9"/>
  <c r="J68" i="9"/>
  <c r="R264" i="9"/>
  <c r="K264" i="9"/>
  <c r="L264" i="9"/>
  <c r="H264" i="9"/>
  <c r="S264" i="9"/>
  <c r="G264" i="9"/>
  <c r="P264" i="9"/>
  <c r="O264" i="9"/>
  <c r="M264" i="9"/>
  <c r="Q264" i="9"/>
  <c r="J264" i="9"/>
  <c r="N264" i="9"/>
  <c r="I264" i="9"/>
  <c r="I92" i="9"/>
  <c r="H92" i="9"/>
  <c r="L92" i="9"/>
  <c r="G92" i="9"/>
  <c r="J92" i="9"/>
  <c r="K92" i="9"/>
  <c r="I256" i="9"/>
  <c r="H256" i="9"/>
  <c r="J256" i="9"/>
  <c r="K256" i="9"/>
  <c r="G256" i="9"/>
  <c r="O64" i="9"/>
  <c r="N64" i="9"/>
  <c r="J64" i="9"/>
  <c r="H64" i="9"/>
  <c r="M64" i="9"/>
  <c r="L64" i="9"/>
  <c r="I64" i="9"/>
  <c r="G64" i="9"/>
  <c r="K64" i="9"/>
  <c r="P64" i="9"/>
  <c r="AE192" i="9"/>
  <c r="N192" i="9"/>
  <c r="J192" i="9"/>
  <c r="V192" i="9"/>
  <c r="H192" i="9"/>
  <c r="T192" i="9"/>
  <c r="AD192" i="9"/>
  <c r="P192" i="9"/>
  <c r="R192" i="9"/>
  <c r="AB192" i="9"/>
  <c r="L192" i="9"/>
  <c r="X192" i="9"/>
  <c r="Z192" i="9"/>
  <c r="U192" i="9"/>
  <c r="S192" i="9"/>
  <c r="I192" i="9"/>
  <c r="Y192" i="9"/>
  <c r="G192" i="9"/>
  <c r="W192" i="9"/>
  <c r="M192" i="9"/>
  <c r="AC192" i="9"/>
  <c r="K192" i="9"/>
  <c r="AA192" i="9"/>
  <c r="O192" i="9"/>
  <c r="Q192" i="9"/>
  <c r="G248" i="9"/>
  <c r="K248" i="9"/>
  <c r="H248" i="9"/>
  <c r="J248" i="9"/>
  <c r="I248" i="9"/>
  <c r="AC160" i="9"/>
  <c r="U160" i="9"/>
  <c r="Y160" i="9"/>
  <c r="R160" i="9"/>
  <c r="T160" i="9"/>
  <c r="AF160" i="9"/>
  <c r="AH160" i="9"/>
  <c r="Z160" i="9"/>
  <c r="G160" i="9"/>
  <c r="AJ160" i="9"/>
  <c r="N160" i="9"/>
  <c r="I160" i="9"/>
  <c r="K160" i="9"/>
  <c r="AA160" i="9"/>
  <c r="AL160" i="9"/>
  <c r="Q160" i="9"/>
  <c r="P160" i="9"/>
  <c r="M160" i="9"/>
  <c r="AM160" i="9"/>
  <c r="W160" i="9"/>
  <c r="AG160" i="9"/>
  <c r="L160" i="9"/>
  <c r="X160" i="9"/>
  <c r="AI160" i="9"/>
  <c r="S160" i="9"/>
  <c r="AB160" i="9"/>
  <c r="H160" i="9"/>
  <c r="AD160" i="9"/>
  <c r="O160" i="9"/>
  <c r="V160" i="9"/>
  <c r="J160" i="9"/>
  <c r="AE160" i="9"/>
  <c r="AK160" i="9"/>
  <c r="M180" i="9"/>
  <c r="J180" i="9"/>
  <c r="K180" i="9"/>
  <c r="H180" i="9"/>
  <c r="G180" i="9"/>
  <c r="N180" i="9"/>
  <c r="L180" i="9"/>
  <c r="I180" i="9"/>
  <c r="D14" i="9"/>
  <c r="C15" i="9"/>
  <c r="BM20" i="6" l="1"/>
  <c r="BN20" i="6" s="1"/>
  <c r="B81" i="6"/>
  <c r="BN73" i="6"/>
  <c r="B114" i="6"/>
  <c r="B144" i="6"/>
  <c r="B94" i="6"/>
  <c r="B138" i="6"/>
  <c r="B158" i="6"/>
  <c r="B162" i="6"/>
  <c r="F80" i="9"/>
  <c r="F72" i="9"/>
  <c r="F124" i="9"/>
  <c r="F116" i="9"/>
  <c r="AF10" i="6"/>
  <c r="I23" i="6"/>
  <c r="G300" i="9"/>
  <c r="F56" i="9"/>
  <c r="F84" i="9"/>
  <c r="B20" i="6"/>
  <c r="H300" i="9"/>
  <c r="N300" i="9"/>
  <c r="M300" i="9"/>
  <c r="L300" i="9"/>
  <c r="I300" i="9"/>
  <c r="K300" i="9"/>
  <c r="F45" i="9"/>
  <c r="F39" i="9" s="1"/>
  <c r="F288" i="9"/>
  <c r="F68" i="9"/>
  <c r="F176" i="9"/>
  <c r="F224" i="9"/>
  <c r="F112" i="9"/>
  <c r="F204" i="9"/>
  <c r="F196" i="9"/>
  <c r="F60" i="9"/>
  <c r="F216" i="9"/>
  <c r="F208" i="9"/>
  <c r="F160" i="9"/>
  <c r="F64" i="9"/>
  <c r="F184" i="9"/>
  <c r="F284" i="9"/>
  <c r="F136" i="9"/>
  <c r="F212" i="9"/>
  <c r="F280" i="9"/>
  <c r="F244" i="9"/>
  <c r="F232" i="9"/>
  <c r="F144" i="9"/>
  <c r="F248" i="9"/>
  <c r="F92" i="9"/>
  <c r="F256" i="9"/>
  <c r="F96" i="9"/>
  <c r="F164" i="9"/>
  <c r="F152" i="9"/>
  <c r="F236" i="9"/>
  <c r="F260" i="9"/>
  <c r="F128" i="9"/>
  <c r="F120" i="9"/>
  <c r="F104" i="9"/>
  <c r="F132" i="9"/>
  <c r="F252" i="9"/>
  <c r="F272" i="9"/>
  <c r="F220" i="9"/>
  <c r="F296" i="9"/>
  <c r="F264" i="9"/>
  <c r="F192" i="9"/>
  <c r="F180" i="9"/>
  <c r="F168" i="9"/>
  <c r="F172" i="9"/>
  <c r="F200" i="9"/>
  <c r="F76" i="9"/>
  <c r="F268" i="9"/>
  <c r="F88" i="9"/>
  <c r="F52" i="9"/>
  <c r="F240" i="9"/>
  <c r="F308" i="9"/>
  <c r="F108" i="9"/>
  <c r="F228" i="9"/>
  <c r="F276" i="9"/>
  <c r="F148" i="9"/>
  <c r="C16" i="9"/>
  <c r="D15" i="9"/>
  <c r="AA23" i="6" l="1"/>
  <c r="AB23" i="6"/>
  <c r="AC23" i="6"/>
  <c r="AE23" i="6"/>
  <c r="W23" i="6"/>
  <c r="Y23" i="6"/>
  <c r="Z23" i="6"/>
  <c r="X23" i="6"/>
  <c r="AD23" i="6"/>
  <c r="AG10" i="6"/>
  <c r="AH10" i="6" s="1"/>
  <c r="AI10" i="6" s="1"/>
  <c r="AJ10" i="6" s="1"/>
  <c r="F300" i="9"/>
  <c r="C17" i="9"/>
  <c r="D16" i="9"/>
  <c r="BM77" i="6" l="1"/>
  <c r="BN77" i="6" s="1"/>
  <c r="Z50" i="6"/>
  <c r="AK10" i="6"/>
  <c r="AL10" i="6" s="1"/>
  <c r="BM23" i="6"/>
  <c r="BN23" i="6" s="1"/>
  <c r="C18" i="9"/>
  <c r="D17" i="9"/>
  <c r="BM85" i="6" l="1"/>
  <c r="BN85" i="6" s="1"/>
  <c r="BM50" i="6"/>
  <c r="B23" i="6"/>
  <c r="AH31" i="6"/>
  <c r="AE31" i="6"/>
  <c r="AI31" i="6"/>
  <c r="AF31" i="6"/>
  <c r="AJ31" i="6"/>
  <c r="AG31" i="6"/>
  <c r="I52" i="6"/>
  <c r="AM10" i="6"/>
  <c r="D18" i="9"/>
  <c r="C19" i="9"/>
  <c r="B52" i="6" l="1"/>
  <c r="BN50" i="6"/>
  <c r="BM31" i="6"/>
  <c r="BN31" i="6" s="1"/>
  <c r="I40" i="6"/>
  <c r="I27" i="6"/>
  <c r="AN10" i="6"/>
  <c r="AH52" i="6"/>
  <c r="AJ52" i="6"/>
  <c r="AF52" i="6"/>
  <c r="AK52" i="6"/>
  <c r="AL52" i="6"/>
  <c r="AI52" i="6"/>
  <c r="AG52" i="6"/>
  <c r="C20" i="9"/>
  <c r="D19" i="9"/>
  <c r="BM106" i="6" l="1"/>
  <c r="BN106" i="6" s="1"/>
  <c r="BM81" i="6"/>
  <c r="BN81" i="6" s="1"/>
  <c r="I59" i="6"/>
  <c r="AO10" i="6"/>
  <c r="BM52" i="6"/>
  <c r="BN52" i="6" s="1"/>
  <c r="AH27" i="6"/>
  <c r="AM27" i="6"/>
  <c r="Z27" i="6"/>
  <c r="AI27" i="6"/>
  <c r="AL27" i="6"/>
  <c r="AD27" i="6"/>
  <c r="AB27" i="6"/>
  <c r="AA27" i="6"/>
  <c r="AG27" i="6"/>
  <c r="AJ27" i="6"/>
  <c r="AF27" i="6"/>
  <c r="AK27" i="6"/>
  <c r="AC27" i="6"/>
  <c r="AE27" i="6"/>
  <c r="AC40" i="6"/>
  <c r="AB40" i="6"/>
  <c r="AK40" i="6"/>
  <c r="AA40" i="6"/>
  <c r="AH40" i="6"/>
  <c r="AF40" i="6"/>
  <c r="AI40" i="6"/>
  <c r="AG40" i="6"/>
  <c r="AD40" i="6"/>
  <c r="Z40" i="6"/>
  <c r="AL40" i="6"/>
  <c r="AE40" i="6"/>
  <c r="AM40" i="6"/>
  <c r="AJ40" i="6"/>
  <c r="B31" i="6"/>
  <c r="C21" i="9"/>
  <c r="D20" i="9"/>
  <c r="BM94" i="6" l="1"/>
  <c r="BN94" i="6" s="1"/>
  <c r="BM27" i="6"/>
  <c r="BN27" i="6" s="1"/>
  <c r="AK59" i="6"/>
  <c r="AL59" i="6"/>
  <c r="AM59" i="6"/>
  <c r="AN59" i="6"/>
  <c r="AJ59" i="6"/>
  <c r="BM40" i="6"/>
  <c r="BN40" i="6" s="1"/>
  <c r="I42" i="6"/>
  <c r="AP10" i="6"/>
  <c r="AQ10" i="6" s="1"/>
  <c r="AR10" i="6" s="1"/>
  <c r="C22" i="9"/>
  <c r="D21" i="9"/>
  <c r="BM59" i="6" l="1"/>
  <c r="BN59" i="6" s="1"/>
  <c r="B27" i="6"/>
  <c r="I29" i="6"/>
  <c r="AS10" i="6"/>
  <c r="I44" i="6"/>
  <c r="B42" i="6"/>
  <c r="AG42" i="6"/>
  <c r="AJ42" i="6"/>
  <c r="AK42" i="6"/>
  <c r="AO42" i="6"/>
  <c r="AH42" i="6"/>
  <c r="AM42" i="6"/>
  <c r="AD42" i="6"/>
  <c r="AC42" i="6"/>
  <c r="AN42" i="6"/>
  <c r="AF42" i="6"/>
  <c r="AE42" i="6"/>
  <c r="AI42" i="6"/>
  <c r="AL42" i="6"/>
  <c r="C23" i="9"/>
  <c r="D22" i="9"/>
  <c r="BM96" i="6" l="1"/>
  <c r="BN96" i="6" s="1"/>
  <c r="AO29" i="6"/>
  <c r="AM29" i="6"/>
  <c r="AN29" i="6"/>
  <c r="AG29" i="6"/>
  <c r="AF29" i="6"/>
  <c r="AJ29" i="6"/>
  <c r="AD29" i="6"/>
  <c r="AL29" i="6"/>
  <c r="AK29" i="6"/>
  <c r="AR29" i="6"/>
  <c r="AQ29" i="6"/>
  <c r="AE29" i="6"/>
  <c r="AH29" i="6"/>
  <c r="AI29" i="6"/>
  <c r="AP29" i="6"/>
  <c r="AP44" i="6"/>
  <c r="AN44" i="6"/>
  <c r="AE44" i="6"/>
  <c r="AI44" i="6"/>
  <c r="AO44" i="6"/>
  <c r="AF44" i="6"/>
  <c r="AG44" i="6"/>
  <c r="AQ44" i="6"/>
  <c r="AJ44" i="6"/>
  <c r="AD44" i="6"/>
  <c r="AL44" i="6"/>
  <c r="AH44" i="6"/>
  <c r="AM44" i="6"/>
  <c r="AR44" i="6"/>
  <c r="AK44" i="6"/>
  <c r="BM42" i="6"/>
  <c r="BN42" i="6" s="1"/>
  <c r="AT10" i="6"/>
  <c r="AU10" i="6" s="1"/>
  <c r="AV10" i="6" s="1"/>
  <c r="I33" i="6"/>
  <c r="C24" i="9"/>
  <c r="D23" i="9"/>
  <c r="BM98" i="6" l="1"/>
  <c r="BN98" i="6" s="1"/>
  <c r="BM83" i="6"/>
  <c r="BN83" i="6" s="1"/>
  <c r="AG33" i="6"/>
  <c r="AR33" i="6"/>
  <c r="AS33" i="6"/>
  <c r="AH33" i="6"/>
  <c r="AO33" i="6"/>
  <c r="AP33" i="6"/>
  <c r="AF33" i="6"/>
  <c r="AI33" i="6"/>
  <c r="AQ33" i="6"/>
  <c r="AK33" i="6"/>
  <c r="AM33" i="6"/>
  <c r="AL33" i="6"/>
  <c r="AJ33" i="6"/>
  <c r="AN33" i="6"/>
  <c r="BM44" i="6"/>
  <c r="BN44" i="6" s="1"/>
  <c r="BM29" i="6"/>
  <c r="BN29" i="6" s="1"/>
  <c r="I37" i="6"/>
  <c r="AW10" i="6"/>
  <c r="I35" i="6"/>
  <c r="B46" i="6"/>
  <c r="B44" i="6"/>
  <c r="C25" i="9"/>
  <c r="D24" i="9"/>
  <c r="B100" i="6" l="1"/>
  <c r="BM87" i="6"/>
  <c r="BN87" i="6" s="1"/>
  <c r="AM35" i="6"/>
  <c r="AR35" i="6"/>
  <c r="AO35" i="6"/>
  <c r="AN35" i="6"/>
  <c r="AL35" i="6"/>
  <c r="AI35" i="6"/>
  <c r="AJ35" i="6"/>
  <c r="AS35" i="6"/>
  <c r="AP35" i="6"/>
  <c r="AV35" i="6"/>
  <c r="AK35" i="6"/>
  <c r="AQ35" i="6"/>
  <c r="I66" i="6"/>
  <c r="AX10" i="6"/>
  <c r="I46" i="6"/>
  <c r="BM33" i="6"/>
  <c r="BN33" i="6" s="1"/>
  <c r="AV37" i="6"/>
  <c r="AJ37" i="6"/>
  <c r="AO37" i="6"/>
  <c r="AM37" i="6"/>
  <c r="AN37" i="6"/>
  <c r="AS37" i="6"/>
  <c r="AQ37" i="6"/>
  <c r="AR37" i="6"/>
  <c r="AL37" i="6"/>
  <c r="AP37" i="6"/>
  <c r="AK37" i="6"/>
  <c r="AI37" i="6"/>
  <c r="B29" i="6"/>
  <c r="C26" i="9"/>
  <c r="D25" i="9"/>
  <c r="BM89" i="6" l="1"/>
  <c r="BN89" i="6" s="1"/>
  <c r="AI46" i="6"/>
  <c r="AO46" i="6"/>
  <c r="AK46" i="6"/>
  <c r="AV46" i="6"/>
  <c r="AS46" i="6"/>
  <c r="AJ46" i="6"/>
  <c r="AH46" i="6"/>
  <c r="AR46" i="6"/>
  <c r="AW46" i="6"/>
  <c r="AN46" i="6"/>
  <c r="AL46" i="6"/>
  <c r="AP46" i="6"/>
  <c r="AM46" i="6"/>
  <c r="AQ46" i="6"/>
  <c r="BM35" i="6"/>
  <c r="BN35" i="6" s="1"/>
  <c r="BM37" i="6"/>
  <c r="BN37" i="6" s="1"/>
  <c r="I70" i="6"/>
  <c r="I68" i="6"/>
  <c r="AY10" i="6"/>
  <c r="B33" i="6"/>
  <c r="AR66" i="6"/>
  <c r="AS66" i="6"/>
  <c r="AW66" i="6"/>
  <c r="AQ66" i="6"/>
  <c r="AV66" i="6"/>
  <c r="D26" i="9"/>
  <c r="C27" i="9"/>
  <c r="BM100" i="6" l="1"/>
  <c r="BN100" i="6" s="1"/>
  <c r="BM66" i="6"/>
  <c r="BN66" i="6" s="1"/>
  <c r="B37" i="6"/>
  <c r="BM46" i="6"/>
  <c r="BN46" i="6" s="1"/>
  <c r="AX68" i="6"/>
  <c r="AR68" i="6"/>
  <c r="AW68" i="6"/>
  <c r="AS68" i="6"/>
  <c r="AV68" i="6"/>
  <c r="I57" i="6"/>
  <c r="I55" i="6"/>
  <c r="AZ10" i="6"/>
  <c r="AR70" i="6"/>
  <c r="AS70" i="6"/>
  <c r="AX70" i="6"/>
  <c r="AW70" i="6"/>
  <c r="AV70" i="6"/>
  <c r="BM10" i="6"/>
  <c r="BN10" i="6" s="1"/>
  <c r="C28" i="9"/>
  <c r="D27" i="9"/>
  <c r="AP55" i="6" l="1"/>
  <c r="AN55" i="6"/>
  <c r="AW55" i="6"/>
  <c r="AQ55" i="6"/>
  <c r="AR55" i="6"/>
  <c r="AV55" i="6"/>
  <c r="AS55" i="6"/>
  <c r="AY55" i="6"/>
  <c r="AO55" i="6"/>
  <c r="AX55" i="6"/>
  <c r="BM70" i="6"/>
  <c r="BN70" i="6" s="1"/>
  <c r="AY57" i="6"/>
  <c r="AX57" i="6"/>
  <c r="AQ57" i="6"/>
  <c r="AN57" i="6"/>
  <c r="AW57" i="6"/>
  <c r="AP57" i="6"/>
  <c r="AR57" i="6"/>
  <c r="AO57" i="6"/>
  <c r="AS57" i="6"/>
  <c r="AV57" i="6"/>
  <c r="I61" i="6"/>
  <c r="BA10" i="6"/>
  <c r="BB10" i="6" s="1"/>
  <c r="BM68" i="6"/>
  <c r="BN68" i="6" s="1"/>
  <c r="B68" i="6"/>
  <c r="C29" i="9"/>
  <c r="D28" i="9"/>
  <c r="I63" i="6" l="1"/>
  <c r="BC10" i="6"/>
  <c r="BD10" i="6" s="1"/>
  <c r="AX61" i="6"/>
  <c r="AW61" i="6"/>
  <c r="AV61" i="6"/>
  <c r="AZ61" i="6"/>
  <c r="AY61" i="6"/>
  <c r="BM57" i="6"/>
  <c r="BN57" i="6" s="1"/>
  <c r="B70" i="6"/>
  <c r="BM55" i="6"/>
  <c r="BN55" i="6" s="1"/>
  <c r="C30" i="9"/>
  <c r="D29" i="9"/>
  <c r="BE10" i="6" l="1"/>
  <c r="BF10" i="6" s="1"/>
  <c r="I14" i="6"/>
  <c r="J14" i="6" s="1"/>
  <c r="J12" i="6" s="1"/>
  <c r="BM61" i="6"/>
  <c r="BN61" i="6" s="1"/>
  <c r="AX63" i="6"/>
  <c r="BA63" i="6"/>
  <c r="AZ63" i="6"/>
  <c r="BB63" i="6"/>
  <c r="AY63" i="6"/>
  <c r="B59" i="6"/>
  <c r="B57" i="6"/>
  <c r="B61" i="6"/>
  <c r="C31" i="9"/>
  <c r="D30" i="9"/>
  <c r="BM117" i="6" l="1"/>
  <c r="BN117" i="6" s="1"/>
  <c r="BC14" i="6"/>
  <c r="BC12" i="6" s="1"/>
  <c r="BA14" i="6"/>
  <c r="BA12" i="6" s="1"/>
  <c r="BD14" i="6"/>
  <c r="BD12" i="6" s="1"/>
  <c r="BB14" i="6"/>
  <c r="BB12" i="6" s="1"/>
  <c r="Q14" i="6"/>
  <c r="Q12" i="6" s="1"/>
  <c r="AY14" i="6"/>
  <c r="AY12" i="6" s="1"/>
  <c r="AZ14" i="6"/>
  <c r="AZ12" i="6" s="1"/>
  <c r="U14" i="6"/>
  <c r="U12" i="6" s="1"/>
  <c r="L14" i="6"/>
  <c r="L12" i="6" s="1"/>
  <c r="Z14" i="6"/>
  <c r="Z12" i="6" s="1"/>
  <c r="AI14" i="6"/>
  <c r="AI12" i="6" s="1"/>
  <c r="AX14" i="6"/>
  <c r="AX12" i="6" s="1"/>
  <c r="X14" i="6"/>
  <c r="X12" i="6" s="1"/>
  <c r="AV14" i="6"/>
  <c r="AV12" i="6" s="1"/>
  <c r="AG14" i="6"/>
  <c r="AG12" i="6" s="1"/>
  <c r="R14" i="6"/>
  <c r="R12" i="6" s="1"/>
  <c r="AN14" i="6"/>
  <c r="AN12" i="6" s="1"/>
  <c r="O14" i="6"/>
  <c r="O12" i="6" s="1"/>
  <c r="AB14" i="6"/>
  <c r="AB12" i="6" s="1"/>
  <c r="AP14" i="6"/>
  <c r="AP12" i="6" s="1"/>
  <c r="AH14" i="6"/>
  <c r="AH12" i="6" s="1"/>
  <c r="AO14" i="6"/>
  <c r="AO12" i="6" s="1"/>
  <c r="AK14" i="6"/>
  <c r="AK12" i="6" s="1"/>
  <c r="T14" i="6"/>
  <c r="T12" i="6" s="1"/>
  <c r="M14" i="6"/>
  <c r="M12" i="6" s="1"/>
  <c r="V14" i="6"/>
  <c r="V12" i="6" s="1"/>
  <c r="AE14" i="6"/>
  <c r="AE12" i="6" s="1"/>
  <c r="AR14" i="6"/>
  <c r="AR12" i="6" s="1"/>
  <c r="AC14" i="6"/>
  <c r="AC12" i="6" s="1"/>
  <c r="P14" i="6"/>
  <c r="P12" i="6" s="1"/>
  <c r="K14" i="6"/>
  <c r="K12" i="6" s="1"/>
  <c r="N14" i="6"/>
  <c r="N12" i="6" s="1"/>
  <c r="W14" i="6"/>
  <c r="W12" i="6" s="1"/>
  <c r="AJ14" i="6"/>
  <c r="AJ12" i="6" s="1"/>
  <c r="AA14" i="6"/>
  <c r="AA12" i="6" s="1"/>
  <c r="AL14" i="6"/>
  <c r="AL12" i="6" s="1"/>
  <c r="AW14" i="6"/>
  <c r="AW12" i="6" s="1"/>
  <c r="S14" i="6"/>
  <c r="S12" i="6" s="1"/>
  <c r="AF14" i="6"/>
  <c r="AF12" i="6" s="1"/>
  <c r="AQ14" i="6"/>
  <c r="AQ12" i="6" s="1"/>
  <c r="AD14" i="6"/>
  <c r="AD12" i="6" s="1"/>
  <c r="AM14" i="6"/>
  <c r="AM12" i="6" s="1"/>
  <c r="Y14" i="6"/>
  <c r="Y12" i="6" s="1"/>
  <c r="AS14" i="6"/>
  <c r="AS12" i="6" s="1"/>
  <c r="BM63" i="6"/>
  <c r="BN63" i="6" s="1"/>
  <c r="B63" i="6"/>
  <c r="B66" i="6"/>
  <c r="BG10" i="6"/>
  <c r="C32" i="9"/>
  <c r="D31" i="9"/>
  <c r="BM12" i="6" l="1"/>
  <c r="BN12" i="6" s="1"/>
  <c r="BM14" i="6"/>
  <c r="BM16" i="6"/>
  <c r="BN16" i="6" s="1"/>
  <c r="B125" i="6"/>
  <c r="BH10" i="6"/>
  <c r="C33" i="9"/>
  <c r="D32" i="9"/>
  <c r="BM5" i="6" l="1"/>
  <c r="BN14" i="6"/>
  <c r="B12" i="6"/>
  <c r="B16" i="6"/>
  <c r="B14" i="6"/>
  <c r="BI10" i="6"/>
  <c r="BJ10" i="6" s="1"/>
  <c r="BK10" i="6" s="1"/>
  <c r="BL10" i="6" s="1"/>
  <c r="C34" i="9"/>
  <c r="D33" i="9"/>
  <c r="C35" i="9" l="1"/>
  <c r="D34" i="9"/>
  <c r="D35" i="9" l="1"/>
  <c r="C36" i="9"/>
  <c r="J169" i="6" l="1"/>
  <c r="C37" i="9"/>
  <c r="D36" i="9"/>
  <c r="K169" i="6" l="1"/>
  <c r="L169" i="6" s="1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AG169" i="6" s="1"/>
  <c r="AH169" i="6" s="1"/>
  <c r="AI169" i="6" s="1"/>
  <c r="AJ169" i="6" s="1"/>
  <c r="AK169" i="6" s="1"/>
  <c r="AL169" i="6" s="1"/>
  <c r="AM169" i="6" s="1"/>
  <c r="AN169" i="6" s="1"/>
  <c r="AO169" i="6" s="1"/>
  <c r="AP169" i="6" s="1"/>
  <c r="AQ169" i="6" s="1"/>
  <c r="AR169" i="6" s="1"/>
  <c r="AS169" i="6" s="1"/>
  <c r="AT169" i="6" s="1"/>
  <c r="AU169" i="6" s="1"/>
  <c r="AV169" i="6" s="1"/>
  <c r="AW169" i="6" s="1"/>
  <c r="AX169" i="6" s="1"/>
  <c r="AY169" i="6" s="1"/>
  <c r="AZ169" i="6" s="1"/>
  <c r="BA169" i="6" s="1"/>
  <c r="BB169" i="6" s="1"/>
  <c r="BC169" i="6" s="1"/>
  <c r="BD169" i="6" s="1"/>
  <c r="BE169" i="6" s="1"/>
  <c r="BF169" i="6" s="1"/>
  <c r="BG169" i="6" s="1"/>
  <c r="BH169" i="6" s="1"/>
  <c r="C38" i="9"/>
  <c r="D37" i="9"/>
  <c r="C39" i="9" l="1"/>
  <c r="D38" i="9"/>
  <c r="BI169" i="6" l="1"/>
  <c r="BJ169" i="6" s="1"/>
  <c r="BK169" i="6" s="1"/>
  <c r="BL169" i="6" s="1"/>
  <c r="C40" i="9"/>
  <c r="D40" i="9" s="1"/>
  <c r="D39" i="9"/>
  <c r="CF36" i="9" l="1"/>
  <c r="CF38" i="9" s="1"/>
  <c r="BM167" i="6" l="1"/>
</calcChain>
</file>

<file path=xl/sharedStrings.xml><?xml version="1.0" encoding="utf-8"?>
<sst xmlns="http://schemas.openxmlformats.org/spreadsheetml/2006/main" count="509" uniqueCount="208">
  <si>
    <t>No</t>
  </si>
  <si>
    <t>Uraian Pekerjaan</t>
  </si>
  <si>
    <t>Bobot (%)</t>
  </si>
  <si>
    <t>April</t>
  </si>
  <si>
    <t>Juli</t>
  </si>
  <si>
    <t>Agustus</t>
  </si>
  <si>
    <t>Oktober</t>
  </si>
  <si>
    <t>Desember</t>
  </si>
  <si>
    <t>Januari</t>
  </si>
  <si>
    <t>Maret</t>
  </si>
  <si>
    <t>Pekerjaan Tanah</t>
  </si>
  <si>
    <t>Lantai 1</t>
  </si>
  <si>
    <t>Lantai 5</t>
  </si>
  <si>
    <t>S - CURVE</t>
  </si>
  <si>
    <t>Approved by,</t>
  </si>
  <si>
    <t>Created by,</t>
  </si>
  <si>
    <t>PT. Nusa Konstruksi Enjiniring, Tbk</t>
  </si>
  <si>
    <t>Project Manager</t>
  </si>
  <si>
    <t>Head Project</t>
  </si>
  <si>
    <t>Diharapkan melihat situasi (kebijakan pemerintah pusat ataupun pemerintah daerah) terkait wabah covid-19.</t>
  </si>
  <si>
    <t>P</t>
  </si>
  <si>
    <t>A</t>
  </si>
  <si>
    <t>PLAN (%)</t>
  </si>
  <si>
    <t>ACTUAL (%)</t>
  </si>
  <si>
    <t>CUMULATIVE PLAN (%)</t>
  </si>
  <si>
    <t>CUMULATIVE ACTUAL (%)</t>
  </si>
  <si>
    <t>Nopember</t>
  </si>
  <si>
    <t>Pebruari</t>
  </si>
  <si>
    <t xml:space="preserve">September </t>
  </si>
  <si>
    <t>Pekerjaan Mat Foundation, Pile Cap, Grade Beam, Slab</t>
  </si>
  <si>
    <t>2.1.1</t>
  </si>
  <si>
    <t>2.1.2</t>
  </si>
  <si>
    <t>2.2.1</t>
  </si>
  <si>
    <t>Semi Basement</t>
  </si>
  <si>
    <t>2.2.2</t>
  </si>
  <si>
    <t>Podium (Lantai Dasar-UG), Parkir, Apart LT.1 &amp;2</t>
  </si>
  <si>
    <t>2.2.3</t>
  </si>
  <si>
    <t>2.2.4</t>
  </si>
  <si>
    <t>Lantai 6 - Lantai 23</t>
  </si>
  <si>
    <t>2.3.1</t>
  </si>
  <si>
    <t>Roof Structure</t>
  </si>
  <si>
    <t>2.3.2</t>
  </si>
  <si>
    <t>Roof Finishes</t>
  </si>
  <si>
    <t>2.4.1</t>
  </si>
  <si>
    <t>Struktur Tangga &amp; Ramps</t>
  </si>
  <si>
    <t>2.4.2</t>
  </si>
  <si>
    <t>Finishing Tangga &amp; Ramps</t>
  </si>
  <si>
    <t>EXTERNAL WALLS</t>
  </si>
  <si>
    <t>2.5.1</t>
  </si>
  <si>
    <t>2.5.2</t>
  </si>
  <si>
    <t>2.5.3</t>
  </si>
  <si>
    <t>Lantai 6 - Lantai Atap</t>
  </si>
  <si>
    <t>EXTERNAL WINDOWS &amp; DOORS</t>
  </si>
  <si>
    <t>2.6.1</t>
  </si>
  <si>
    <t>2.6.2</t>
  </si>
  <si>
    <t>INTERNAL WALLS &amp; PARTITION</t>
  </si>
  <si>
    <t>2.7.1</t>
  </si>
  <si>
    <t>2.7.2</t>
  </si>
  <si>
    <t>2.7.3</t>
  </si>
  <si>
    <t>2.7.4</t>
  </si>
  <si>
    <t>INTERNAL DOORS</t>
  </si>
  <si>
    <t>2.8.1</t>
  </si>
  <si>
    <t>2.8.2</t>
  </si>
  <si>
    <t>2.8.3</t>
  </si>
  <si>
    <t>2.8.4</t>
  </si>
  <si>
    <t>WALL FINISHES</t>
  </si>
  <si>
    <t>2.9.1</t>
  </si>
  <si>
    <t>FLOOR FINISHES</t>
  </si>
  <si>
    <t>2.10.1</t>
  </si>
  <si>
    <t>2.10.2</t>
  </si>
  <si>
    <t>2.10.3</t>
  </si>
  <si>
    <t>2.10.4</t>
  </si>
  <si>
    <t>CEILING FINISHES</t>
  </si>
  <si>
    <t>2.11.1</t>
  </si>
  <si>
    <t>2.11.2</t>
  </si>
  <si>
    <t>2.11.3</t>
  </si>
  <si>
    <t>2.11.4</t>
  </si>
  <si>
    <t>FITTING &amp; FIXTURE</t>
  </si>
  <si>
    <t>2.12.1</t>
  </si>
  <si>
    <t>Public Toilet</t>
  </si>
  <si>
    <t>Unit Apartment</t>
  </si>
  <si>
    <t>LAVATORY COUNTER &amp; MIRROR</t>
  </si>
  <si>
    <t>2.13.1</t>
  </si>
  <si>
    <t>2.13.2</t>
  </si>
  <si>
    <t>2.12.2</t>
  </si>
  <si>
    <t>Lantai Dasar</t>
  </si>
  <si>
    <t>Lantai UG</t>
  </si>
  <si>
    <t>3.2.1</t>
  </si>
  <si>
    <t>3.2.2</t>
  </si>
  <si>
    <t>3.2.3</t>
  </si>
  <si>
    <t>3.3.1</t>
  </si>
  <si>
    <t>3.4.1</t>
  </si>
  <si>
    <t>3.4.2</t>
  </si>
  <si>
    <t>INSTALASI PLUMBING</t>
  </si>
  <si>
    <t>KOORDINASI DAN ATTENDACE</t>
  </si>
  <si>
    <t>BUILDER WORK IN CONNECTION WITH DIRECT CONTRACTOR</t>
  </si>
  <si>
    <t>PROVISIONAL SUMS</t>
  </si>
  <si>
    <t>ADDITIONAL WORK</t>
  </si>
  <si>
    <t>2.9.2</t>
  </si>
  <si>
    <t>2.9.3</t>
  </si>
  <si>
    <t>2.9.4</t>
  </si>
  <si>
    <t>TC off</t>
  </si>
  <si>
    <t>TC 2 off</t>
  </si>
  <si>
    <t>PB</t>
  </si>
  <si>
    <t>TC1</t>
  </si>
  <si>
    <t>PH</t>
  </si>
  <si>
    <t>TC2</t>
  </si>
  <si>
    <t>PB off</t>
  </si>
  <si>
    <t>PH Off</t>
  </si>
  <si>
    <t>install</t>
  </si>
  <si>
    <t>Dismantling</t>
  </si>
  <si>
    <t>Sub bil</t>
  </si>
  <si>
    <t>Prelim</t>
  </si>
  <si>
    <t>Tanah</t>
  </si>
  <si>
    <t>Slab &amp; Mat Found</t>
  </si>
  <si>
    <t>2.6.3</t>
  </si>
  <si>
    <t>Installasi Plumbing</t>
  </si>
  <si>
    <t>EXTERNAL</t>
  </si>
  <si>
    <t>3.1.1</t>
  </si>
  <si>
    <t>3.1.2</t>
  </si>
  <si>
    <t>3.3.2</t>
  </si>
  <si>
    <t>Durasi (Minggu)</t>
  </si>
  <si>
    <t>Total Non PPn</t>
  </si>
  <si>
    <t>Total Include PPn</t>
  </si>
  <si>
    <t>Mei</t>
  </si>
  <si>
    <t xml:space="preserve">Juni </t>
  </si>
  <si>
    <t>COMPLETION TIME : AGUSTUS 2022 - AGUSTUS 2023</t>
  </si>
  <si>
    <t>PRELIMINARY CLUBHOUSE &amp; GATE CLUSTER</t>
  </si>
  <si>
    <t>CLUB HOUSE</t>
  </si>
  <si>
    <t>PEKERJAAN STRUKTUR</t>
  </si>
  <si>
    <t>STRUKTUR BETON</t>
  </si>
  <si>
    <t>STRUKTUR BAJA</t>
  </si>
  <si>
    <t>ARSITEKTUR CLUB HOUSE</t>
  </si>
  <si>
    <t>FINISHING DINDING &amp; LANTAI</t>
  </si>
  <si>
    <t>FINISHING PLAFON</t>
  </si>
  <si>
    <t>FINISHING ATAP</t>
  </si>
  <si>
    <t>FINISHING PINTU &amp; JENDELA</t>
  </si>
  <si>
    <t>2.2.5</t>
  </si>
  <si>
    <t>FINISHING TANGGA</t>
  </si>
  <si>
    <t>2.2.6</t>
  </si>
  <si>
    <t>FINISHING BETON</t>
  </si>
  <si>
    <t>MEP CLUB HOUSE</t>
  </si>
  <si>
    <t>INSTALASI ELEKTRIKAL</t>
  </si>
  <si>
    <t>2.3.3</t>
  </si>
  <si>
    <t>INSTALASI VAC</t>
  </si>
  <si>
    <t>2.3.4</t>
  </si>
  <si>
    <t>INSTALASI INFRASTRUKTUR JARINGAN</t>
  </si>
  <si>
    <t>GATE CLUSTER</t>
  </si>
  <si>
    <t>STRUKTUR GATE CLUSTER</t>
  </si>
  <si>
    <t xml:space="preserve">STRUKTUR BAJA ATAP </t>
  </si>
  <si>
    <t>ARSITEKTUR GATE CLUSTER</t>
  </si>
  <si>
    <t>3.2.4</t>
  </si>
  <si>
    <t>3.2.5</t>
  </si>
  <si>
    <t>MEP GATE CLUSTER</t>
  </si>
  <si>
    <t>3.3.3</t>
  </si>
  <si>
    <t>INSTALASI CCTV</t>
  </si>
  <si>
    <t>Nicky Putra Meilala</t>
  </si>
  <si>
    <t>Makassar,     Agustus 2022</t>
  </si>
  <si>
    <t>Yachub Syahriar</t>
  </si>
  <si>
    <t>1. 1</t>
  </si>
  <si>
    <t>PRELIMINARY SUNSET QUAY BLOK A</t>
  </si>
  <si>
    <t>PEKERJAAN STRUKTUR BLOK A1</t>
  </si>
  <si>
    <t>I.</t>
  </si>
  <si>
    <t xml:space="preserve">PEKERJAAN TANAH </t>
  </si>
  <si>
    <t>II.</t>
  </si>
  <si>
    <t xml:space="preserve">PEKERJAAN PONDASI &amp; STRUKTUR BETON </t>
  </si>
  <si>
    <t>Pondasi Footing</t>
  </si>
  <si>
    <t>Tie Beam, &amp; Slab</t>
  </si>
  <si>
    <t>Lantai 2</t>
  </si>
  <si>
    <t>Dak</t>
  </si>
  <si>
    <t>Tangga</t>
  </si>
  <si>
    <t>III.</t>
  </si>
  <si>
    <t>PEKERJAAN ATAP</t>
  </si>
  <si>
    <t>B</t>
  </si>
  <si>
    <t>PEKERJAAN ARSITEKTUR BLOK A1</t>
  </si>
  <si>
    <t>PEKERJAAN DINDING DAN PLESTERAN</t>
  </si>
  <si>
    <t>PEKERJAAN LANTAI</t>
  </si>
  <si>
    <t>p</t>
  </si>
  <si>
    <t>PEKERJAAN PINTU DAN JENDELA</t>
  </si>
  <si>
    <t>IV.</t>
  </si>
  <si>
    <t>PEKERJAAN PLAFOND</t>
  </si>
  <si>
    <t>V.</t>
  </si>
  <si>
    <t>PEKERJAAN FINISHING CAT</t>
  </si>
  <si>
    <t>VI.</t>
  </si>
  <si>
    <t>PEKERJAAN WATERPROOFING</t>
  </si>
  <si>
    <t>VII.</t>
  </si>
  <si>
    <t>PEKERJAAN RAILLING</t>
  </si>
  <si>
    <t>VIII.</t>
  </si>
  <si>
    <t>PEKERJAAN RELIEF</t>
  </si>
  <si>
    <t>IX.</t>
  </si>
  <si>
    <t>PEKERJAAN PENUTUP ATAP</t>
  </si>
  <si>
    <t>C</t>
  </si>
  <si>
    <t>PEKERJAAM MEP BLOK A1</t>
  </si>
  <si>
    <t>PEKERJAAN ELEKTRIKAL</t>
  </si>
  <si>
    <t>PEKERJAAN PLUMBING</t>
  </si>
  <si>
    <t>D</t>
  </si>
  <si>
    <t>PEKERJAAN STRUKTUR BLOK A2</t>
  </si>
  <si>
    <t>E</t>
  </si>
  <si>
    <t>PEKERJAAN ARSITEKTUR BLOK A2</t>
  </si>
  <si>
    <t>F</t>
  </si>
  <si>
    <t>PEKERJAAN MEP BLOK A2</t>
  </si>
  <si>
    <t>G</t>
  </si>
  <si>
    <t>PEKERJAAN TANGGA PROMENADE</t>
  </si>
  <si>
    <t>H</t>
  </si>
  <si>
    <t>PEKERJAAN VIEWING DECK</t>
  </si>
  <si>
    <t>PEKERJAAN PEMBANGUNAN CLUB HOUSE, GATE CLUSTER, DAN SUNSET QUAY</t>
  </si>
  <si>
    <t xml:space="preserve"> </t>
  </si>
  <si>
    <t>PRELIMINARY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</si>
</sst>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* #,##0_ ;_ * \-#,##0_ ;_ * &quot;-&quot;??_ ;_ @_ "/>
    <numFmt numFmtId="165" formatCode="0.000_ "/>
    <numFmt numFmtId="166" formatCode="0.000000000_ "/>
    <numFmt numFmtId="167" formatCode="_ * #,##0.00_ ;_ * \-#,##0.00_ ;_ * &quot;-&quot;??_ ;_ @_ "/>
    <numFmt numFmtId="168" formatCode="0.000"/>
    <numFmt numFmtId="169" formatCode="_ * #,##0.000000_ ;_ * \-#,##0.000000_ ;_ * &quot;-&quot;??_ ;_ @_ "/>
    <numFmt numFmtId="170" formatCode="0.00000"/>
    <numFmt numFmtId="171" formatCode="0.0000"/>
    <numFmt numFmtId="172" formatCode="0.0000_ "/>
    <numFmt numFmtId="174" formatCode="0.00000000000000000000"/>
    <numFmt numFmtId="175" formatCode="0.00000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indexed="64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>
      <alignment vertical="center"/>
    </xf>
    <xf numFmtId="167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/>
    <xf numFmtId="9" fontId="10" fillId="0" borderId="0" applyFont="0" applyFill="0" applyBorder="0" applyAlignment="0" applyProtection="0"/>
    <xf numFmtId="0" fontId="7" fillId="0" borderId="0"/>
  </cellStyleXfs>
  <cellXfs count="164">
    <xf numFmtId="0" fontId="0" fillId="0" borderId="0" xfId="0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3" xfId="0" quotePrefix="1" applyFont="1" applyBorder="1" applyAlignment="1">
      <alignment horizontal="left"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quotePrefix="1" applyFont="1" applyBorder="1" applyAlignment="1">
      <alignment horizontal="left" vertical="center"/>
    </xf>
    <xf numFmtId="2" fontId="5" fillId="0" borderId="3" xfId="0" applyNumberFormat="1" applyFont="1" applyBorder="1" applyAlignment="1">
      <alignment horizontal="left" vertical="center"/>
    </xf>
    <xf numFmtId="0" fontId="6" fillId="0" borderId="3" xfId="4" applyNumberFormat="1" applyFont="1" applyBorder="1" applyAlignment="1">
      <alignment vertical="center"/>
    </xf>
    <xf numFmtId="0" fontId="0" fillId="0" borderId="0" xfId="0" applyAlignment="1"/>
    <xf numFmtId="9" fontId="0" fillId="0" borderId="0" xfId="0" applyNumberFormat="1" applyAlignment="1"/>
    <xf numFmtId="10" fontId="0" fillId="0" borderId="0" xfId="0" applyNumberFormat="1" applyAlignment="1"/>
    <xf numFmtId="0" fontId="4" fillId="0" borderId="3" xfId="4" applyNumberFormat="1" applyFont="1" applyBorder="1" applyAlignment="1">
      <alignment vertical="center"/>
    </xf>
    <xf numFmtId="9" fontId="0" fillId="0" borderId="0" xfId="4" applyFont="1" applyAlignment="1"/>
    <xf numFmtId="0" fontId="4" fillId="0" borderId="3" xfId="0" applyFont="1" applyBorder="1" applyAlignment="1">
      <alignment horizontal="left" vertical="center"/>
    </xf>
    <xf numFmtId="0" fontId="5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3" fillId="0" borderId="13" xfId="0" applyFont="1" applyBorder="1">
      <alignment vertical="center"/>
    </xf>
    <xf numFmtId="0" fontId="0" fillId="0" borderId="14" xfId="0" applyBorder="1" applyAlignment="1"/>
    <xf numFmtId="0" fontId="0" fillId="0" borderId="15" xfId="0" applyBorder="1" applyAlignment="1"/>
    <xf numFmtId="9" fontId="0" fillId="0" borderId="15" xfId="0" applyNumberFormat="1" applyBorder="1" applyAlignment="1"/>
    <xf numFmtId="0" fontId="0" fillId="0" borderId="16" xfId="0" applyBorder="1" applyAlignment="1"/>
    <xf numFmtId="0" fontId="0" fillId="0" borderId="10" xfId="0" applyBorder="1" applyAlignment="1"/>
    <xf numFmtId="0" fontId="0" fillId="0" borderId="0" xfId="0" applyBorder="1" applyAlignment="1"/>
    <xf numFmtId="0" fontId="0" fillId="0" borderId="17" xfId="0" applyBorder="1" applyAlignment="1"/>
    <xf numFmtId="9" fontId="0" fillId="0" borderId="10" xfId="0" applyNumberFormat="1" applyBorder="1" applyAlignment="1"/>
    <xf numFmtId="9" fontId="0" fillId="0" borderId="0" xfId="0" applyNumberFormat="1" applyBorder="1" applyAlignment="1"/>
    <xf numFmtId="9" fontId="0" fillId="0" borderId="10" xfId="4" applyFont="1" applyBorder="1" applyAlignment="1"/>
    <xf numFmtId="9" fontId="0" fillId="0" borderId="0" xfId="4" applyFont="1" applyBorder="1" applyAlignment="1"/>
    <xf numFmtId="9" fontId="0" fillId="0" borderId="17" xfId="4" applyFont="1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3" fillId="0" borderId="0" xfId="0" applyFont="1" applyAlignment="1"/>
    <xf numFmtId="0" fontId="3" fillId="0" borderId="3" xfId="0" applyFont="1" applyBorder="1" applyAlignment="1">
      <alignment horizontal="left" vertical="center"/>
    </xf>
    <xf numFmtId="0" fontId="0" fillId="0" borderId="10" xfId="0" applyNumberFormat="1" applyBorder="1" applyAlignment="1"/>
    <xf numFmtId="0" fontId="0" fillId="0" borderId="0" xfId="0" applyNumberFormat="1" applyBorder="1" applyAlignment="1"/>
    <xf numFmtId="0" fontId="0" fillId="0" borderId="21" xfId="0" applyBorder="1" applyAlignment="1"/>
    <xf numFmtId="0" fontId="3" fillId="0" borderId="3" xfId="0" quotePrefix="1" applyFont="1" applyBorder="1" applyAlignment="1">
      <alignment horizontal="left" vertical="center"/>
    </xf>
    <xf numFmtId="9" fontId="0" fillId="0" borderId="0" xfId="0" applyNumberFormat="1" applyFill="1" applyBorder="1" applyAlignment="1"/>
    <xf numFmtId="9" fontId="0" fillId="0" borderId="17" xfId="0" applyNumberFormat="1" applyBorder="1" applyAlignment="1"/>
    <xf numFmtId="0" fontId="2" fillId="0" borderId="0" xfId="0" applyFont="1" applyAlignment="1"/>
    <xf numFmtId="0" fontId="1" fillId="0" borderId="0" xfId="0" applyFont="1" applyBorder="1" applyAlignment="1"/>
    <xf numFmtId="9" fontId="0" fillId="0" borderId="0" xfId="4" applyFont="1" applyFill="1" applyBorder="1" applyAlignment="1"/>
    <xf numFmtId="168" fontId="11" fillId="0" borderId="1" xfId="0" applyNumberFormat="1" applyFont="1" applyBorder="1">
      <alignment vertical="center"/>
    </xf>
    <xf numFmtId="0" fontId="11" fillId="0" borderId="0" xfId="0" applyFont="1">
      <alignment vertical="center"/>
    </xf>
    <xf numFmtId="0" fontId="12" fillId="0" borderId="0" xfId="3" applyFont="1" applyAlignment="1">
      <alignment vertical="center"/>
    </xf>
    <xf numFmtId="0" fontId="11" fillId="0" borderId="0" xfId="0" applyFont="1" applyAlignment="1">
      <alignment horizontal="left" vertical="center"/>
    </xf>
    <xf numFmtId="167" fontId="11" fillId="0" borderId="0" xfId="1" applyNumberFormat="1" applyFont="1">
      <alignment vertical="center"/>
    </xf>
    <xf numFmtId="169" fontId="11" fillId="0" borderId="0" xfId="1" applyNumberFormat="1" applyFont="1">
      <alignment vertical="center"/>
    </xf>
    <xf numFmtId="10" fontId="13" fillId="0" borderId="0" xfId="3" applyNumberFormat="1" applyFont="1" applyAlignment="1">
      <alignment vertical="center" wrapText="1"/>
    </xf>
    <xf numFmtId="10" fontId="13" fillId="0" borderId="0" xfId="3" applyNumberFormat="1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8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10" xfId="0" applyFont="1" applyFill="1" applyBorder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>
      <alignment vertical="center"/>
    </xf>
    <xf numFmtId="167" fontId="11" fillId="0" borderId="3" xfId="1" applyNumberFormat="1" applyFont="1" applyBorder="1">
      <alignment vertical="center"/>
    </xf>
    <xf numFmtId="164" fontId="11" fillId="0" borderId="3" xfId="1" applyNumberFormat="1" applyFont="1" applyBorder="1">
      <alignment vertical="center"/>
    </xf>
    <xf numFmtId="0" fontId="11" fillId="0" borderId="3" xfId="4" applyNumberFormat="1" applyFont="1" applyBorder="1" applyAlignment="1">
      <alignment vertical="center"/>
    </xf>
    <xf numFmtId="0" fontId="11" fillId="0" borderId="27" xfId="4" applyNumberFormat="1" applyFont="1" applyBorder="1" applyAlignment="1">
      <alignment vertical="center"/>
    </xf>
    <xf numFmtId="171" fontId="11" fillId="0" borderId="7" xfId="4" applyNumberFormat="1" applyFont="1" applyFill="1" applyBorder="1" applyAlignment="1">
      <alignment vertical="center"/>
    </xf>
    <xf numFmtId="171" fontId="11" fillId="0" borderId="5" xfId="4" applyNumberFormat="1" applyFont="1" applyFill="1" applyBorder="1" applyAlignment="1">
      <alignment vertical="center"/>
    </xf>
    <xf numFmtId="171" fontId="11" fillId="2" borderId="5" xfId="4" applyNumberFormat="1" applyFont="1" applyFill="1" applyBorder="1" applyAlignment="1">
      <alignment vertical="center"/>
    </xf>
    <xf numFmtId="172" fontId="11" fillId="0" borderId="0" xfId="0" applyNumberFormat="1" applyFont="1">
      <alignment vertical="center"/>
    </xf>
    <xf numFmtId="174" fontId="11" fillId="0" borderId="0" xfId="0" applyNumberFormat="1" applyFo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>
      <alignment vertical="center"/>
    </xf>
    <xf numFmtId="167" fontId="11" fillId="0" borderId="9" xfId="1" applyNumberFormat="1" applyFont="1" applyBorder="1">
      <alignment vertical="center"/>
    </xf>
    <xf numFmtId="164" fontId="11" fillId="0" borderId="9" xfId="1" applyNumberFormat="1" applyFont="1" applyBorder="1">
      <alignment vertical="center"/>
    </xf>
    <xf numFmtId="0" fontId="11" fillId="0" borderId="9" xfId="0" applyNumberFormat="1" applyFont="1" applyBorder="1">
      <alignment vertical="center"/>
    </xf>
    <xf numFmtId="0" fontId="11" fillId="0" borderId="26" xfId="0" applyNumberFormat="1" applyFont="1" applyBorder="1">
      <alignment vertical="center"/>
    </xf>
    <xf numFmtId="170" fontId="11" fillId="0" borderId="24" xfId="4" applyNumberFormat="1" applyFont="1" applyBorder="1" applyAlignment="1">
      <alignment vertical="center"/>
    </xf>
    <xf numFmtId="170" fontId="11" fillId="0" borderId="4" xfId="4" applyNumberFormat="1" applyFont="1" applyBorder="1" applyAlignment="1">
      <alignment vertical="center"/>
    </xf>
    <xf numFmtId="170" fontId="11" fillId="0" borderId="4" xfId="4" applyNumberFormat="1" applyFont="1" applyFill="1" applyBorder="1" applyAlignment="1">
      <alignment vertical="center"/>
    </xf>
    <xf numFmtId="170" fontId="11" fillId="2" borderId="4" xfId="4" applyNumberFormat="1" applyFont="1" applyFill="1" applyBorder="1" applyAlignment="1">
      <alignment vertical="center"/>
    </xf>
    <xf numFmtId="166" fontId="11" fillId="0" borderId="0" xfId="0" applyNumberFormat="1" applyFont="1">
      <alignment vertical="center"/>
    </xf>
    <xf numFmtId="168" fontId="11" fillId="0" borderId="3" xfId="4" applyNumberFormat="1" applyFont="1" applyBorder="1" applyAlignment="1">
      <alignment vertical="center"/>
    </xf>
    <xf numFmtId="1" fontId="11" fillId="0" borderId="27" xfId="4" applyNumberFormat="1" applyFont="1" applyBorder="1" applyAlignment="1">
      <alignment vertical="center"/>
    </xf>
    <xf numFmtId="171" fontId="11" fillId="3" borderId="7" xfId="4" applyNumberFormat="1" applyFont="1" applyFill="1" applyBorder="1" applyAlignment="1">
      <alignment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>
      <alignment vertical="center"/>
    </xf>
    <xf numFmtId="9" fontId="11" fillId="0" borderId="27" xfId="4" applyNumberFormat="1" applyFont="1" applyBorder="1" applyAlignment="1">
      <alignment vertical="center"/>
    </xf>
    <xf numFmtId="9" fontId="11" fillId="0" borderId="7" xfId="4" applyNumberFormat="1" applyFont="1" applyFill="1" applyBorder="1" applyAlignment="1">
      <alignment vertical="center"/>
    </xf>
    <xf numFmtId="9" fontId="11" fillId="0" borderId="5" xfId="4" applyNumberFormat="1" applyFont="1" applyFill="1" applyBorder="1" applyAlignment="1">
      <alignment vertical="center"/>
    </xf>
    <xf numFmtId="9" fontId="11" fillId="0" borderId="0" xfId="0" applyNumberFormat="1" applyFont="1">
      <alignment vertical="center"/>
    </xf>
    <xf numFmtId="9" fontId="11" fillId="0" borderId="5" xfId="4" applyFont="1" applyFill="1" applyBorder="1" applyAlignment="1">
      <alignment vertical="center"/>
    </xf>
    <xf numFmtId="0" fontId="13" fillId="0" borderId="0" xfId="0" applyFont="1">
      <alignment vertical="center"/>
    </xf>
    <xf numFmtId="0" fontId="13" fillId="0" borderId="3" xfId="0" applyFont="1" applyBorder="1" applyAlignment="1">
      <alignment horizontal="center" vertical="center"/>
    </xf>
    <xf numFmtId="167" fontId="13" fillId="0" borderId="3" xfId="1" applyNumberFormat="1" applyFont="1" applyBorder="1">
      <alignment vertical="center"/>
    </xf>
    <xf numFmtId="164" fontId="13" fillId="0" borderId="3" xfId="1" applyNumberFormat="1" applyFont="1" applyBorder="1">
      <alignment vertical="center"/>
    </xf>
    <xf numFmtId="168" fontId="13" fillId="0" borderId="3" xfId="4" applyNumberFormat="1" applyFont="1" applyBorder="1" applyAlignment="1">
      <alignment vertical="center"/>
    </xf>
    <xf numFmtId="0" fontId="13" fillId="0" borderId="27" xfId="4" applyNumberFormat="1" applyFont="1" applyBorder="1" applyAlignment="1">
      <alignment vertical="center"/>
    </xf>
    <xf numFmtId="171" fontId="13" fillId="0" borderId="7" xfId="4" applyNumberFormat="1" applyFont="1" applyFill="1" applyBorder="1" applyAlignment="1">
      <alignment vertical="center"/>
    </xf>
    <xf numFmtId="171" fontId="13" fillId="0" borderId="5" xfId="4" applyNumberFormat="1" applyFont="1" applyFill="1" applyBorder="1" applyAlignment="1">
      <alignment vertical="center"/>
    </xf>
    <xf numFmtId="171" fontId="13" fillId="2" borderId="5" xfId="4" applyNumberFormat="1" applyFont="1" applyFill="1" applyBorder="1" applyAlignment="1">
      <alignment vertical="center"/>
    </xf>
    <xf numFmtId="0" fontId="11" fillId="0" borderId="3" xfId="0" applyFont="1" applyBorder="1" applyAlignment="1">
      <alignment horizontal="right" vertical="center"/>
    </xf>
    <xf numFmtId="9" fontId="14" fillId="0" borderId="5" xfId="4" applyFont="1" applyFill="1" applyBorder="1" applyAlignment="1">
      <alignment vertical="center"/>
    </xf>
    <xf numFmtId="171" fontId="15" fillId="0" borderId="5" xfId="4" applyNumberFormat="1" applyFont="1" applyFill="1" applyBorder="1" applyAlignment="1">
      <alignment vertical="center"/>
    </xf>
    <xf numFmtId="171" fontId="15" fillId="2" borderId="5" xfId="4" applyNumberFormat="1" applyFont="1" applyFill="1" applyBorder="1" applyAlignment="1">
      <alignment vertical="center"/>
    </xf>
    <xf numFmtId="171" fontId="11" fillId="0" borderId="0" xfId="4" applyNumberFormat="1" applyFont="1" applyFill="1" applyBorder="1" applyAlignment="1">
      <alignment vertical="center"/>
    </xf>
    <xf numFmtId="0" fontId="11" fillId="0" borderId="0" xfId="0" applyFont="1" applyFill="1">
      <alignment vertical="center"/>
    </xf>
    <xf numFmtId="171" fontId="14" fillId="0" borderId="5" xfId="4" applyNumberFormat="1" applyFont="1" applyFill="1" applyBorder="1" applyAlignment="1">
      <alignment vertical="center"/>
    </xf>
    <xf numFmtId="0" fontId="14" fillId="0" borderId="0" xfId="0" applyFont="1">
      <alignment vertical="center"/>
    </xf>
    <xf numFmtId="166" fontId="14" fillId="0" borderId="0" xfId="0" applyNumberFormat="1" applyFont="1">
      <alignment vertical="center"/>
    </xf>
    <xf numFmtId="0" fontId="14" fillId="0" borderId="3" xfId="0" applyFont="1" applyBorder="1" applyAlignment="1">
      <alignment horizontal="right" vertical="center"/>
    </xf>
    <xf numFmtId="0" fontId="14" fillId="0" borderId="3" xfId="0" applyFont="1" applyBorder="1">
      <alignment vertical="center"/>
    </xf>
    <xf numFmtId="167" fontId="14" fillId="0" borderId="3" xfId="1" applyNumberFormat="1" applyFont="1" applyBorder="1">
      <alignment vertical="center"/>
    </xf>
    <xf numFmtId="168" fontId="14" fillId="0" borderId="3" xfId="4" applyNumberFormat="1" applyFont="1" applyBorder="1" applyAlignment="1">
      <alignment vertical="center"/>
    </xf>
    <xf numFmtId="0" fontId="14" fillId="0" borderId="27" xfId="4" applyNumberFormat="1" applyFont="1" applyBorder="1" applyAlignment="1">
      <alignment vertical="center"/>
    </xf>
    <xf numFmtId="171" fontId="14" fillId="0" borderId="7" xfId="4" applyNumberFormat="1" applyFont="1" applyFill="1" applyBorder="1" applyAlignment="1">
      <alignment vertical="center"/>
    </xf>
    <xf numFmtId="171" fontId="14" fillId="2" borderId="5" xfId="4" applyNumberFormat="1" applyFont="1" applyFill="1" applyBorder="1" applyAlignment="1">
      <alignment vertical="center"/>
    </xf>
    <xf numFmtId="166" fontId="13" fillId="0" borderId="0" xfId="0" applyNumberFormat="1" applyFont="1">
      <alignment vertical="center"/>
    </xf>
    <xf numFmtId="171" fontId="16" fillId="0" borderId="5" xfId="4" applyNumberFormat="1" applyFont="1" applyFill="1" applyBorder="1" applyAlignment="1">
      <alignment vertical="center"/>
    </xf>
    <xf numFmtId="0" fontId="13" fillId="0" borderId="3" xfId="0" quotePrefix="1" applyFont="1" applyBorder="1" applyAlignment="1">
      <alignment horizontal="center" vertical="center"/>
    </xf>
    <xf numFmtId="171" fontId="11" fillId="0" borderId="0" xfId="4" applyNumberFormat="1" applyFont="1" applyFill="1" applyAlignment="1">
      <alignment vertical="center"/>
    </xf>
    <xf numFmtId="9" fontId="11" fillId="0" borderId="3" xfId="0" applyNumberFormat="1" applyFont="1" applyBorder="1" applyAlignment="1">
      <alignment horizontal="left" vertical="center"/>
    </xf>
    <xf numFmtId="9" fontId="11" fillId="0" borderId="3" xfId="0" applyNumberFormat="1" applyFont="1" applyBorder="1">
      <alignment vertical="center"/>
    </xf>
    <xf numFmtId="9" fontId="11" fillId="0" borderId="3" xfId="1" applyNumberFormat="1" applyFont="1" applyBorder="1">
      <alignment vertical="center"/>
    </xf>
    <xf numFmtId="9" fontId="11" fillId="0" borderId="3" xfId="4" applyNumberFormat="1" applyFont="1" applyBorder="1" applyAlignment="1">
      <alignment vertical="center"/>
    </xf>
    <xf numFmtId="9" fontId="11" fillId="2" borderId="4" xfId="4" applyNumberFormat="1" applyFont="1" applyFill="1" applyBorder="1" applyAlignment="1">
      <alignment vertical="center"/>
    </xf>
    <xf numFmtId="171" fontId="11" fillId="3" borderId="5" xfId="4" applyNumberFormat="1" applyFont="1" applyFill="1" applyBorder="1" applyAlignment="1">
      <alignment vertical="center"/>
    </xf>
    <xf numFmtId="0" fontId="14" fillId="0" borderId="28" xfId="5" applyFont="1" applyFill="1" applyBorder="1" applyAlignment="1">
      <alignment horizontal="right" vertical="center"/>
    </xf>
    <xf numFmtId="0" fontId="14" fillId="0" borderId="28" xfId="5" applyFont="1" applyFill="1" applyBorder="1" applyAlignment="1">
      <alignment vertical="center"/>
    </xf>
    <xf numFmtId="167" fontId="11" fillId="0" borderId="3" xfId="1" applyNumberFormat="1" applyFont="1" applyFill="1" applyBorder="1">
      <alignment vertical="center"/>
    </xf>
    <xf numFmtId="0" fontId="11" fillId="0" borderId="27" xfId="4" applyNumberFormat="1" applyFont="1" applyFill="1" applyBorder="1" applyAlignment="1">
      <alignment vertical="center"/>
    </xf>
    <xf numFmtId="164" fontId="11" fillId="0" borderId="3" xfId="1" applyNumberFormat="1" applyFont="1" applyFill="1" applyBorder="1">
      <alignment vertical="center"/>
    </xf>
    <xf numFmtId="168" fontId="11" fillId="0" borderId="3" xfId="4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>
      <alignment vertical="center"/>
    </xf>
    <xf numFmtId="164" fontId="11" fillId="0" borderId="0" xfId="1" applyNumberFormat="1" applyFont="1">
      <alignment vertical="center"/>
    </xf>
    <xf numFmtId="165" fontId="11" fillId="0" borderId="0" xfId="0" applyNumberFormat="1" applyFont="1">
      <alignment vertical="center"/>
    </xf>
    <xf numFmtId="165" fontId="11" fillId="0" borderId="17" xfId="0" applyNumberFormat="1" applyFont="1" applyBorder="1">
      <alignment vertical="center"/>
    </xf>
    <xf numFmtId="171" fontId="11" fillId="0" borderId="25" xfId="4" applyNumberFormat="1" applyFont="1" applyFill="1" applyBorder="1" applyAlignment="1">
      <alignment vertical="center"/>
    </xf>
    <xf numFmtId="171" fontId="11" fillId="0" borderId="6" xfId="4" applyNumberFormat="1" applyFont="1" applyFill="1" applyBorder="1" applyAlignment="1">
      <alignment vertical="center"/>
    </xf>
    <xf numFmtId="171" fontId="11" fillId="2" borderId="6" xfId="4" applyNumberFormat="1" applyFont="1" applyFill="1" applyBorder="1" applyAlignment="1">
      <alignment vertical="center"/>
    </xf>
    <xf numFmtId="171" fontId="11" fillId="0" borderId="1" xfId="0" applyNumberFormat="1" applyFont="1" applyBorder="1">
      <alignment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75" fontId="11" fillId="0" borderId="0" xfId="0" applyNumberFormat="1" applyFont="1">
      <alignment vertic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10" fontId="13" fillId="0" borderId="0" xfId="3" applyNumberFormat="1" applyFont="1" applyAlignment="1">
      <alignment horizontal="center" vertical="center" wrapText="1"/>
    </xf>
    <xf numFmtId="0" fontId="12" fillId="0" borderId="0" xfId="3" applyFont="1" applyAlignment="1">
      <alignment horizontal="center" vertical="center"/>
    </xf>
    <xf numFmtId="10" fontId="13" fillId="0" borderId="0" xfId="3" applyNumberFormat="1" applyFont="1" applyAlignment="1">
      <alignment horizontal="left" vertical="center" wrapText="1"/>
    </xf>
    <xf numFmtId="168" fontId="1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67" fontId="11" fillId="0" borderId="1" xfId="1" applyNumberFormat="1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11" fillId="0" borderId="0" xfId="1" applyFont="1">
      <alignment vertical="center"/>
    </xf>
  </cellXfs>
  <cellStyles count="6">
    <cellStyle name="Comma" xfId="1" builtinId="3"/>
    <cellStyle name="Normal" xfId="0" builtinId="0"/>
    <cellStyle name="Normal 2 2" xfId="2" xr:uid="{00000000-0005-0000-0000-000002000000}"/>
    <cellStyle name="Normal 3" xfId="3" xr:uid="{00000000-0005-0000-0000-000003000000}"/>
    <cellStyle name="Normal_SPH BQ 10 X 20 VALUE WKC" xfId="5" xr:uid="{0AF32C21-631B-44A7-BB0A-E86804E7C684}"/>
    <cellStyle name="Percent" xfId="4" builtinId="5"/>
  </cellStyles>
  <dxfs count="0"/>
  <tableStyles count="0" defaultTableStyle="TableStyleMedium2" defaultPivotStyle="PivotStyleLight16"/>
  <colors>
    <mruColors>
      <color rgb="FFFF99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4142983891879E-3"/>
          <c:y val="3.4308996526641974E-2"/>
          <c:w val="0.99595702471578362"/>
          <c:h val="0.95182648470628128"/>
        </c:manualLayout>
      </c:layout>
      <c:lineChart>
        <c:grouping val="standard"/>
        <c:varyColors val="0"/>
        <c:ser>
          <c:idx val="0"/>
          <c:order val="0"/>
          <c:spPr>
            <a:ln w="9525">
              <a:solidFill>
                <a:srgbClr val="002060"/>
              </a:solidFill>
              <a:prstDash val="sysDash"/>
            </a:ln>
          </c:spPr>
          <c:marker>
            <c:symbol val="circle"/>
            <c:size val="6"/>
            <c:spPr>
              <a:ln>
                <a:solidFill>
                  <a:srgbClr val="002060"/>
                </a:solidFill>
              </a:ln>
            </c:spPr>
          </c:marker>
          <c:cat>
            <c:multiLvlStrRef>
              <c:f>'[1]untuk pak ricky'!$H$9:$BG$9</c:f>
            </c:multiLvlStrRef>
          </c:cat>
          <c:val>
            <c:numRef>
              <c:f>'S-Curve'!$I$169:$BH$169</c:f>
              <c:numCache>
                <c:formatCode>0.000</c:formatCode>
                <c:ptCount val="52"/>
                <c:pt idx="0" formatCode="General">
                  <c:v>0</c:v>
                </c:pt>
                <c:pt idx="1">
                  <c:v>2.1958598493160707E-3</c:v>
                </c:pt>
                <c:pt idx="2">
                  <c:v>4.3917196986321414E-3</c:v>
                </c:pt>
                <c:pt idx="3">
                  <c:v>6.5875795479482125E-3</c:v>
                </c:pt>
                <c:pt idx="4">
                  <c:v>3.7357557191893757E-2</c:v>
                </c:pt>
                <c:pt idx="5">
                  <c:v>7.9485881785258644E-2</c:v>
                </c:pt>
                <c:pt idx="6">
                  <c:v>0.21382590229505227</c:v>
                </c:pt>
                <c:pt idx="7">
                  <c:v>0.67054849263210603</c:v>
                </c:pt>
                <c:pt idx="8">
                  <c:v>1.7923323136207054</c:v>
                </c:pt>
                <c:pt idx="9">
                  <c:v>2.7976061925223812</c:v>
                </c:pt>
                <c:pt idx="10">
                  <c:v>4.4082114068974318</c:v>
                </c:pt>
                <c:pt idx="11">
                  <c:v>6.047888739719169</c:v>
                </c:pt>
                <c:pt idx="12">
                  <c:v>7.3207313279730313</c:v>
                </c:pt>
                <c:pt idx="13">
                  <c:v>9.0709739885963181</c:v>
                </c:pt>
                <c:pt idx="14">
                  <c:v>12.014451051806734</c:v>
                </c:pt>
                <c:pt idx="15">
                  <c:v>15.394123073323131</c:v>
                </c:pt>
                <c:pt idx="16">
                  <c:v>18.830356924722263</c:v>
                </c:pt>
                <c:pt idx="17">
                  <c:v>22.442491314786452</c:v>
                </c:pt>
                <c:pt idx="18">
                  <c:v>25.821933844004516</c:v>
                </c:pt>
                <c:pt idx="19">
                  <c:v>28.459402092885384</c:v>
                </c:pt>
                <c:pt idx="20">
                  <c:v>30.491406918188773</c:v>
                </c:pt>
                <c:pt idx="21">
                  <c:v>32.771001019472081</c:v>
                </c:pt>
                <c:pt idx="22">
                  <c:v>35.519549616136665</c:v>
                </c:pt>
                <c:pt idx="23">
                  <c:v>37.971324011284857</c:v>
                </c:pt>
                <c:pt idx="24">
                  <c:v>41.083491563227795</c:v>
                </c:pt>
                <c:pt idx="25">
                  <c:v>44.745186796021265</c:v>
                </c:pt>
                <c:pt idx="26">
                  <c:v>48.990787657785674</c:v>
                </c:pt>
                <c:pt idx="27">
                  <c:v>52.462223478358098</c:v>
                </c:pt>
                <c:pt idx="28">
                  <c:v>55.841910415445206</c:v>
                </c:pt>
                <c:pt idx="29">
                  <c:v>59.509856776975866</c:v>
                </c:pt>
                <c:pt idx="30">
                  <c:v>62.815728346316916</c:v>
                </c:pt>
                <c:pt idx="31">
                  <c:v>66.204299197933693</c:v>
                </c:pt>
                <c:pt idx="32">
                  <c:v>68.408776882265556</c:v>
                </c:pt>
                <c:pt idx="33">
                  <c:v>70.522309861851909</c:v>
                </c:pt>
                <c:pt idx="34">
                  <c:v>72.983201757667274</c:v>
                </c:pt>
                <c:pt idx="35">
                  <c:v>75.673943715886011</c:v>
                </c:pt>
                <c:pt idx="36">
                  <c:v>78.410421867820631</c:v>
                </c:pt>
                <c:pt idx="37">
                  <c:v>78.410421867820631</c:v>
                </c:pt>
                <c:pt idx="38">
                  <c:v>78.410421867820631</c:v>
                </c:pt>
                <c:pt idx="39">
                  <c:v>80.176146795961174</c:v>
                </c:pt>
                <c:pt idx="40">
                  <c:v>82.786848379319963</c:v>
                </c:pt>
                <c:pt idx="41">
                  <c:v>85.424762228626221</c:v>
                </c:pt>
                <c:pt idx="42">
                  <c:v>88.100250347198539</c:v>
                </c:pt>
                <c:pt idx="43">
                  <c:v>90.283548062373626</c:v>
                </c:pt>
                <c:pt idx="44">
                  <c:v>91.940281385101855</c:v>
                </c:pt>
                <c:pt idx="45">
                  <c:v>93.660215450834826</c:v>
                </c:pt>
                <c:pt idx="46">
                  <c:v>95.879323399545939</c:v>
                </c:pt>
                <c:pt idx="47">
                  <c:v>97.488732715855562</c:v>
                </c:pt>
                <c:pt idx="48">
                  <c:v>98.372796247531255</c:v>
                </c:pt>
                <c:pt idx="49">
                  <c:v>99.017233377221842</c:v>
                </c:pt>
                <c:pt idx="50">
                  <c:v>99.677781435154699</c:v>
                </c:pt>
                <c:pt idx="51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1-4E66-B9FB-23F0D995F8C2}"/>
            </c:ext>
          </c:extLst>
        </c:ser>
        <c:ser>
          <c:idx val="1"/>
          <c:order val="1"/>
          <c:tx>
            <c:v>Actual</c:v>
          </c:tx>
          <c:spPr>
            <a:ln w="952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'[1]untuk pak ricky'!$H$9:$BG$9</c:f>
            </c:multiLvlStrRef>
          </c:cat>
          <c:val>
            <c:numRef>
              <c:f>'S-Curve'!$L$170:$BL$170</c:f>
              <c:numCache>
                <c:formatCode>0.000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1-4E66-B9FB-23F0D995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70672"/>
        <c:axId val="814469584"/>
      </c:lineChart>
      <c:catAx>
        <c:axId val="81447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469584"/>
        <c:crosses val="autoZero"/>
        <c:auto val="1"/>
        <c:lblAlgn val="ctr"/>
        <c:lblOffset val="100"/>
        <c:tickLblSkip val="1"/>
        <c:tickMarkSkip val="30"/>
        <c:noMultiLvlLbl val="0"/>
      </c:catAx>
      <c:valAx>
        <c:axId val="814469584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rgbClr val="4F81BD">
                  <a:alpha val="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14470672"/>
        <c:crosses val="autoZero"/>
        <c:crossBetween val="midCat"/>
        <c:majorUnit val="10"/>
      </c:valAx>
      <c:spPr>
        <a:noFill/>
      </c:spPr>
    </c:plotArea>
    <c:legend>
      <c:legendPos val="r"/>
      <c:layout>
        <c:manualLayout>
          <c:xMode val="edge"/>
          <c:yMode val="edge"/>
          <c:x val="0.42717771511942837"/>
          <c:y val="0.53318462404166878"/>
          <c:w val="2.4475547986732821E-2"/>
          <c:h val="2.7360397673092018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0"/>
      </a:srgbClr>
    </a:solidFill>
  </c:spPr>
  <c:printSettings>
    <c:headerFooter/>
    <c:pageMargins b="0.75000000000000389" l="0.70000000000000095" r="0.70000000000000095" t="0.75000000000000389" header="0.30000000000000032" footer="0.30000000000000032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44</xdr:col>
      <xdr:colOff>333728</xdr:colOff>
      <xdr:row>7</xdr:row>
      <xdr:rowOff>152960</xdr:rowOff>
    </xdr:from>
    <xdr:ext cx="718466" cy="756239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19E08F-F1AD-462F-9BC9-E32371157F3A}"/>
            </a:ext>
          </a:extLst>
        </xdr:cNvPr>
        <xdr:cNvSpPr/>
      </xdr:nvSpPr>
      <xdr:spPr>
        <a:xfrm rot="16200000">
          <a:off x="19939853" y="4964452"/>
          <a:ext cx="7562391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LIBUR LEBARAN</a:t>
          </a:r>
        </a:p>
      </xdr:txBody>
    </xdr:sp>
    <xdr:clientData/>
  </xdr:oneCellAnchor>
  <xdr:twoCellAnchor>
    <xdr:from>
      <xdr:col>8</xdr:col>
      <xdr:colOff>593912</xdr:colOff>
      <xdr:row>8</xdr:row>
      <xdr:rowOff>56028</xdr:rowOff>
    </xdr:from>
    <xdr:to>
      <xdr:col>60</xdr:col>
      <xdr:colOff>358587</xdr:colOff>
      <xdr:row>166</xdr:row>
      <xdr:rowOff>100853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303E5-AB26-4DA7-B979-721C865B2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45</xdr:col>
      <xdr:colOff>8757</xdr:colOff>
      <xdr:row>71</xdr:row>
      <xdr:rowOff>0</xdr:rowOff>
    </xdr:from>
    <xdr:ext cx="718466" cy="7562391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F6836DC-C57E-420C-A302-AD887F211F5E}"/>
            </a:ext>
          </a:extLst>
        </xdr:cNvPr>
        <xdr:cNvSpPr/>
      </xdr:nvSpPr>
      <xdr:spPr>
        <a:xfrm rot="16200000">
          <a:off x="20084969" y="6327088"/>
          <a:ext cx="7562391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LIBUR LEBARAN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iputra%20Makassar\Report\HO\Weekly%20Report%20buat%20ciputra\S-Curve%20UC%20Makasar%20R2%20CIPU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tuk pak rick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2:BO183"/>
  <sheetViews>
    <sheetView tabSelected="1" view="pageBreakPreview" zoomScaleNormal="60" zoomScaleSheetLayoutView="100" zoomScalePageLayoutView="55" workbookViewId="0">
      <pane ySplit="10" topLeftCell="A11" activePane="bottomLeft" state="frozen"/>
      <selection activeCell="E1" sqref="E1"/>
      <selection pane="bottomLeft" activeCell="BF186" sqref="BF186"/>
    </sheetView>
  </sheetViews>
  <sheetFormatPr defaultColWidth="9.140625" defaultRowHeight="11.25"/>
  <cols>
    <col min="1" max="1" width="3.5703125" style="45" customWidth="1"/>
    <col min="2" max="2" width="7.5703125" style="45" customWidth="1"/>
    <col min="3" max="3" width="5.140625" style="45" customWidth="1"/>
    <col min="4" max="4" width="9.140625" style="47" customWidth="1"/>
    <col min="5" max="5" width="30.7109375" style="45" customWidth="1"/>
    <col min="6" max="6" width="20.42578125" style="48" customWidth="1"/>
    <col min="7" max="7" width="17.28515625" style="131" customWidth="1"/>
    <col min="8" max="8" width="12.7109375" style="45" customWidth="1"/>
    <col min="9" max="9" width="9.5703125" style="45" customWidth="1"/>
    <col min="10" max="59" width="5.42578125" style="45" customWidth="1"/>
    <col min="60" max="60" width="6.28515625" style="45" customWidth="1"/>
    <col min="61" max="64" width="5.42578125" style="45" customWidth="1"/>
    <col min="65" max="65" width="12.7109375" style="45" customWidth="1"/>
    <col min="66" max="66" width="32.7109375" style="45" customWidth="1"/>
    <col min="67" max="67" width="14.5703125" style="45" bestFit="1" customWidth="1"/>
    <col min="68" max="16384" width="9.140625" style="45"/>
  </cols>
  <sheetData>
    <row r="2" spans="1:67" ht="15.75" customHeight="1">
      <c r="D2" s="154" t="s">
        <v>13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46"/>
    </row>
    <row r="3" spans="1:67" ht="14.25" customHeight="1">
      <c r="D3" s="152" t="s">
        <v>205</v>
      </c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spans="1:67"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spans="1:67" ht="12" customHeight="1"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44">
        <f>BM14+BM16</f>
        <v>10.525806451612903</v>
      </c>
    </row>
    <row r="6" spans="1:67" ht="15" customHeight="1">
      <c r="D6" s="153" t="s">
        <v>126</v>
      </c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</row>
    <row r="7" spans="1:67" ht="21.75" customHeight="1">
      <c r="G7" s="49"/>
      <c r="H7" s="50"/>
      <c r="I7" s="50"/>
      <c r="J7" s="50"/>
      <c r="K7" s="50"/>
      <c r="L7" s="50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1"/>
    </row>
    <row r="8" spans="1:67">
      <c r="F8" s="48">
        <v>1</v>
      </c>
      <c r="G8" s="48">
        <v>1.1100000000000001</v>
      </c>
      <c r="M8" s="45">
        <v>1</v>
      </c>
      <c r="P8" s="45">
        <v>2</v>
      </c>
      <c r="U8" s="45">
        <v>3</v>
      </c>
      <c r="Y8" s="45">
        <v>4</v>
      </c>
      <c r="AC8" s="45">
        <v>5</v>
      </c>
      <c r="AG8" s="45">
        <v>6</v>
      </c>
      <c r="AL8" s="45">
        <v>7</v>
      </c>
      <c r="AP8" s="45">
        <v>8</v>
      </c>
      <c r="AU8" s="45">
        <v>9</v>
      </c>
      <c r="AY8" s="45">
        <v>10</v>
      </c>
      <c r="BH8" s="45">
        <v>12</v>
      </c>
      <c r="BL8" s="45">
        <v>13</v>
      </c>
    </row>
    <row r="9" spans="1:67">
      <c r="D9" s="146" t="s">
        <v>0</v>
      </c>
      <c r="E9" s="157" t="s">
        <v>1</v>
      </c>
      <c r="F9" s="158" t="s">
        <v>122</v>
      </c>
      <c r="G9" s="159" t="s">
        <v>123</v>
      </c>
      <c r="H9" s="146" t="s">
        <v>2</v>
      </c>
      <c r="I9" s="160" t="s">
        <v>121</v>
      </c>
      <c r="J9" s="147" t="s">
        <v>5</v>
      </c>
      <c r="K9" s="148"/>
      <c r="L9" s="148"/>
      <c r="M9" s="149"/>
      <c r="N9" s="147" t="s">
        <v>28</v>
      </c>
      <c r="O9" s="148"/>
      <c r="P9" s="148"/>
      <c r="Q9" s="149"/>
      <c r="R9" s="147" t="s">
        <v>6</v>
      </c>
      <c r="S9" s="148"/>
      <c r="T9" s="148"/>
      <c r="U9" s="148"/>
      <c r="V9" s="147" t="s">
        <v>26</v>
      </c>
      <c r="W9" s="148"/>
      <c r="X9" s="148"/>
      <c r="Y9" s="148"/>
      <c r="Z9" s="149"/>
      <c r="AA9" s="147" t="s">
        <v>7</v>
      </c>
      <c r="AB9" s="148"/>
      <c r="AC9" s="148"/>
      <c r="AD9" s="149"/>
      <c r="AE9" s="147" t="s">
        <v>8</v>
      </c>
      <c r="AF9" s="148"/>
      <c r="AG9" s="148"/>
      <c r="AH9" s="149"/>
      <c r="AI9" s="147" t="s">
        <v>27</v>
      </c>
      <c r="AJ9" s="148"/>
      <c r="AK9" s="148"/>
      <c r="AL9" s="149"/>
      <c r="AM9" s="148" t="s">
        <v>9</v>
      </c>
      <c r="AN9" s="148"/>
      <c r="AO9" s="148"/>
      <c r="AP9" s="148"/>
      <c r="AQ9" s="149"/>
      <c r="AR9" s="146" t="s">
        <v>3</v>
      </c>
      <c r="AS9" s="146"/>
      <c r="AT9" s="146"/>
      <c r="AU9" s="146"/>
      <c r="AV9" s="146" t="s">
        <v>124</v>
      </c>
      <c r="AW9" s="146"/>
      <c r="AX9" s="146"/>
      <c r="AY9" s="146"/>
      <c r="AZ9" s="146"/>
      <c r="BA9" s="146" t="s">
        <v>125</v>
      </c>
      <c r="BB9" s="146"/>
      <c r="BC9" s="146"/>
      <c r="BD9" s="146"/>
      <c r="BE9" s="147" t="s">
        <v>4</v>
      </c>
      <c r="BF9" s="148"/>
      <c r="BG9" s="148"/>
      <c r="BH9" s="149"/>
      <c r="BI9" s="147" t="s">
        <v>5</v>
      </c>
      <c r="BJ9" s="148"/>
      <c r="BK9" s="148"/>
      <c r="BL9" s="148"/>
      <c r="BM9" s="52"/>
    </row>
    <row r="10" spans="1:67">
      <c r="D10" s="146"/>
      <c r="E10" s="157"/>
      <c r="F10" s="158"/>
      <c r="G10" s="159"/>
      <c r="H10" s="146"/>
      <c r="I10" s="161"/>
      <c r="J10" s="53">
        <v>1</v>
      </c>
      <c r="K10" s="54">
        <v>2</v>
      </c>
      <c r="L10" s="54">
        <f>K10+1</f>
        <v>3</v>
      </c>
      <c r="M10" s="54">
        <f t="shared" ref="M10:BL10" si="0">L10+1</f>
        <v>4</v>
      </c>
      <c r="N10" s="54">
        <f>M10+1</f>
        <v>5</v>
      </c>
      <c r="O10" s="54">
        <f t="shared" si="0"/>
        <v>6</v>
      </c>
      <c r="P10" s="54">
        <f t="shared" si="0"/>
        <v>7</v>
      </c>
      <c r="Q10" s="54">
        <f t="shared" si="0"/>
        <v>8</v>
      </c>
      <c r="R10" s="54">
        <f t="shared" si="0"/>
        <v>9</v>
      </c>
      <c r="S10" s="54">
        <f t="shared" si="0"/>
        <v>10</v>
      </c>
      <c r="T10" s="54">
        <f t="shared" si="0"/>
        <v>11</v>
      </c>
      <c r="U10" s="54">
        <f t="shared" si="0"/>
        <v>12</v>
      </c>
      <c r="V10" s="54">
        <f t="shared" si="0"/>
        <v>13</v>
      </c>
      <c r="W10" s="54">
        <f t="shared" si="0"/>
        <v>14</v>
      </c>
      <c r="X10" s="54">
        <f t="shared" si="0"/>
        <v>15</v>
      </c>
      <c r="Y10" s="54">
        <f t="shared" si="0"/>
        <v>16</v>
      </c>
      <c r="Z10" s="54">
        <f t="shared" si="0"/>
        <v>17</v>
      </c>
      <c r="AA10" s="54">
        <f t="shared" si="0"/>
        <v>18</v>
      </c>
      <c r="AB10" s="54">
        <f t="shared" si="0"/>
        <v>19</v>
      </c>
      <c r="AC10" s="54">
        <f t="shared" si="0"/>
        <v>20</v>
      </c>
      <c r="AD10" s="54">
        <f>AC10+1</f>
        <v>21</v>
      </c>
      <c r="AE10" s="54">
        <f t="shared" si="0"/>
        <v>22</v>
      </c>
      <c r="AF10" s="54">
        <f t="shared" si="0"/>
        <v>23</v>
      </c>
      <c r="AG10" s="54">
        <f t="shared" si="0"/>
        <v>24</v>
      </c>
      <c r="AH10" s="54">
        <f t="shared" si="0"/>
        <v>25</v>
      </c>
      <c r="AI10" s="54">
        <f t="shared" si="0"/>
        <v>26</v>
      </c>
      <c r="AJ10" s="54">
        <f>AI10+1</f>
        <v>27</v>
      </c>
      <c r="AK10" s="54">
        <f t="shared" si="0"/>
        <v>28</v>
      </c>
      <c r="AL10" s="54">
        <f t="shared" si="0"/>
        <v>29</v>
      </c>
      <c r="AM10" s="54">
        <f t="shared" si="0"/>
        <v>30</v>
      </c>
      <c r="AN10" s="54">
        <f t="shared" si="0"/>
        <v>31</v>
      </c>
      <c r="AO10" s="54">
        <f t="shared" si="0"/>
        <v>32</v>
      </c>
      <c r="AP10" s="54">
        <f t="shared" si="0"/>
        <v>33</v>
      </c>
      <c r="AQ10" s="54">
        <f t="shared" si="0"/>
        <v>34</v>
      </c>
      <c r="AR10" s="54">
        <f t="shared" si="0"/>
        <v>35</v>
      </c>
      <c r="AS10" s="54">
        <f t="shared" si="0"/>
        <v>36</v>
      </c>
      <c r="AT10" s="54">
        <f t="shared" si="0"/>
        <v>37</v>
      </c>
      <c r="AU10" s="54">
        <f t="shared" si="0"/>
        <v>38</v>
      </c>
      <c r="AV10" s="54">
        <f t="shared" si="0"/>
        <v>39</v>
      </c>
      <c r="AW10" s="54">
        <f t="shared" si="0"/>
        <v>40</v>
      </c>
      <c r="AX10" s="54">
        <f t="shared" si="0"/>
        <v>41</v>
      </c>
      <c r="AY10" s="54">
        <f t="shared" si="0"/>
        <v>42</v>
      </c>
      <c r="AZ10" s="54">
        <f t="shared" si="0"/>
        <v>43</v>
      </c>
      <c r="BA10" s="54">
        <f t="shared" si="0"/>
        <v>44</v>
      </c>
      <c r="BB10" s="54">
        <f t="shared" si="0"/>
        <v>45</v>
      </c>
      <c r="BC10" s="54">
        <f t="shared" si="0"/>
        <v>46</v>
      </c>
      <c r="BD10" s="54">
        <f t="shared" si="0"/>
        <v>47</v>
      </c>
      <c r="BE10" s="54">
        <f t="shared" si="0"/>
        <v>48</v>
      </c>
      <c r="BF10" s="54">
        <f t="shared" si="0"/>
        <v>49</v>
      </c>
      <c r="BG10" s="54">
        <f t="shared" si="0"/>
        <v>50</v>
      </c>
      <c r="BH10" s="54">
        <f t="shared" si="0"/>
        <v>51</v>
      </c>
      <c r="BI10" s="54">
        <f t="shared" si="0"/>
        <v>52</v>
      </c>
      <c r="BJ10" s="54">
        <f t="shared" si="0"/>
        <v>53</v>
      </c>
      <c r="BK10" s="54">
        <f t="shared" si="0"/>
        <v>54</v>
      </c>
      <c r="BL10" s="54">
        <f t="shared" si="0"/>
        <v>55</v>
      </c>
      <c r="BM10" s="54" t="e">
        <f>#REF!+1</f>
        <v>#REF!</v>
      </c>
      <c r="BN10" s="54" t="e">
        <f>#REF!+1</f>
        <v>#REF!</v>
      </c>
      <c r="BO10" s="55">
        <v>57</v>
      </c>
    </row>
    <row r="11" spans="1:67" hidden="1">
      <c r="A11" s="45">
        <v>2</v>
      </c>
      <c r="D11" s="56">
        <v>2</v>
      </c>
      <c r="E11" s="57" t="s">
        <v>128</v>
      </c>
      <c r="F11" s="58"/>
      <c r="G11" s="59"/>
      <c r="H11" s="60"/>
      <c r="I11" s="61"/>
      <c r="J11" s="62"/>
      <c r="K11" s="63"/>
      <c r="L11" s="62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4"/>
      <c r="AU11" s="64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5">
        <f>SUM(L11:BL11)</f>
        <v>0</v>
      </c>
      <c r="BN11" s="66">
        <f>BM11-H11</f>
        <v>0</v>
      </c>
    </row>
    <row r="12" spans="1:67">
      <c r="A12" s="45">
        <v>1</v>
      </c>
      <c r="B12" s="77">
        <f>H12-BM12</f>
        <v>0</v>
      </c>
      <c r="C12" s="77" t="s">
        <v>20</v>
      </c>
      <c r="D12" s="56">
        <v>1</v>
      </c>
      <c r="E12" s="57" t="s">
        <v>207</v>
      </c>
      <c r="F12" s="59">
        <f>F16+F14</f>
        <v>3263000000</v>
      </c>
      <c r="G12" s="59">
        <f>G16+G14</f>
        <v>3621930000.0000005</v>
      </c>
      <c r="H12" s="78">
        <f>100*G12/$G$166</f>
        <v>10.525806451612903</v>
      </c>
      <c r="I12" s="79">
        <v>49</v>
      </c>
      <c r="J12" s="80">
        <f>J14+J16</f>
        <v>2.1958598493160707E-3</v>
      </c>
      <c r="K12" s="80">
        <f t="shared" ref="K12:BG12" si="1">K14+K16</f>
        <v>2.1958598493160707E-3</v>
      </c>
      <c r="L12" s="80">
        <f t="shared" si="1"/>
        <v>2.1958598493160707E-3</v>
      </c>
      <c r="M12" s="80">
        <f t="shared" si="1"/>
        <v>4.3917196986321414E-3</v>
      </c>
      <c r="N12" s="80">
        <f t="shared" si="1"/>
        <v>4.3917196986321414E-3</v>
      </c>
      <c r="O12" s="80">
        <f t="shared" si="1"/>
        <v>4.3917196986321414E-3</v>
      </c>
      <c r="P12" s="80">
        <f t="shared" si="1"/>
        <v>7.6139053470850714E-3</v>
      </c>
      <c r="Q12" s="80">
        <f t="shared" si="1"/>
        <v>1.1695340501792115E-3</v>
      </c>
      <c r="R12" s="80">
        <f t="shared" si="1"/>
        <v>4.3917196986321414E-3</v>
      </c>
      <c r="S12" s="80">
        <f t="shared" si="1"/>
        <v>2.9238351254480288E-3</v>
      </c>
      <c r="T12" s="80">
        <f t="shared" si="1"/>
        <v>8.771505376344085E-3</v>
      </c>
      <c r="U12" s="80">
        <f t="shared" si="1"/>
        <v>5.7104290103138035E-2</v>
      </c>
      <c r="V12" s="80">
        <f t="shared" si="1"/>
        <v>6.2951960354034095E-2</v>
      </c>
      <c r="W12" s="80">
        <f t="shared" si="1"/>
        <v>4.7557073366981201E-2</v>
      </c>
      <c r="X12" s="80">
        <f t="shared" si="1"/>
        <v>0</v>
      </c>
      <c r="Y12" s="80">
        <f t="shared" si="1"/>
        <v>0</v>
      </c>
      <c r="Z12" s="80">
        <f t="shared" si="1"/>
        <v>0</v>
      </c>
      <c r="AA12" s="80">
        <f t="shared" si="1"/>
        <v>0</v>
      </c>
      <c r="AB12" s="80">
        <f t="shared" si="1"/>
        <v>2.9238351254480287E-2</v>
      </c>
      <c r="AC12" s="80">
        <f t="shared" si="1"/>
        <v>0.35438075122522128</v>
      </c>
      <c r="AD12" s="80">
        <f t="shared" si="1"/>
        <v>0.25986330553726872</v>
      </c>
      <c r="AE12" s="80">
        <f t="shared" si="1"/>
        <v>0.20138660302830813</v>
      </c>
      <c r="AF12" s="80">
        <f t="shared" si="1"/>
        <v>0.11695340501792115</v>
      </c>
      <c r="AG12" s="80">
        <f t="shared" si="1"/>
        <v>0.17250627240143371</v>
      </c>
      <c r="AH12" s="80">
        <f t="shared" si="1"/>
        <v>5.8476702508960574E-2</v>
      </c>
      <c r="AI12" s="80">
        <f t="shared" si="1"/>
        <v>0</v>
      </c>
      <c r="AJ12" s="80">
        <f t="shared" si="1"/>
        <v>0.36249588545095462</v>
      </c>
      <c r="AK12" s="80">
        <f t="shared" si="1"/>
        <v>0.12083196181698487</v>
      </c>
      <c r="AL12" s="80">
        <f t="shared" si="1"/>
        <v>0.12083196181698487</v>
      </c>
      <c r="AM12" s="80">
        <f t="shared" si="1"/>
        <v>0.12083196181698487</v>
      </c>
      <c r="AN12" s="80">
        <f t="shared" si="1"/>
        <v>0.16110928242264649</v>
      </c>
      <c r="AO12" s="80">
        <f t="shared" si="1"/>
        <v>0.31899637919684004</v>
      </c>
      <c r="AP12" s="80">
        <f t="shared" si="1"/>
        <v>0.41255910321117695</v>
      </c>
      <c r="AQ12" s="80">
        <f t="shared" si="1"/>
        <v>0.39209225733304076</v>
      </c>
      <c r="AR12" s="80">
        <f t="shared" si="1"/>
        <v>0.36577774120400852</v>
      </c>
      <c r="AS12" s="80">
        <f t="shared" si="1"/>
        <v>0.34823473045132036</v>
      </c>
      <c r="AT12" s="76"/>
      <c r="AU12" s="76"/>
      <c r="AV12" s="80">
        <f t="shared" si="1"/>
        <v>0.34823473045132036</v>
      </c>
      <c r="AW12" s="80">
        <f t="shared" si="1"/>
        <v>0.39501609245848879</v>
      </c>
      <c r="AX12" s="80">
        <f t="shared" si="1"/>
        <v>0.39501609245848879</v>
      </c>
      <c r="AY12" s="80">
        <f t="shared" si="1"/>
        <v>0.3365393899495282</v>
      </c>
      <c r="AZ12" s="80">
        <f t="shared" si="1"/>
        <v>0.11695340501792115</v>
      </c>
      <c r="BA12" s="80">
        <f t="shared" si="1"/>
        <v>0.86402311462219306</v>
      </c>
      <c r="BB12" s="80">
        <f t="shared" si="1"/>
        <v>0.83478476336771279</v>
      </c>
      <c r="BC12" s="80">
        <f t="shared" si="1"/>
        <v>0.82016558774047266</v>
      </c>
      <c r="BD12" s="80">
        <f t="shared" si="1"/>
        <v>1.4619175627240143E-2</v>
      </c>
      <c r="BE12" s="80">
        <f t="shared" si="1"/>
        <v>0.64443712969058597</v>
      </c>
      <c r="BF12" s="80">
        <f t="shared" si="1"/>
        <v>0.64443712969058597</v>
      </c>
      <c r="BG12" s="80">
        <f t="shared" si="1"/>
        <v>0.66054805793285054</v>
      </c>
      <c r="BH12" s="80">
        <f>BH14+BH16</f>
        <v>0.32221856484529299</v>
      </c>
      <c r="BI12" s="63"/>
      <c r="BJ12" s="63"/>
      <c r="BK12" s="63"/>
      <c r="BL12" s="63"/>
      <c r="BM12" s="65">
        <f t="shared" ref="BM12" si="2">SUM(J12:BL12)</f>
        <v>10.525806451612903</v>
      </c>
      <c r="BN12" s="66">
        <f t="shared" ref="BN12:BN75" si="3">BM12-H12</f>
        <v>0</v>
      </c>
    </row>
    <row r="13" spans="1:67" hidden="1">
      <c r="D13" s="67"/>
      <c r="E13" s="68"/>
      <c r="F13" s="69"/>
      <c r="G13" s="70"/>
      <c r="H13" s="71"/>
      <c r="I13" s="72"/>
      <c r="J13" s="73"/>
      <c r="K13" s="74"/>
      <c r="L13" s="73"/>
      <c r="M13" s="74"/>
      <c r="N13" s="75"/>
      <c r="O13" s="75"/>
      <c r="P13" s="75"/>
      <c r="Q13" s="75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5"/>
      <c r="AK13" s="75"/>
      <c r="AL13" s="75"/>
      <c r="AM13" s="74"/>
      <c r="AN13" s="75"/>
      <c r="AO13" s="75"/>
      <c r="AP13" s="74"/>
      <c r="AQ13" s="74"/>
      <c r="AR13" s="74"/>
      <c r="AS13" s="74"/>
      <c r="AT13" s="76"/>
      <c r="AU13" s="76"/>
      <c r="AV13" s="75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N13" s="66">
        <f t="shared" si="3"/>
        <v>0</v>
      </c>
    </row>
    <row r="14" spans="1:67">
      <c r="A14" s="45">
        <v>1</v>
      </c>
      <c r="B14" s="77">
        <f>H14-BM14</f>
        <v>0</v>
      </c>
      <c r="C14" s="77" t="s">
        <v>20</v>
      </c>
      <c r="D14" s="56">
        <v>1</v>
      </c>
      <c r="E14" s="57" t="s">
        <v>127</v>
      </c>
      <c r="F14" s="58">
        <v>815750000</v>
      </c>
      <c r="G14" s="59">
        <f>F14*1.11</f>
        <v>905482500.00000012</v>
      </c>
      <c r="H14" s="78">
        <f>100*G14/$G$166</f>
        <v>2.6314516129032257</v>
      </c>
      <c r="I14" s="79">
        <f>BD10-J10+1-2</f>
        <v>45</v>
      </c>
      <c r="J14" s="80">
        <f t="shared" ref="J14:AS14" si="4">$H$14/$I$14*J15</f>
        <v>5.8476702508960577E-4</v>
      </c>
      <c r="K14" s="80">
        <f t="shared" si="4"/>
        <v>5.8476702508960577E-4</v>
      </c>
      <c r="L14" s="80">
        <f t="shared" si="4"/>
        <v>5.8476702508960577E-4</v>
      </c>
      <c r="M14" s="80">
        <f t="shared" si="4"/>
        <v>1.1695340501792115E-3</v>
      </c>
      <c r="N14" s="80">
        <f t="shared" si="4"/>
        <v>1.1695340501792115E-3</v>
      </c>
      <c r="O14" s="80">
        <f t="shared" si="4"/>
        <v>1.1695340501792115E-3</v>
      </c>
      <c r="P14" s="80">
        <f t="shared" si="4"/>
        <v>1.1695340501792115E-3</v>
      </c>
      <c r="Q14" s="80">
        <f t="shared" si="4"/>
        <v>1.1695340501792115E-3</v>
      </c>
      <c r="R14" s="80">
        <f t="shared" si="4"/>
        <v>1.1695340501792115E-3</v>
      </c>
      <c r="S14" s="80">
        <f t="shared" si="4"/>
        <v>2.9238351254480288E-3</v>
      </c>
      <c r="T14" s="80">
        <f t="shared" si="4"/>
        <v>8.771505376344085E-3</v>
      </c>
      <c r="U14" s="80">
        <f t="shared" si="4"/>
        <v>8.771505376344085E-3</v>
      </c>
      <c r="V14" s="80">
        <f t="shared" si="4"/>
        <v>1.4619175627240143E-2</v>
      </c>
      <c r="W14" s="80">
        <f t="shared" si="4"/>
        <v>2.339068100358423E-2</v>
      </c>
      <c r="X14" s="80">
        <f t="shared" si="4"/>
        <v>0</v>
      </c>
      <c r="Y14" s="80">
        <f t="shared" si="4"/>
        <v>0</v>
      </c>
      <c r="Z14" s="80">
        <f t="shared" si="4"/>
        <v>0</v>
      </c>
      <c r="AA14" s="80">
        <f t="shared" si="4"/>
        <v>0</v>
      </c>
      <c r="AB14" s="80">
        <f t="shared" si="4"/>
        <v>2.9238351254480287E-2</v>
      </c>
      <c r="AC14" s="80">
        <f t="shared" si="4"/>
        <v>3.216218637992832E-2</v>
      </c>
      <c r="AD14" s="80">
        <f t="shared" si="4"/>
        <v>5.8476702508960574E-2</v>
      </c>
      <c r="AE14" s="80">
        <f t="shared" si="4"/>
        <v>0</v>
      </c>
      <c r="AF14" s="80">
        <f t="shared" si="4"/>
        <v>0.11695340501792115</v>
      </c>
      <c r="AG14" s="80">
        <f t="shared" si="4"/>
        <v>0.17250627240143371</v>
      </c>
      <c r="AH14" s="80">
        <f t="shared" si="4"/>
        <v>5.8476702508960574E-2</v>
      </c>
      <c r="AI14" s="80">
        <f t="shared" si="4"/>
        <v>0</v>
      </c>
      <c r="AJ14" s="80">
        <f t="shared" si="4"/>
        <v>0</v>
      </c>
      <c r="AK14" s="80">
        <f t="shared" si="4"/>
        <v>0</v>
      </c>
      <c r="AL14" s="80">
        <f t="shared" si="4"/>
        <v>0</v>
      </c>
      <c r="AM14" s="80">
        <f t="shared" si="4"/>
        <v>0</v>
      </c>
      <c r="AN14" s="80">
        <f t="shared" si="4"/>
        <v>0</v>
      </c>
      <c r="AO14" s="80">
        <f t="shared" si="4"/>
        <v>0.15788709677419355</v>
      </c>
      <c r="AP14" s="80">
        <f t="shared" si="4"/>
        <v>0.25144982078853045</v>
      </c>
      <c r="AQ14" s="80">
        <f t="shared" si="4"/>
        <v>0.23098297491039427</v>
      </c>
      <c r="AR14" s="80">
        <f t="shared" si="4"/>
        <v>0.204668458781362</v>
      </c>
      <c r="AS14" s="80">
        <f t="shared" si="4"/>
        <v>0.18712544802867384</v>
      </c>
      <c r="AT14" s="76"/>
      <c r="AU14" s="76"/>
      <c r="AV14" s="80">
        <f t="shared" ref="AV14:BD14" si="5">$H$14/$I$14*AV15</f>
        <v>0.18712544802867384</v>
      </c>
      <c r="AW14" s="80">
        <f t="shared" si="5"/>
        <v>0.23390681003584229</v>
      </c>
      <c r="AX14" s="80">
        <f t="shared" si="5"/>
        <v>0.23390681003584229</v>
      </c>
      <c r="AY14" s="80">
        <f t="shared" si="5"/>
        <v>0.17543010752688171</v>
      </c>
      <c r="AZ14" s="80">
        <f t="shared" si="5"/>
        <v>0.11695340501792115</v>
      </c>
      <c r="BA14" s="80">
        <f t="shared" si="5"/>
        <v>5.8476702508960574E-2</v>
      </c>
      <c r="BB14" s="80">
        <f t="shared" si="5"/>
        <v>2.9238351254480287E-2</v>
      </c>
      <c r="BC14" s="80">
        <f t="shared" si="5"/>
        <v>1.4619175627240143E-2</v>
      </c>
      <c r="BD14" s="80">
        <f t="shared" si="5"/>
        <v>1.4619175627240143E-2</v>
      </c>
      <c r="BE14" s="63"/>
      <c r="BF14" s="63"/>
      <c r="BG14" s="63"/>
      <c r="BH14" s="63"/>
      <c r="BI14" s="63"/>
      <c r="BJ14" s="63"/>
      <c r="BK14" s="63"/>
      <c r="BL14" s="63"/>
      <c r="BM14" s="65">
        <f t="shared" ref="BM14:BM70" si="6">SUM(J14:BL14)</f>
        <v>2.6314516129032257</v>
      </c>
      <c r="BN14" s="66">
        <f t="shared" si="3"/>
        <v>0</v>
      </c>
    </row>
    <row r="15" spans="1:67" hidden="1">
      <c r="C15" s="45" t="s">
        <v>21</v>
      </c>
      <c r="D15" s="81"/>
      <c r="E15" s="82"/>
      <c r="F15" s="58"/>
      <c r="G15" s="59"/>
      <c r="H15" s="78"/>
      <c r="I15" s="83">
        <f>SUM(J15:BL15)</f>
        <v>45</v>
      </c>
      <c r="J15" s="84">
        <v>0.01</v>
      </c>
      <c r="K15" s="85">
        <v>0.01</v>
      </c>
      <c r="L15" s="84">
        <v>0.01</v>
      </c>
      <c r="M15" s="85">
        <v>0.02</v>
      </c>
      <c r="N15" s="85">
        <v>0.02</v>
      </c>
      <c r="O15" s="85">
        <v>0.02</v>
      </c>
      <c r="P15" s="86">
        <v>0.02</v>
      </c>
      <c r="Q15" s="86">
        <v>0.02</v>
      </c>
      <c r="R15" s="85">
        <v>0.02</v>
      </c>
      <c r="S15" s="85">
        <v>0.05</v>
      </c>
      <c r="T15" s="85">
        <v>0.15</v>
      </c>
      <c r="U15" s="85">
        <v>0.15</v>
      </c>
      <c r="V15" s="85">
        <v>0.25</v>
      </c>
      <c r="W15" s="85">
        <v>0.4</v>
      </c>
      <c r="X15" s="85">
        <v>0</v>
      </c>
      <c r="Y15" s="85">
        <v>0</v>
      </c>
      <c r="Z15" s="85">
        <v>0</v>
      </c>
      <c r="AA15" s="85">
        <v>0</v>
      </c>
      <c r="AB15" s="85">
        <v>0.5</v>
      </c>
      <c r="AC15" s="85">
        <v>0.55000000000000004</v>
      </c>
      <c r="AD15" s="85">
        <v>1</v>
      </c>
      <c r="AE15" s="85">
        <v>0</v>
      </c>
      <c r="AF15" s="85">
        <v>2</v>
      </c>
      <c r="AG15" s="85">
        <v>2.95</v>
      </c>
      <c r="AH15" s="85">
        <v>1</v>
      </c>
      <c r="AI15" s="85">
        <v>0</v>
      </c>
      <c r="AJ15" s="85">
        <v>0</v>
      </c>
      <c r="AK15" s="85">
        <v>0</v>
      </c>
      <c r="AL15" s="85">
        <v>0</v>
      </c>
      <c r="AM15" s="85">
        <v>0</v>
      </c>
      <c r="AN15" s="85">
        <v>0</v>
      </c>
      <c r="AO15" s="85">
        <v>2.7</v>
      </c>
      <c r="AP15" s="85">
        <v>4.3</v>
      </c>
      <c r="AQ15" s="85">
        <v>3.95</v>
      </c>
      <c r="AR15" s="85">
        <v>3.5</v>
      </c>
      <c r="AS15" s="85">
        <v>3.2</v>
      </c>
      <c r="AT15" s="76"/>
      <c r="AU15" s="76"/>
      <c r="AV15" s="85">
        <v>3.2</v>
      </c>
      <c r="AW15" s="87">
        <v>4</v>
      </c>
      <c r="AX15" s="87">
        <v>4</v>
      </c>
      <c r="AY15" s="87">
        <v>3</v>
      </c>
      <c r="AZ15" s="87">
        <v>2</v>
      </c>
      <c r="BA15" s="87">
        <v>1</v>
      </c>
      <c r="BB15" s="87">
        <v>0.5</v>
      </c>
      <c r="BC15" s="87">
        <v>0.25</v>
      </c>
      <c r="BD15" s="87">
        <v>0.25</v>
      </c>
      <c r="BE15" s="87"/>
      <c r="BF15" s="87"/>
      <c r="BG15" s="87"/>
      <c r="BH15" s="87"/>
      <c r="BI15" s="87"/>
      <c r="BJ15" s="87"/>
      <c r="BK15" s="87"/>
      <c r="BL15" s="87"/>
      <c r="BM15" s="65"/>
      <c r="BN15" s="66">
        <f t="shared" si="3"/>
        <v>0</v>
      </c>
    </row>
    <row r="16" spans="1:67">
      <c r="A16" s="45">
        <v>1</v>
      </c>
      <c r="B16" s="77">
        <f>H16-BM16</f>
        <v>0</v>
      </c>
      <c r="C16" s="77" t="s">
        <v>20</v>
      </c>
      <c r="D16" s="56" t="s">
        <v>159</v>
      </c>
      <c r="E16" s="57" t="s">
        <v>160</v>
      </c>
      <c r="F16" s="58">
        <v>2447250000</v>
      </c>
      <c r="G16" s="59">
        <f>F16*1.11</f>
        <v>2716447500.0000005</v>
      </c>
      <c r="H16" s="78">
        <f>100*G16/$G$166</f>
        <v>7.8943548387096776</v>
      </c>
      <c r="I16" s="79">
        <v>49</v>
      </c>
      <c r="J16" s="80">
        <f t="shared" ref="J16:AS16" si="7">$H$16/$I$16*J17</f>
        <v>1.611092824226465E-3</v>
      </c>
      <c r="K16" s="80">
        <f t="shared" si="7"/>
        <v>1.611092824226465E-3</v>
      </c>
      <c r="L16" s="80">
        <f t="shared" si="7"/>
        <v>1.611092824226465E-3</v>
      </c>
      <c r="M16" s="80">
        <f t="shared" si="7"/>
        <v>3.22218564845293E-3</v>
      </c>
      <c r="N16" s="80">
        <f t="shared" si="7"/>
        <v>3.22218564845293E-3</v>
      </c>
      <c r="O16" s="80">
        <f t="shared" si="7"/>
        <v>3.22218564845293E-3</v>
      </c>
      <c r="P16" s="80">
        <f t="shared" si="7"/>
        <v>6.4443712969058601E-3</v>
      </c>
      <c r="Q16" s="80">
        <f t="shared" si="7"/>
        <v>0</v>
      </c>
      <c r="R16" s="80">
        <f t="shared" si="7"/>
        <v>3.22218564845293E-3</v>
      </c>
      <c r="S16" s="80">
        <f t="shared" si="7"/>
        <v>0</v>
      </c>
      <c r="T16" s="80">
        <f t="shared" si="7"/>
        <v>0</v>
      </c>
      <c r="U16" s="80">
        <f t="shared" si="7"/>
        <v>4.8332784726793948E-2</v>
      </c>
      <c r="V16" s="80">
        <f t="shared" si="7"/>
        <v>4.8332784726793948E-2</v>
      </c>
      <c r="W16" s="80">
        <f t="shared" si="7"/>
        <v>2.4166392363396974E-2</v>
      </c>
      <c r="X16" s="80">
        <f t="shared" si="7"/>
        <v>0</v>
      </c>
      <c r="Y16" s="80">
        <f t="shared" si="7"/>
        <v>0</v>
      </c>
      <c r="Z16" s="80">
        <f t="shared" si="7"/>
        <v>0</v>
      </c>
      <c r="AA16" s="80">
        <f t="shared" si="7"/>
        <v>0</v>
      </c>
      <c r="AB16" s="80">
        <f t="shared" si="7"/>
        <v>0</v>
      </c>
      <c r="AC16" s="80">
        <f t="shared" si="7"/>
        <v>0.32221856484529299</v>
      </c>
      <c r="AD16" s="80">
        <f t="shared" si="7"/>
        <v>0.20138660302830813</v>
      </c>
      <c r="AE16" s="80">
        <f t="shared" si="7"/>
        <v>0.20138660302830813</v>
      </c>
      <c r="AF16" s="80">
        <f t="shared" si="7"/>
        <v>0</v>
      </c>
      <c r="AG16" s="80">
        <f t="shared" si="7"/>
        <v>0</v>
      </c>
      <c r="AH16" s="80">
        <f t="shared" si="7"/>
        <v>0</v>
      </c>
      <c r="AI16" s="80">
        <f t="shared" si="7"/>
        <v>0</v>
      </c>
      <c r="AJ16" s="80">
        <f t="shared" si="7"/>
        <v>0.36249588545095462</v>
      </c>
      <c r="AK16" s="80">
        <f t="shared" si="7"/>
        <v>0.12083196181698487</v>
      </c>
      <c r="AL16" s="80">
        <f t="shared" si="7"/>
        <v>0.12083196181698487</v>
      </c>
      <c r="AM16" s="80">
        <f t="shared" si="7"/>
        <v>0.12083196181698487</v>
      </c>
      <c r="AN16" s="80">
        <f t="shared" si="7"/>
        <v>0.16110928242264649</v>
      </c>
      <c r="AO16" s="80">
        <f t="shared" si="7"/>
        <v>0.16110928242264649</v>
      </c>
      <c r="AP16" s="80">
        <f t="shared" si="7"/>
        <v>0.16110928242264649</v>
      </c>
      <c r="AQ16" s="80">
        <f t="shared" si="7"/>
        <v>0.16110928242264649</v>
      </c>
      <c r="AR16" s="80">
        <f t="shared" si="7"/>
        <v>0.16110928242264649</v>
      </c>
      <c r="AS16" s="80">
        <f t="shared" si="7"/>
        <v>0.16110928242264649</v>
      </c>
      <c r="AT16" s="76"/>
      <c r="AU16" s="76"/>
      <c r="AV16" s="80">
        <f t="shared" ref="AV16:BH16" si="8">$H$16/$I$16*AV17</f>
        <v>0.16110928242264649</v>
      </c>
      <c r="AW16" s="80">
        <f t="shared" si="8"/>
        <v>0.16110928242264649</v>
      </c>
      <c r="AX16" s="80">
        <f t="shared" si="8"/>
        <v>0.16110928242264649</v>
      </c>
      <c r="AY16" s="80">
        <f t="shared" si="8"/>
        <v>0.16110928242264649</v>
      </c>
      <c r="AZ16" s="80">
        <f t="shared" si="8"/>
        <v>0</v>
      </c>
      <c r="BA16" s="80">
        <f t="shared" si="8"/>
        <v>0.80554641211323252</v>
      </c>
      <c r="BB16" s="80">
        <f t="shared" si="8"/>
        <v>0.80554641211323252</v>
      </c>
      <c r="BC16" s="80">
        <f t="shared" si="8"/>
        <v>0.80554641211323252</v>
      </c>
      <c r="BD16" s="80">
        <f t="shared" si="8"/>
        <v>0</v>
      </c>
      <c r="BE16" s="80">
        <f t="shared" si="8"/>
        <v>0.64443712969058597</v>
      </c>
      <c r="BF16" s="80">
        <f t="shared" si="8"/>
        <v>0.64443712969058597</v>
      </c>
      <c r="BG16" s="80">
        <f t="shared" si="8"/>
        <v>0.66054805793285054</v>
      </c>
      <c r="BH16" s="80">
        <f t="shared" si="8"/>
        <v>0.32221856484529299</v>
      </c>
      <c r="BI16" s="80"/>
      <c r="BJ16" s="80"/>
      <c r="BK16" s="80"/>
      <c r="BL16" s="80"/>
      <c r="BM16" s="65">
        <f>SUM(J16:BL16)</f>
        <v>7.8943548387096776</v>
      </c>
      <c r="BN16" s="66">
        <f t="shared" si="3"/>
        <v>0</v>
      </c>
    </row>
    <row r="17" spans="1:66" s="86" customFormat="1" hidden="1">
      <c r="C17" s="86" t="s">
        <v>21</v>
      </c>
      <c r="D17" s="117"/>
      <c r="E17" s="118"/>
      <c r="F17" s="119"/>
      <c r="G17" s="119"/>
      <c r="H17" s="120"/>
      <c r="I17" s="83">
        <f>SUM(J17:BL17)</f>
        <v>49</v>
      </c>
      <c r="J17" s="84">
        <v>0.01</v>
      </c>
      <c r="K17" s="85">
        <v>0.01</v>
      </c>
      <c r="L17" s="84">
        <v>0.01</v>
      </c>
      <c r="M17" s="85">
        <v>0.02</v>
      </c>
      <c r="N17" s="85">
        <v>0.02</v>
      </c>
      <c r="O17" s="85">
        <v>0.02</v>
      </c>
      <c r="P17" s="86">
        <v>0.04</v>
      </c>
      <c r="Q17" s="86">
        <v>0</v>
      </c>
      <c r="R17" s="85">
        <v>0.02</v>
      </c>
      <c r="S17" s="85">
        <v>0</v>
      </c>
      <c r="T17" s="85">
        <v>0</v>
      </c>
      <c r="U17" s="85">
        <v>0.3</v>
      </c>
      <c r="V17" s="85">
        <v>0.3</v>
      </c>
      <c r="W17" s="85">
        <v>0.15</v>
      </c>
      <c r="X17" s="85">
        <v>0</v>
      </c>
      <c r="Y17" s="85">
        <v>0</v>
      </c>
      <c r="Z17" s="85">
        <v>0</v>
      </c>
      <c r="AA17" s="85">
        <v>0</v>
      </c>
      <c r="AB17" s="85">
        <v>0</v>
      </c>
      <c r="AC17" s="85">
        <v>2</v>
      </c>
      <c r="AD17" s="85">
        <v>1.25</v>
      </c>
      <c r="AE17" s="85">
        <v>1.25</v>
      </c>
      <c r="AF17" s="85">
        <v>0</v>
      </c>
      <c r="AG17" s="85">
        <v>0</v>
      </c>
      <c r="AH17" s="85">
        <v>0</v>
      </c>
      <c r="AI17" s="85">
        <v>0</v>
      </c>
      <c r="AJ17" s="85">
        <v>2.25</v>
      </c>
      <c r="AK17" s="85">
        <v>0.75</v>
      </c>
      <c r="AL17" s="85">
        <v>0.75</v>
      </c>
      <c r="AM17" s="85">
        <v>0.75</v>
      </c>
      <c r="AN17" s="85">
        <v>1</v>
      </c>
      <c r="AO17" s="85">
        <v>1</v>
      </c>
      <c r="AP17" s="85">
        <v>1</v>
      </c>
      <c r="AQ17" s="85">
        <v>1</v>
      </c>
      <c r="AR17" s="85">
        <v>1</v>
      </c>
      <c r="AS17" s="85">
        <v>1</v>
      </c>
      <c r="AT17" s="121"/>
      <c r="AU17" s="121"/>
      <c r="AV17" s="85">
        <v>1</v>
      </c>
      <c r="AW17" s="85">
        <v>1</v>
      </c>
      <c r="AX17" s="85">
        <v>1</v>
      </c>
      <c r="AY17" s="85">
        <v>1</v>
      </c>
      <c r="AZ17" s="85">
        <v>0</v>
      </c>
      <c r="BA17" s="85">
        <v>5</v>
      </c>
      <c r="BB17" s="85">
        <v>5</v>
      </c>
      <c r="BC17" s="85">
        <v>5</v>
      </c>
      <c r="BD17" s="85">
        <v>0</v>
      </c>
      <c r="BE17" s="85">
        <v>4</v>
      </c>
      <c r="BF17" s="85">
        <v>4</v>
      </c>
      <c r="BG17" s="85">
        <v>4.0999999999999996</v>
      </c>
      <c r="BH17" s="85">
        <v>2</v>
      </c>
      <c r="BI17" s="85"/>
      <c r="BJ17" s="85"/>
      <c r="BK17" s="85"/>
      <c r="BL17" s="85"/>
      <c r="BM17" s="65"/>
      <c r="BN17" s="66">
        <f t="shared" si="3"/>
        <v>0</v>
      </c>
    </row>
    <row r="18" spans="1:66" hidden="1">
      <c r="A18" s="45">
        <v>2</v>
      </c>
      <c r="D18" s="56">
        <v>2</v>
      </c>
      <c r="E18" s="57" t="s">
        <v>128</v>
      </c>
      <c r="F18" s="58"/>
      <c r="G18" s="59"/>
      <c r="H18" s="78"/>
      <c r="I18" s="61"/>
      <c r="J18" s="62"/>
      <c r="K18" s="63"/>
      <c r="L18" s="62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4"/>
      <c r="AU18" s="64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5"/>
      <c r="BN18" s="66">
        <f t="shared" si="3"/>
        <v>0</v>
      </c>
    </row>
    <row r="19" spans="1:66" s="88" customFormat="1" hidden="1">
      <c r="A19" s="88">
        <v>2.1</v>
      </c>
      <c r="D19" s="89">
        <v>2.1</v>
      </c>
      <c r="E19" s="57" t="s">
        <v>129</v>
      </c>
      <c r="F19" s="90"/>
      <c r="G19" s="91"/>
      <c r="H19" s="92"/>
      <c r="I19" s="93"/>
      <c r="J19" s="94"/>
      <c r="K19" s="95"/>
      <c r="L19" s="94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65"/>
      <c r="BN19" s="66">
        <f t="shared" si="3"/>
        <v>0</v>
      </c>
    </row>
    <row r="20" spans="1:66">
      <c r="A20" s="45" t="s">
        <v>30</v>
      </c>
      <c r="B20" s="77">
        <f>H20-BM20</f>
        <v>0</v>
      </c>
      <c r="C20" s="77" t="s">
        <v>20</v>
      </c>
      <c r="D20" s="97" t="s">
        <v>30</v>
      </c>
      <c r="E20" s="82" t="s">
        <v>130</v>
      </c>
      <c r="F20" s="58">
        <v>1312795609.128432</v>
      </c>
      <c r="G20" s="59">
        <f>F20*1.11</f>
        <v>1457203126.1325598</v>
      </c>
      <c r="H20" s="78">
        <f>100*G20/$G$166</f>
        <v>4.2348245455755871</v>
      </c>
      <c r="I20" s="61">
        <f>AA10-L10</f>
        <v>15</v>
      </c>
      <c r="J20" s="62"/>
      <c r="K20" s="63"/>
      <c r="L20" s="62"/>
      <c r="M20" s="80">
        <f>$H$20/$I$20*M21</f>
        <v>1.4116081818585292E-2</v>
      </c>
      <c r="N20" s="80">
        <f t="shared" ref="N20:AA20" si="9">$H$20/$I$20*N21</f>
        <v>1.4116081818585292E-2</v>
      </c>
      <c r="O20" s="80">
        <f t="shared" si="9"/>
        <v>8.469649091151174E-2</v>
      </c>
      <c r="P20" s="80">
        <f t="shared" si="9"/>
        <v>9.8812572730097026E-2</v>
      </c>
      <c r="Q20" s="80">
        <f t="shared" si="9"/>
        <v>0.12704473636726762</v>
      </c>
      <c r="R20" s="80">
        <f t="shared" si="9"/>
        <v>0.14116081818585291</v>
      </c>
      <c r="S20" s="80">
        <f t="shared" si="9"/>
        <v>0.16939298182302348</v>
      </c>
      <c r="T20" s="80">
        <f t="shared" si="9"/>
        <v>0.21174122727877936</v>
      </c>
      <c r="U20" s="80">
        <f t="shared" si="9"/>
        <v>0.29643771819029113</v>
      </c>
      <c r="V20" s="80">
        <f t="shared" si="9"/>
        <v>0.35290204546463227</v>
      </c>
      <c r="W20" s="80">
        <f t="shared" si="9"/>
        <v>0.59287543638058227</v>
      </c>
      <c r="X20" s="80">
        <f t="shared" si="9"/>
        <v>0.59287543638058227</v>
      </c>
      <c r="Y20" s="80">
        <f t="shared" si="9"/>
        <v>0.52229502728765576</v>
      </c>
      <c r="Z20" s="80">
        <f t="shared" si="9"/>
        <v>0.45171461819472936</v>
      </c>
      <c r="AA20" s="80">
        <f t="shared" si="9"/>
        <v>0.56464327274341164</v>
      </c>
      <c r="AB20" s="95"/>
      <c r="AC20" s="95"/>
      <c r="AD20" s="95"/>
      <c r="AE20" s="95"/>
      <c r="AF20" s="95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4"/>
      <c r="AU20" s="64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5">
        <f t="shared" si="6"/>
        <v>4.234824545575588</v>
      </c>
      <c r="BN20" s="66">
        <f t="shared" si="3"/>
        <v>0</v>
      </c>
    </row>
    <row r="21" spans="1:66" hidden="1">
      <c r="B21" s="77"/>
      <c r="C21" s="77" t="s">
        <v>21</v>
      </c>
      <c r="D21" s="97"/>
      <c r="E21" s="82"/>
      <c r="F21" s="58"/>
      <c r="G21" s="59"/>
      <c r="H21" s="78"/>
      <c r="I21" s="83">
        <f>SUM(M21:AA21)</f>
        <v>14.999999999999998</v>
      </c>
      <c r="J21" s="62"/>
      <c r="K21" s="63"/>
      <c r="L21" s="62"/>
      <c r="M21" s="87">
        <v>0.05</v>
      </c>
      <c r="N21" s="87">
        <v>0.05</v>
      </c>
      <c r="O21" s="87">
        <v>0.3</v>
      </c>
      <c r="P21" s="87">
        <v>0.35</v>
      </c>
      <c r="Q21" s="87">
        <v>0.45</v>
      </c>
      <c r="R21" s="87">
        <v>0.5</v>
      </c>
      <c r="S21" s="87">
        <v>0.6</v>
      </c>
      <c r="T21" s="87">
        <v>0.75</v>
      </c>
      <c r="U21" s="87">
        <v>1.05</v>
      </c>
      <c r="V21" s="87">
        <v>1.25</v>
      </c>
      <c r="W21" s="87">
        <v>2.1</v>
      </c>
      <c r="X21" s="98">
        <v>2.1</v>
      </c>
      <c r="Y21" s="98">
        <v>1.85</v>
      </c>
      <c r="Z21" s="98">
        <v>1.6</v>
      </c>
      <c r="AA21" s="98">
        <v>2</v>
      </c>
      <c r="AB21" s="99"/>
      <c r="AC21" s="99"/>
      <c r="AD21" s="99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99"/>
      <c r="AT21" s="100"/>
      <c r="AU21" s="100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65"/>
      <c r="BN21" s="66">
        <f t="shared" si="3"/>
        <v>0</v>
      </c>
    </row>
    <row r="22" spans="1:66" hidden="1">
      <c r="B22" s="77"/>
      <c r="C22" s="77"/>
      <c r="D22" s="97"/>
      <c r="E22" s="82"/>
      <c r="F22" s="58"/>
      <c r="G22" s="59"/>
      <c r="H22" s="78"/>
      <c r="I22" s="61"/>
      <c r="J22" s="62"/>
      <c r="K22" s="63"/>
      <c r="L22" s="62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4"/>
      <c r="AU22" s="64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5">
        <f t="shared" si="6"/>
        <v>0</v>
      </c>
      <c r="BN22" s="66">
        <f t="shared" si="3"/>
        <v>0</v>
      </c>
    </row>
    <row r="23" spans="1:66">
      <c r="A23" s="45" t="s">
        <v>31</v>
      </c>
      <c r="B23" s="77">
        <f>H23-BM23</f>
        <v>0</v>
      </c>
      <c r="C23" s="77" t="s">
        <v>20</v>
      </c>
      <c r="D23" s="97" t="s">
        <v>31</v>
      </c>
      <c r="E23" s="82" t="s">
        <v>131</v>
      </c>
      <c r="F23" s="58">
        <v>388237120</v>
      </c>
      <c r="G23" s="59">
        <f>F23*1.11</f>
        <v>430943203.20000005</v>
      </c>
      <c r="H23" s="78">
        <f>100*G23/$G$166</f>
        <v>1.2523778064516129</v>
      </c>
      <c r="I23" s="61">
        <f>AE10-V10</f>
        <v>9</v>
      </c>
      <c r="J23" s="62"/>
      <c r="K23" s="63"/>
      <c r="L23" s="62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80">
        <f>$H$23/$I$23*W24</f>
        <v>6.9576544802867389E-3</v>
      </c>
      <c r="X23" s="80">
        <f t="shared" ref="X23:AE23" si="10">$H$23/$I$23*X24</f>
        <v>6.9576544802867389E-3</v>
      </c>
      <c r="Y23" s="80">
        <f t="shared" si="10"/>
        <v>6.9576544802867389E-3</v>
      </c>
      <c r="Z23" s="80">
        <f t="shared" si="10"/>
        <v>6.9576544802867389E-3</v>
      </c>
      <c r="AA23" s="80">
        <f t="shared" si="10"/>
        <v>0</v>
      </c>
      <c r="AB23" s="80">
        <f t="shared" si="10"/>
        <v>0.20872963440860215</v>
      </c>
      <c r="AC23" s="80">
        <f t="shared" si="10"/>
        <v>0.32700976057347675</v>
      </c>
      <c r="AD23" s="80">
        <f t="shared" si="10"/>
        <v>0.21568728888888891</v>
      </c>
      <c r="AE23" s="80">
        <f t="shared" si="10"/>
        <v>0.47312050465949823</v>
      </c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4"/>
      <c r="AU23" s="64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5">
        <f t="shared" si="6"/>
        <v>1.2523778064516129</v>
      </c>
      <c r="BN23" s="66">
        <f t="shared" si="3"/>
        <v>0</v>
      </c>
    </row>
    <row r="24" spans="1:66" hidden="1">
      <c r="B24" s="77"/>
      <c r="C24" s="77" t="s">
        <v>21</v>
      </c>
      <c r="D24" s="81"/>
      <c r="E24" s="82"/>
      <c r="F24" s="58"/>
      <c r="G24" s="59"/>
      <c r="H24" s="78"/>
      <c r="I24" s="83">
        <f>SUM(W24:AE24)</f>
        <v>9</v>
      </c>
      <c r="J24" s="62"/>
      <c r="K24" s="63"/>
      <c r="L24" s="62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87">
        <v>0.05</v>
      </c>
      <c r="X24" s="87">
        <v>0.05</v>
      </c>
      <c r="Y24" s="87">
        <v>0.05</v>
      </c>
      <c r="Z24" s="98">
        <v>0.05</v>
      </c>
      <c r="AA24" s="98">
        <v>0</v>
      </c>
      <c r="AB24" s="98">
        <v>1.5</v>
      </c>
      <c r="AC24" s="98">
        <v>2.35</v>
      </c>
      <c r="AD24" s="98">
        <v>1.55</v>
      </c>
      <c r="AE24" s="98">
        <v>3.4</v>
      </c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4"/>
      <c r="AU24" s="100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63"/>
      <c r="BH24" s="63"/>
      <c r="BI24" s="99"/>
      <c r="BJ24" s="99"/>
      <c r="BK24" s="99"/>
      <c r="BL24" s="99"/>
      <c r="BM24" s="65"/>
      <c r="BN24" s="66">
        <f t="shared" si="3"/>
        <v>0</v>
      </c>
    </row>
    <row r="25" spans="1:66" hidden="1">
      <c r="D25" s="81"/>
      <c r="E25" s="82"/>
      <c r="F25" s="58"/>
      <c r="G25" s="59"/>
      <c r="H25" s="78"/>
      <c r="I25" s="61"/>
      <c r="J25" s="62"/>
      <c r="K25" s="63"/>
      <c r="L25" s="62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4"/>
      <c r="AU25" s="64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5"/>
      <c r="BN25" s="66">
        <f t="shared" si="3"/>
        <v>0</v>
      </c>
    </row>
    <row r="26" spans="1:66" s="88" customFormat="1" hidden="1">
      <c r="A26" s="88">
        <v>2.2000000000000002</v>
      </c>
      <c r="D26" s="89">
        <v>2.2000000000000002</v>
      </c>
      <c r="E26" s="57" t="s">
        <v>132</v>
      </c>
      <c r="F26" s="90"/>
      <c r="G26" s="91"/>
      <c r="H26" s="92"/>
      <c r="I26" s="93"/>
      <c r="J26" s="94"/>
      <c r="K26" s="95"/>
      <c r="L26" s="94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63"/>
      <c r="AS26" s="95"/>
      <c r="AT26" s="96"/>
      <c r="AU26" s="96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65"/>
      <c r="BN26" s="66">
        <f t="shared" si="3"/>
        <v>0</v>
      </c>
    </row>
    <row r="27" spans="1:66">
      <c r="A27" s="45" t="s">
        <v>32</v>
      </c>
      <c r="B27" s="77">
        <f>H27-BM27</f>
        <v>0</v>
      </c>
      <c r="C27" s="77" t="s">
        <v>20</v>
      </c>
      <c r="D27" s="97" t="s">
        <v>32</v>
      </c>
      <c r="E27" s="82" t="s">
        <v>133</v>
      </c>
      <c r="F27" s="58">
        <v>934709686.71999896</v>
      </c>
      <c r="G27" s="59">
        <f>F27*1.11</f>
        <v>1037527752.2591989</v>
      </c>
      <c r="H27" s="78">
        <f>100*G27/$G$166</f>
        <v>3.0151925378064477</v>
      </c>
      <c r="I27" s="61">
        <f>AM10-Y10</f>
        <v>14</v>
      </c>
      <c r="J27" s="62"/>
      <c r="K27" s="63"/>
      <c r="L27" s="62"/>
      <c r="M27" s="63"/>
      <c r="N27" s="63"/>
      <c r="O27" s="63"/>
      <c r="P27" s="63"/>
      <c r="Q27" s="63"/>
      <c r="R27" s="95"/>
      <c r="S27" s="95"/>
      <c r="T27" s="95"/>
      <c r="U27" s="95"/>
      <c r="V27" s="95"/>
      <c r="W27" s="63"/>
      <c r="X27" s="63"/>
      <c r="Y27" s="63"/>
      <c r="Z27" s="80">
        <f>$H$27/$I$27*Z28</f>
        <v>2.1537089555760344E-3</v>
      </c>
      <c r="AA27" s="80">
        <f t="shared" ref="AA27:AM27" si="11">$H$27/$I$27*AA28</f>
        <v>0</v>
      </c>
      <c r="AB27" s="80">
        <f t="shared" si="11"/>
        <v>4.9535305978248789E-2</v>
      </c>
      <c r="AC27" s="80">
        <f t="shared" si="11"/>
        <v>2.1537089555760344E-3</v>
      </c>
      <c r="AD27" s="80">
        <f t="shared" si="11"/>
        <v>0.10768544777880171</v>
      </c>
      <c r="AE27" s="80">
        <f t="shared" si="11"/>
        <v>0</v>
      </c>
      <c r="AF27" s="80">
        <f t="shared" si="11"/>
        <v>0.10768544777880171</v>
      </c>
      <c r="AG27" s="80">
        <f t="shared" si="11"/>
        <v>0.21537089555760341</v>
      </c>
      <c r="AH27" s="80">
        <f t="shared" si="11"/>
        <v>0.21537089555760341</v>
      </c>
      <c r="AI27" s="80">
        <f t="shared" si="11"/>
        <v>0.43074179111520683</v>
      </c>
      <c r="AJ27" s="80">
        <f t="shared" si="11"/>
        <v>0.52765869411612842</v>
      </c>
      <c r="AK27" s="80">
        <f t="shared" si="11"/>
        <v>0.32305634333640509</v>
      </c>
      <c r="AL27" s="80">
        <f t="shared" si="11"/>
        <v>0.16152817166820255</v>
      </c>
      <c r="AM27" s="80">
        <f t="shared" si="11"/>
        <v>0.8722521270082938</v>
      </c>
      <c r="AN27" s="63"/>
      <c r="AO27" s="63"/>
      <c r="AP27" s="63"/>
      <c r="AQ27" s="63"/>
      <c r="AR27" s="63"/>
      <c r="AS27" s="63"/>
      <c r="AT27" s="64"/>
      <c r="AU27" s="64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5">
        <f>SUM(J27:BL27)</f>
        <v>3.0151925378064477</v>
      </c>
      <c r="BN27" s="66">
        <f t="shared" si="3"/>
        <v>0</v>
      </c>
    </row>
    <row r="28" spans="1:66" hidden="1">
      <c r="B28" s="77"/>
      <c r="C28" s="77" t="s">
        <v>21</v>
      </c>
      <c r="D28" s="97"/>
      <c r="E28" s="82"/>
      <c r="F28" s="58"/>
      <c r="G28" s="59"/>
      <c r="H28" s="78"/>
      <c r="I28" s="83">
        <f>SUM(W28:AM28)</f>
        <v>14</v>
      </c>
      <c r="J28" s="62"/>
      <c r="K28" s="63"/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87">
        <v>0.01</v>
      </c>
      <c r="AA28" s="87">
        <v>0</v>
      </c>
      <c r="AB28" s="87">
        <v>0.23</v>
      </c>
      <c r="AC28" s="87">
        <v>0.01</v>
      </c>
      <c r="AD28" s="87">
        <v>0.5</v>
      </c>
      <c r="AE28" s="87">
        <v>0</v>
      </c>
      <c r="AF28" s="87">
        <v>0.5</v>
      </c>
      <c r="AG28" s="87">
        <v>1</v>
      </c>
      <c r="AH28" s="87">
        <v>1</v>
      </c>
      <c r="AI28" s="87">
        <v>2</v>
      </c>
      <c r="AJ28" s="87">
        <v>2.4500000000000002</v>
      </c>
      <c r="AK28" s="98">
        <v>1.5</v>
      </c>
      <c r="AL28" s="98">
        <v>0.75</v>
      </c>
      <c r="AM28" s="98">
        <v>4.05</v>
      </c>
      <c r="AN28" s="98"/>
      <c r="AO28" s="63"/>
      <c r="AP28" s="63"/>
      <c r="AQ28" s="63"/>
      <c r="AR28" s="63"/>
      <c r="AS28" s="63"/>
      <c r="AT28" s="64"/>
      <c r="AU28" s="100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63"/>
      <c r="BK28" s="99"/>
      <c r="BL28" s="63"/>
      <c r="BM28" s="65"/>
      <c r="BN28" s="66">
        <f t="shared" si="3"/>
        <v>0</v>
      </c>
    </row>
    <row r="29" spans="1:66">
      <c r="A29" s="45" t="s">
        <v>34</v>
      </c>
      <c r="B29" s="77">
        <f>H29-BM29</f>
        <v>0</v>
      </c>
      <c r="C29" s="77" t="s">
        <v>20</v>
      </c>
      <c r="D29" s="97" t="s">
        <v>34</v>
      </c>
      <c r="E29" s="82" t="s">
        <v>134</v>
      </c>
      <c r="F29" s="58">
        <v>407030356</v>
      </c>
      <c r="G29" s="59">
        <f>F29*1.11</f>
        <v>451803695.16000003</v>
      </c>
      <c r="H29" s="78">
        <f>100*G29/$G$166</f>
        <v>1.3130011483870965</v>
      </c>
      <c r="I29" s="61">
        <f>AR10-AC10</f>
        <v>15</v>
      </c>
      <c r="J29" s="62"/>
      <c r="K29" s="63"/>
      <c r="L29" s="62"/>
      <c r="M29" s="63"/>
      <c r="N29" s="63"/>
      <c r="O29" s="63"/>
      <c r="P29" s="63"/>
      <c r="Q29" s="101"/>
      <c r="R29" s="95"/>
      <c r="S29" s="95"/>
      <c r="T29" s="95"/>
      <c r="U29" s="95"/>
      <c r="V29" s="95"/>
      <c r="W29" s="63"/>
      <c r="X29" s="63"/>
      <c r="Y29" s="63"/>
      <c r="Z29" s="63"/>
      <c r="AA29" s="63"/>
      <c r="AB29" s="63"/>
      <c r="AC29" s="63"/>
      <c r="AD29" s="80">
        <f>$H$29/$I$29*AD30</f>
        <v>4.3766704946236554E-3</v>
      </c>
      <c r="AE29" s="80">
        <f t="shared" ref="AE29:AR29" si="12">$H$29/$I$29*AE30</f>
        <v>4.3766704946236554E-3</v>
      </c>
      <c r="AF29" s="80">
        <f t="shared" si="12"/>
        <v>8.7533409892473109E-3</v>
      </c>
      <c r="AG29" s="80">
        <f t="shared" si="12"/>
        <v>8.7533409892473109E-3</v>
      </c>
      <c r="AH29" s="80">
        <f t="shared" si="12"/>
        <v>2.1883352473118275E-2</v>
      </c>
      <c r="AI29" s="80">
        <f t="shared" si="12"/>
        <v>2.1883352473118275E-2</v>
      </c>
      <c r="AJ29" s="80">
        <f t="shared" si="12"/>
        <v>4.3766704946236551E-2</v>
      </c>
      <c r="AK29" s="80">
        <f t="shared" si="12"/>
        <v>4.3766704946236551E-2</v>
      </c>
      <c r="AL29" s="80">
        <f t="shared" si="12"/>
        <v>0</v>
      </c>
      <c r="AM29" s="80">
        <f t="shared" si="12"/>
        <v>0</v>
      </c>
      <c r="AN29" s="80">
        <f t="shared" si="12"/>
        <v>8.7533409892473102E-2</v>
      </c>
      <c r="AO29" s="80">
        <f t="shared" si="12"/>
        <v>0.17069014929032256</v>
      </c>
      <c r="AP29" s="80">
        <f t="shared" si="12"/>
        <v>0.21883352473118275</v>
      </c>
      <c r="AQ29" s="80">
        <f t="shared" si="12"/>
        <v>0.30636693462365583</v>
      </c>
      <c r="AR29" s="80">
        <f t="shared" si="12"/>
        <v>0.3720169920430107</v>
      </c>
      <c r="AS29" s="63"/>
      <c r="AT29" s="64"/>
      <c r="AU29" s="64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5">
        <f t="shared" si="6"/>
        <v>1.3130011483870965</v>
      </c>
      <c r="BN29" s="66">
        <f t="shared" si="3"/>
        <v>0</v>
      </c>
    </row>
    <row r="30" spans="1:66" hidden="1">
      <c r="B30" s="77"/>
      <c r="C30" s="77" t="s">
        <v>21</v>
      </c>
      <c r="D30" s="97"/>
      <c r="E30" s="82"/>
      <c r="F30" s="58"/>
      <c r="G30" s="59"/>
      <c r="H30" s="78"/>
      <c r="I30" s="83">
        <f>SUM(W30:AR30)</f>
        <v>15</v>
      </c>
      <c r="J30" s="62"/>
      <c r="K30" s="63"/>
      <c r="L30" s="62"/>
      <c r="M30" s="63"/>
      <c r="N30" s="63"/>
      <c r="O30" s="63"/>
      <c r="P30" s="63"/>
      <c r="Q30" s="63"/>
      <c r="R30" s="63"/>
      <c r="S30" s="63"/>
      <c r="T30" s="63"/>
      <c r="U30" s="102"/>
      <c r="V30" s="63"/>
      <c r="W30" s="63"/>
      <c r="X30" s="63"/>
      <c r="Y30" s="63"/>
      <c r="Z30" s="63"/>
      <c r="AA30" s="63"/>
      <c r="AB30" s="99"/>
      <c r="AC30" s="99"/>
      <c r="AD30" s="87">
        <v>0.05</v>
      </c>
      <c r="AE30" s="87">
        <v>0.05</v>
      </c>
      <c r="AF30" s="87">
        <v>0.1</v>
      </c>
      <c r="AG30" s="87">
        <v>0.1</v>
      </c>
      <c r="AH30" s="87">
        <v>0.25</v>
      </c>
      <c r="AI30" s="87">
        <v>0.25</v>
      </c>
      <c r="AJ30" s="87">
        <v>0.5</v>
      </c>
      <c r="AK30" s="87">
        <v>0.5</v>
      </c>
      <c r="AL30" s="87">
        <v>0</v>
      </c>
      <c r="AM30" s="87">
        <v>0</v>
      </c>
      <c r="AN30" s="87">
        <v>1</v>
      </c>
      <c r="AO30" s="87">
        <v>1.95</v>
      </c>
      <c r="AP30" s="98">
        <v>2.5</v>
      </c>
      <c r="AQ30" s="98">
        <v>3.5</v>
      </c>
      <c r="AR30" s="98">
        <v>4.25</v>
      </c>
      <c r="AS30" s="63"/>
      <c r="AT30" s="64"/>
      <c r="AU30" s="64"/>
      <c r="AV30" s="63"/>
      <c r="AW30" s="99"/>
      <c r="AX30" s="99"/>
      <c r="AY30" s="99"/>
      <c r="AZ30" s="99"/>
      <c r="BA30" s="99"/>
      <c r="BB30" s="63"/>
      <c r="BC30" s="99"/>
      <c r="BD30" s="99"/>
      <c r="BE30" s="63"/>
      <c r="BF30" s="63"/>
      <c r="BG30" s="99"/>
      <c r="BH30" s="99"/>
      <c r="BI30" s="99"/>
      <c r="BJ30" s="99"/>
      <c r="BK30" s="99"/>
      <c r="BL30" s="63"/>
      <c r="BM30" s="65"/>
      <c r="BN30" s="66">
        <f t="shared" si="3"/>
        <v>0</v>
      </c>
    </row>
    <row r="31" spans="1:66">
      <c r="A31" s="45" t="s">
        <v>36</v>
      </c>
      <c r="B31" s="77">
        <f>H31-BM31</f>
        <v>0</v>
      </c>
      <c r="C31" s="77" t="s">
        <v>20</v>
      </c>
      <c r="D31" s="97" t="s">
        <v>36</v>
      </c>
      <c r="E31" s="82" t="s">
        <v>135</v>
      </c>
      <c r="F31" s="58">
        <v>291526598</v>
      </c>
      <c r="G31" s="59">
        <f>F31*1.11</f>
        <v>323594523.78000003</v>
      </c>
      <c r="H31" s="78">
        <f>100*G31/$G$166</f>
        <v>0.94040838064516119</v>
      </c>
      <c r="I31" s="61">
        <f>AJ10-AD10</f>
        <v>6</v>
      </c>
      <c r="J31" s="62"/>
      <c r="K31" s="63"/>
      <c r="L31" s="62"/>
      <c r="M31" s="63"/>
      <c r="N31" s="63"/>
      <c r="O31" s="63"/>
      <c r="P31" s="63"/>
      <c r="Q31" s="63"/>
      <c r="R31" s="95"/>
      <c r="S31" s="95"/>
      <c r="T31" s="95"/>
      <c r="U31" s="95"/>
      <c r="V31" s="95"/>
      <c r="W31" s="63"/>
      <c r="X31" s="63"/>
      <c r="Y31" s="63"/>
      <c r="Z31" s="63"/>
      <c r="AA31" s="63"/>
      <c r="AB31" s="63"/>
      <c r="AC31" s="63"/>
      <c r="AD31" s="63"/>
      <c r="AE31" s="80">
        <f>$H$31/$I$31*AE32</f>
        <v>7.8367365053763436E-3</v>
      </c>
      <c r="AF31" s="80">
        <f t="shared" ref="AF31:AJ31" si="13">$H$31/$I$31*AF32</f>
        <v>7.8367365053763436E-3</v>
      </c>
      <c r="AG31" s="80">
        <f t="shared" si="13"/>
        <v>2.3510209516129029E-2</v>
      </c>
      <c r="AH31" s="80">
        <f t="shared" si="13"/>
        <v>0.18024493962365587</v>
      </c>
      <c r="AI31" s="80">
        <f t="shared" si="13"/>
        <v>0.56424502838709678</v>
      </c>
      <c r="AJ31" s="80">
        <f t="shared" si="13"/>
        <v>0.15673473010752687</v>
      </c>
      <c r="AK31" s="63"/>
      <c r="AL31" s="63"/>
      <c r="AM31" s="63"/>
      <c r="AN31" s="63"/>
      <c r="AO31" s="103"/>
      <c r="AP31" s="103"/>
      <c r="AQ31" s="103"/>
      <c r="AR31" s="63"/>
      <c r="AS31" s="63"/>
      <c r="AT31" s="64"/>
      <c r="AU31" s="64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5">
        <f t="shared" si="6"/>
        <v>0.9404083806451613</v>
      </c>
      <c r="BN31" s="66">
        <f t="shared" si="3"/>
        <v>0</v>
      </c>
    </row>
    <row r="32" spans="1:66" hidden="1">
      <c r="B32" s="77"/>
      <c r="C32" s="77" t="s">
        <v>21</v>
      </c>
      <c r="D32" s="97"/>
      <c r="E32" s="82"/>
      <c r="F32" s="58"/>
      <c r="G32" s="59"/>
      <c r="H32" s="78"/>
      <c r="I32" s="83">
        <f>SUM(W32:AR32)</f>
        <v>6</v>
      </c>
      <c r="J32" s="62"/>
      <c r="K32" s="63"/>
      <c r="L32" s="62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99"/>
      <c r="AD32" s="99"/>
      <c r="AE32" s="87">
        <v>0.05</v>
      </c>
      <c r="AF32" s="87">
        <v>0.05</v>
      </c>
      <c r="AG32" s="87">
        <v>0.15</v>
      </c>
      <c r="AH32" s="87">
        <v>1.1499999999999999</v>
      </c>
      <c r="AI32" s="87">
        <v>3.6</v>
      </c>
      <c r="AJ32" s="87">
        <v>1</v>
      </c>
      <c r="AK32" s="87"/>
      <c r="AL32" s="63"/>
      <c r="AM32" s="63"/>
      <c r="AN32" s="63"/>
      <c r="AO32" s="63"/>
      <c r="AP32" s="63"/>
      <c r="AQ32" s="63"/>
      <c r="AR32" s="63"/>
      <c r="AS32" s="63"/>
      <c r="AT32" s="64"/>
      <c r="AU32" s="64"/>
      <c r="AV32" s="63"/>
      <c r="AW32" s="63"/>
      <c r="AX32" s="99"/>
      <c r="AY32" s="99"/>
      <c r="AZ32" s="99"/>
      <c r="BA32" s="63"/>
      <c r="BB32" s="63"/>
      <c r="BC32" s="99"/>
      <c r="BD32" s="99"/>
      <c r="BE32" s="63"/>
      <c r="BF32" s="99"/>
      <c r="BG32" s="99"/>
      <c r="BH32" s="99"/>
      <c r="BI32" s="99"/>
      <c r="BJ32" s="99"/>
      <c r="BK32" s="99"/>
      <c r="BL32" s="63"/>
      <c r="BM32" s="65"/>
      <c r="BN32" s="66">
        <f t="shared" si="3"/>
        <v>0</v>
      </c>
    </row>
    <row r="33" spans="1:66">
      <c r="A33" s="45" t="s">
        <v>37</v>
      </c>
      <c r="B33" s="77">
        <f>H33-BM33</f>
        <v>0</v>
      </c>
      <c r="C33" s="77" t="s">
        <v>20</v>
      </c>
      <c r="D33" s="97" t="s">
        <v>37</v>
      </c>
      <c r="E33" s="82" t="s">
        <v>136</v>
      </c>
      <c r="F33" s="58">
        <v>28830000</v>
      </c>
      <c r="G33" s="59">
        <f>F33*1.11</f>
        <v>32001300.000000004</v>
      </c>
      <c r="H33" s="78">
        <f>100*G33/$G$166</f>
        <v>9.2999999999999999E-2</v>
      </c>
      <c r="I33" s="61">
        <f>AS10-AE10</f>
        <v>14</v>
      </c>
      <c r="J33" s="62"/>
      <c r="K33" s="63"/>
      <c r="L33" s="62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103"/>
      <c r="Y33" s="103"/>
      <c r="Z33" s="103"/>
      <c r="AA33" s="103"/>
      <c r="AB33" s="103"/>
      <c r="AC33" s="103"/>
      <c r="AD33" s="103"/>
      <c r="AE33" s="103"/>
      <c r="AF33" s="80">
        <f>$H$33/$I$33*AF34</f>
        <v>3.3214285714285719E-4</v>
      </c>
      <c r="AG33" s="80">
        <f t="shared" ref="AG33:AS33" si="14">$H$33/$I$33*AG34</f>
        <v>3.3214285714285719E-4</v>
      </c>
      <c r="AH33" s="80">
        <f t="shared" si="14"/>
        <v>6.6428571428571437E-4</v>
      </c>
      <c r="AI33" s="80">
        <f t="shared" si="14"/>
        <v>6.6428571428571437E-4</v>
      </c>
      <c r="AJ33" s="80">
        <f t="shared" si="14"/>
        <v>1.6607142857142858E-3</v>
      </c>
      <c r="AK33" s="80">
        <f t="shared" si="14"/>
        <v>1.6607142857142858E-3</v>
      </c>
      <c r="AL33" s="80">
        <f t="shared" si="14"/>
        <v>0</v>
      </c>
      <c r="AM33" s="80">
        <f t="shared" si="14"/>
        <v>0</v>
      </c>
      <c r="AN33" s="80">
        <f t="shared" si="14"/>
        <v>5.6464285714285713E-3</v>
      </c>
      <c r="AO33" s="80">
        <f t="shared" si="14"/>
        <v>7.971428571428572E-3</v>
      </c>
      <c r="AP33" s="80">
        <f t="shared" si="14"/>
        <v>1.0960714285714285E-2</v>
      </c>
      <c r="AQ33" s="80">
        <f t="shared" si="14"/>
        <v>1.4614285714285715E-2</v>
      </c>
      <c r="AR33" s="80">
        <f t="shared" si="14"/>
        <v>2.125714285714286E-2</v>
      </c>
      <c r="AS33" s="80">
        <f t="shared" si="14"/>
        <v>2.7235714285714283E-2</v>
      </c>
      <c r="AT33" s="64"/>
      <c r="AU33" s="64"/>
      <c r="AV33" s="63"/>
      <c r="AW33" s="63"/>
      <c r="AX33" s="63"/>
      <c r="AY33" s="63"/>
      <c r="AZ33" s="99"/>
      <c r="BA33" s="63"/>
      <c r="BB33" s="63"/>
      <c r="BC33" s="99"/>
      <c r="BD33" s="99"/>
      <c r="BE33" s="63"/>
      <c r="BF33" s="99"/>
      <c r="BG33" s="99"/>
      <c r="BH33" s="99"/>
      <c r="BI33" s="99"/>
      <c r="BJ33" s="99"/>
      <c r="BK33" s="99"/>
      <c r="BL33" s="63"/>
      <c r="BM33" s="65">
        <f t="shared" si="6"/>
        <v>9.2999999999999999E-2</v>
      </c>
      <c r="BN33" s="66">
        <f t="shared" si="3"/>
        <v>0</v>
      </c>
    </row>
    <row r="34" spans="1:66" hidden="1">
      <c r="B34" s="77"/>
      <c r="C34" s="77" t="s">
        <v>21</v>
      </c>
      <c r="D34" s="81"/>
      <c r="E34" s="82"/>
      <c r="F34" s="58"/>
      <c r="G34" s="59"/>
      <c r="H34" s="78"/>
      <c r="I34" s="83">
        <f>SUM(W34:AS34)</f>
        <v>14</v>
      </c>
      <c r="J34" s="62"/>
      <c r="K34" s="63"/>
      <c r="L34" s="62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87">
        <v>0.05</v>
      </c>
      <c r="AG34" s="87">
        <v>0.05</v>
      </c>
      <c r="AH34" s="87">
        <v>0.1</v>
      </c>
      <c r="AI34" s="87">
        <v>0.1</v>
      </c>
      <c r="AJ34" s="87">
        <v>0.25</v>
      </c>
      <c r="AK34" s="87">
        <v>0.25</v>
      </c>
      <c r="AL34" s="87">
        <v>0</v>
      </c>
      <c r="AM34" s="87">
        <v>0</v>
      </c>
      <c r="AN34" s="87">
        <v>0.85</v>
      </c>
      <c r="AO34" s="87">
        <v>1.2</v>
      </c>
      <c r="AP34" s="87">
        <v>1.65</v>
      </c>
      <c r="AQ34" s="98">
        <v>2.2000000000000002</v>
      </c>
      <c r="AR34" s="98">
        <v>3.2</v>
      </c>
      <c r="AS34" s="98">
        <v>4.0999999999999996</v>
      </c>
      <c r="AT34" s="64"/>
      <c r="AU34" s="64"/>
      <c r="AV34" s="63"/>
      <c r="AW34" s="63"/>
      <c r="AX34" s="63"/>
      <c r="AY34" s="63"/>
      <c r="AZ34" s="63"/>
      <c r="BA34" s="63"/>
      <c r="BB34" s="63"/>
      <c r="BC34" s="99"/>
      <c r="BD34" s="99"/>
      <c r="BE34" s="63"/>
      <c r="BF34" s="99"/>
      <c r="BG34" s="99"/>
      <c r="BH34" s="99"/>
      <c r="BI34" s="99"/>
      <c r="BJ34" s="99"/>
      <c r="BK34" s="99"/>
      <c r="BL34" s="63"/>
      <c r="BM34" s="65"/>
      <c r="BN34" s="66">
        <f t="shared" si="3"/>
        <v>0</v>
      </c>
    </row>
    <row r="35" spans="1:66" s="104" customFormat="1">
      <c r="A35" s="104" t="s">
        <v>39</v>
      </c>
      <c r="B35" s="105" t="e">
        <f>#REF!-#REF!</f>
        <v>#REF!</v>
      </c>
      <c r="C35" s="105" t="s">
        <v>20</v>
      </c>
      <c r="D35" s="106" t="s">
        <v>137</v>
      </c>
      <c r="E35" s="107" t="s">
        <v>138</v>
      </c>
      <c r="F35" s="108">
        <v>53271277.600000001</v>
      </c>
      <c r="G35" s="59">
        <f>F35*1.11</f>
        <v>59131118.136000007</v>
      </c>
      <c r="H35" s="109">
        <f>100*G35/$G$166</f>
        <v>0.17184283096774192</v>
      </c>
      <c r="I35" s="110">
        <f>AV10-AH10+1-2</f>
        <v>13</v>
      </c>
      <c r="J35" s="111"/>
      <c r="K35" s="103"/>
      <c r="L35" s="111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80">
        <f>$H$35/$I$35*AI36</f>
        <v>6.6093396526054581E-4</v>
      </c>
      <c r="AJ35" s="80">
        <f t="shared" ref="AJ35:AS35" si="15">$H$35/$I$35*AJ36</f>
        <v>1.3218679305210916E-3</v>
      </c>
      <c r="AK35" s="80">
        <f t="shared" si="15"/>
        <v>1.9828018957816374E-3</v>
      </c>
      <c r="AL35" s="80">
        <f t="shared" si="15"/>
        <v>0</v>
      </c>
      <c r="AM35" s="80">
        <f t="shared" si="15"/>
        <v>0</v>
      </c>
      <c r="AN35" s="80">
        <f t="shared" si="15"/>
        <v>1.1235877409429279E-2</v>
      </c>
      <c r="AO35" s="80">
        <f t="shared" si="15"/>
        <v>1.255774533995037E-2</v>
      </c>
      <c r="AP35" s="80">
        <f t="shared" si="15"/>
        <v>1.5862415166253099E-2</v>
      </c>
      <c r="AQ35" s="80">
        <f t="shared" si="15"/>
        <v>1.5862415166253099E-2</v>
      </c>
      <c r="AR35" s="80">
        <f t="shared" si="15"/>
        <v>2.6437358610421832E-2</v>
      </c>
      <c r="AS35" s="80">
        <f t="shared" si="15"/>
        <v>3.3046698263027294E-2</v>
      </c>
      <c r="AT35" s="112"/>
      <c r="AU35" s="112"/>
      <c r="AV35" s="80">
        <f t="shared" ref="AV35" si="16">$H$35/$I$35*AV36</f>
        <v>5.2874717220843664E-2</v>
      </c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65">
        <f t="shared" si="6"/>
        <v>0.17184283096774192</v>
      </c>
      <c r="BN35" s="66">
        <f t="shared" si="3"/>
        <v>0</v>
      </c>
    </row>
    <row r="36" spans="1:66" hidden="1">
      <c r="B36" s="77"/>
      <c r="C36" s="77" t="s">
        <v>21</v>
      </c>
      <c r="D36" s="97"/>
      <c r="E36" s="82"/>
      <c r="F36" s="58"/>
      <c r="G36" s="59"/>
      <c r="H36" s="78"/>
      <c r="I36" s="83">
        <f>SUM(W36:AV36)</f>
        <v>13</v>
      </c>
      <c r="J36" s="62"/>
      <c r="K36" s="63"/>
      <c r="L36" s="62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87">
        <v>0.05</v>
      </c>
      <c r="AJ36" s="87">
        <v>0.1</v>
      </c>
      <c r="AK36" s="87">
        <v>0.15</v>
      </c>
      <c r="AL36" s="98">
        <v>0</v>
      </c>
      <c r="AM36" s="98">
        <v>0</v>
      </c>
      <c r="AN36" s="98">
        <v>0.85</v>
      </c>
      <c r="AO36" s="98">
        <v>0.95</v>
      </c>
      <c r="AP36" s="98">
        <v>1.2</v>
      </c>
      <c r="AQ36" s="98">
        <v>1.2</v>
      </c>
      <c r="AR36" s="98">
        <v>2</v>
      </c>
      <c r="AS36" s="98">
        <v>2.5</v>
      </c>
      <c r="AT36" s="64"/>
      <c r="AU36" s="64"/>
      <c r="AV36" s="98">
        <v>4</v>
      </c>
      <c r="AW36" s="63"/>
      <c r="AX36" s="63"/>
      <c r="AY36" s="63"/>
      <c r="AZ36" s="63"/>
      <c r="BA36" s="63"/>
      <c r="BB36" s="63"/>
      <c r="BC36" s="99"/>
      <c r="BD36" s="99"/>
      <c r="BE36" s="63"/>
      <c r="BF36" s="99"/>
      <c r="BG36" s="99"/>
      <c r="BH36" s="99"/>
      <c r="BI36" s="99"/>
      <c r="BJ36" s="99"/>
      <c r="BK36" s="99"/>
      <c r="BL36" s="63"/>
      <c r="BM36" s="65"/>
      <c r="BN36" s="66">
        <f t="shared" si="3"/>
        <v>0</v>
      </c>
    </row>
    <row r="37" spans="1:66">
      <c r="A37" s="45" t="s">
        <v>41</v>
      </c>
      <c r="B37" s="77">
        <f>H37-BM37</f>
        <v>0</v>
      </c>
      <c r="C37" s="77" t="s">
        <v>20</v>
      </c>
      <c r="D37" s="97" t="s">
        <v>139</v>
      </c>
      <c r="E37" s="82" t="s">
        <v>140</v>
      </c>
      <c r="F37" s="58">
        <v>16832000</v>
      </c>
      <c r="G37" s="59">
        <f>F37*1.11</f>
        <v>18683520</v>
      </c>
      <c r="H37" s="78">
        <f>100*G37/$G$166</f>
        <v>5.4296774193548378E-2</v>
      </c>
      <c r="I37" s="110">
        <f>AV10-AH10+1-2</f>
        <v>13</v>
      </c>
      <c r="J37" s="111"/>
      <c r="K37" s="103"/>
      <c r="L37" s="111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80">
        <f>$H$37/$I$37*AI38</f>
        <v>2.0883374689826303E-4</v>
      </c>
      <c r="AJ37" s="80">
        <f t="shared" ref="AJ37:AS37" si="17">$H$37/$I$37*AJ38</f>
        <v>4.1766749379652606E-4</v>
      </c>
      <c r="AK37" s="80">
        <f t="shared" si="17"/>
        <v>6.2650124069478898E-4</v>
      </c>
      <c r="AL37" s="80">
        <f t="shared" si="17"/>
        <v>0</v>
      </c>
      <c r="AM37" s="80">
        <f t="shared" si="17"/>
        <v>2.5060049627791559E-3</v>
      </c>
      <c r="AN37" s="80">
        <f t="shared" si="17"/>
        <v>3.5501736972704712E-3</v>
      </c>
      <c r="AO37" s="80">
        <f t="shared" si="17"/>
        <v>3.1325062034739453E-3</v>
      </c>
      <c r="AP37" s="80">
        <f t="shared" si="17"/>
        <v>4.1766749379652602E-3</v>
      </c>
      <c r="AQ37" s="80">
        <f t="shared" si="17"/>
        <v>4.1766749379652602E-3</v>
      </c>
      <c r="AR37" s="80">
        <f t="shared" si="17"/>
        <v>8.3533498759305203E-3</v>
      </c>
      <c r="AS37" s="80">
        <f t="shared" si="17"/>
        <v>1.044168734491315E-2</v>
      </c>
      <c r="AT37" s="112"/>
      <c r="AU37" s="112"/>
      <c r="AV37" s="80">
        <f t="shared" ref="AV37" si="18">$H$37/$I$37*AV38</f>
        <v>1.6706699751861041E-2</v>
      </c>
      <c r="AW37" s="63"/>
      <c r="AX37" s="63"/>
      <c r="AY37" s="63"/>
      <c r="AZ37" s="63"/>
      <c r="BA37" s="63"/>
      <c r="BB37" s="63"/>
      <c r="BC37" s="99"/>
      <c r="BD37" s="99"/>
      <c r="BE37" s="63"/>
      <c r="BF37" s="99"/>
      <c r="BG37" s="103"/>
      <c r="BH37" s="103"/>
      <c r="BI37" s="103"/>
      <c r="BJ37" s="103"/>
      <c r="BK37" s="103"/>
      <c r="BL37" s="103"/>
      <c r="BM37" s="65">
        <f t="shared" si="6"/>
        <v>5.4296774193548378E-2</v>
      </c>
      <c r="BN37" s="66">
        <f t="shared" si="3"/>
        <v>0</v>
      </c>
    </row>
    <row r="38" spans="1:66" hidden="1">
      <c r="B38" s="77"/>
      <c r="C38" s="77" t="s">
        <v>21</v>
      </c>
      <c r="D38" s="81"/>
      <c r="E38" s="82"/>
      <c r="F38" s="58"/>
      <c r="G38" s="59"/>
      <c r="H38" s="78"/>
      <c r="I38" s="83">
        <f>SUM(W38:AV38)</f>
        <v>13</v>
      </c>
      <c r="J38" s="62"/>
      <c r="K38" s="63"/>
      <c r="L38" s="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87">
        <v>0.05</v>
      </c>
      <c r="AJ38" s="87">
        <v>0.1</v>
      </c>
      <c r="AK38" s="87">
        <v>0.15</v>
      </c>
      <c r="AL38" s="98">
        <v>0</v>
      </c>
      <c r="AM38" s="98">
        <v>0.6</v>
      </c>
      <c r="AN38" s="98">
        <v>0.85</v>
      </c>
      <c r="AO38" s="98">
        <v>0.75</v>
      </c>
      <c r="AP38" s="98">
        <v>1</v>
      </c>
      <c r="AQ38" s="98">
        <v>1</v>
      </c>
      <c r="AR38" s="98">
        <v>2</v>
      </c>
      <c r="AS38" s="98">
        <v>2.5</v>
      </c>
      <c r="AT38" s="64"/>
      <c r="AU38" s="64"/>
      <c r="AV38" s="98">
        <v>4</v>
      </c>
      <c r="AW38" s="63"/>
      <c r="AX38" s="63"/>
      <c r="AY38" s="63"/>
      <c r="AZ38" s="63"/>
      <c r="BA38" s="63"/>
      <c r="BB38" s="63"/>
      <c r="BC38" s="99"/>
      <c r="BD38" s="99"/>
      <c r="BE38" s="63"/>
      <c r="BF38" s="99"/>
      <c r="BG38" s="99"/>
      <c r="BH38" s="99"/>
      <c r="BI38" s="99"/>
      <c r="BJ38" s="99"/>
      <c r="BK38" s="99"/>
      <c r="BL38" s="63"/>
      <c r="BM38" s="65"/>
      <c r="BN38" s="66">
        <f t="shared" si="3"/>
        <v>0</v>
      </c>
    </row>
    <row r="39" spans="1:66" s="88" customFormat="1" hidden="1">
      <c r="A39" s="88">
        <v>2.4</v>
      </c>
      <c r="B39" s="113"/>
      <c r="C39" s="113"/>
      <c r="D39" s="89">
        <v>2.2999999999999998</v>
      </c>
      <c r="E39" s="57" t="s">
        <v>141</v>
      </c>
      <c r="F39" s="90"/>
      <c r="G39" s="91"/>
      <c r="H39" s="92"/>
      <c r="I39" s="93"/>
      <c r="J39" s="94"/>
      <c r="K39" s="95"/>
      <c r="L39" s="94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6"/>
      <c r="AU39" s="96"/>
      <c r="AV39" s="95"/>
      <c r="AW39" s="95"/>
      <c r="AX39" s="95"/>
      <c r="AY39" s="95"/>
      <c r="AZ39" s="95"/>
      <c r="BA39" s="95"/>
      <c r="BB39" s="95"/>
      <c r="BC39" s="95"/>
      <c r="BD39" s="114"/>
      <c r="BE39" s="95"/>
      <c r="BF39" s="114"/>
      <c r="BG39" s="114"/>
      <c r="BH39" s="114"/>
      <c r="BI39" s="114"/>
      <c r="BJ39" s="114"/>
      <c r="BK39" s="114"/>
      <c r="BL39" s="95"/>
      <c r="BM39" s="65"/>
      <c r="BN39" s="66">
        <f t="shared" si="3"/>
        <v>0</v>
      </c>
    </row>
    <row r="40" spans="1:66" s="104" customFormat="1">
      <c r="A40" s="104" t="s">
        <v>43</v>
      </c>
      <c r="B40" s="105">
        <f>H39-BM39</f>
        <v>0</v>
      </c>
      <c r="C40" s="105" t="s">
        <v>20</v>
      </c>
      <c r="D40" s="106" t="s">
        <v>39</v>
      </c>
      <c r="E40" s="107" t="s">
        <v>93</v>
      </c>
      <c r="F40" s="108">
        <v>437181382</v>
      </c>
      <c r="G40" s="59">
        <f>F40*1.11</f>
        <v>485271334.02000004</v>
      </c>
      <c r="H40" s="109">
        <f>100*G40/$G$166</f>
        <v>1.4102625225806451</v>
      </c>
      <c r="I40" s="110">
        <f>AM10-Y10</f>
        <v>14</v>
      </c>
      <c r="J40" s="111"/>
      <c r="K40" s="103"/>
      <c r="L40" s="111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80">
        <f>$H$40/$I$40*Z41</f>
        <v>1.0073303732718894E-3</v>
      </c>
      <c r="AA40" s="80">
        <f t="shared" ref="AA40:AM40" si="19">$H$40/$I$40*AA41</f>
        <v>0</v>
      </c>
      <c r="AB40" s="80">
        <f t="shared" si="19"/>
        <v>1.813194671889401E-2</v>
      </c>
      <c r="AC40" s="80">
        <f t="shared" si="19"/>
        <v>1.0073303732718895E-2</v>
      </c>
      <c r="AD40" s="80">
        <f t="shared" si="19"/>
        <v>3.5256563064516126E-2</v>
      </c>
      <c r="AE40" s="80">
        <f t="shared" si="19"/>
        <v>5.0366518663594474E-3</v>
      </c>
      <c r="AF40" s="80">
        <f t="shared" si="19"/>
        <v>5.1373849036866363E-2</v>
      </c>
      <c r="AG40" s="80">
        <f t="shared" si="19"/>
        <v>0.10073303732718894</v>
      </c>
      <c r="AH40" s="80">
        <f t="shared" si="19"/>
        <v>0.20146607465437788</v>
      </c>
      <c r="AI40" s="80">
        <f t="shared" si="19"/>
        <v>5.036651866359447E-2</v>
      </c>
      <c r="AJ40" s="80">
        <f t="shared" si="19"/>
        <v>0.14606290412442396</v>
      </c>
      <c r="AK40" s="80">
        <f t="shared" si="19"/>
        <v>0.30219911198156679</v>
      </c>
      <c r="AL40" s="80">
        <f t="shared" si="19"/>
        <v>0</v>
      </c>
      <c r="AM40" s="80">
        <f t="shared" si="19"/>
        <v>0.48855523103686632</v>
      </c>
      <c r="AN40" s="103"/>
      <c r="AO40" s="103"/>
      <c r="AP40" s="103"/>
      <c r="AQ40" s="103"/>
      <c r="AR40" s="103"/>
      <c r="AS40" s="103"/>
      <c r="AT40" s="112"/>
      <c r="AU40" s="112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65">
        <f t="shared" si="6"/>
        <v>1.4102625225806451</v>
      </c>
      <c r="BN40" s="66">
        <f t="shared" si="3"/>
        <v>0</v>
      </c>
    </row>
    <row r="41" spans="1:66" hidden="1">
      <c r="B41" s="77"/>
      <c r="C41" s="77" t="s">
        <v>21</v>
      </c>
      <c r="D41" s="97"/>
      <c r="E41" s="82"/>
      <c r="F41" s="58"/>
      <c r="G41" s="59"/>
      <c r="H41" s="78"/>
      <c r="I41" s="83">
        <f>SUM(W41:AV41)</f>
        <v>14</v>
      </c>
      <c r="J41" s="62"/>
      <c r="K41" s="63"/>
      <c r="L41" s="6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87">
        <v>0.01</v>
      </c>
      <c r="AA41" s="87">
        <v>0</v>
      </c>
      <c r="AB41" s="87">
        <v>0.18</v>
      </c>
      <c r="AC41" s="87">
        <v>0.1</v>
      </c>
      <c r="AD41" s="87">
        <v>0.35</v>
      </c>
      <c r="AE41" s="87">
        <v>0.05</v>
      </c>
      <c r="AF41" s="87">
        <v>0.51</v>
      </c>
      <c r="AG41" s="87">
        <v>1</v>
      </c>
      <c r="AH41" s="87">
        <v>2</v>
      </c>
      <c r="AI41" s="87">
        <v>0.5</v>
      </c>
      <c r="AJ41" s="87">
        <v>1.45</v>
      </c>
      <c r="AK41" s="98">
        <v>3</v>
      </c>
      <c r="AL41" s="98">
        <v>0</v>
      </c>
      <c r="AM41" s="98">
        <v>4.8499999999999996</v>
      </c>
      <c r="AN41" s="63"/>
      <c r="AO41" s="63"/>
      <c r="AP41" s="63"/>
      <c r="AQ41" s="63"/>
      <c r="AR41" s="63"/>
      <c r="AS41" s="63"/>
      <c r="AT41" s="64"/>
      <c r="AU41" s="64"/>
      <c r="AV41" s="63"/>
      <c r="AW41" s="63"/>
      <c r="AX41" s="63"/>
      <c r="AY41" s="63"/>
      <c r="AZ41" s="63"/>
      <c r="BA41" s="63"/>
      <c r="BB41" s="63"/>
      <c r="BC41" s="63"/>
      <c r="BD41" s="99"/>
      <c r="BE41" s="63"/>
      <c r="BF41" s="99"/>
      <c r="BG41" s="99"/>
      <c r="BH41" s="99"/>
      <c r="BI41" s="99"/>
      <c r="BJ41" s="99"/>
      <c r="BK41" s="99"/>
      <c r="BL41" s="63"/>
      <c r="BM41" s="65"/>
      <c r="BN41" s="66">
        <f t="shared" si="3"/>
        <v>0</v>
      </c>
    </row>
    <row r="42" spans="1:66">
      <c r="A42" s="45" t="s">
        <v>45</v>
      </c>
      <c r="B42" s="77">
        <f>H40-BM40</f>
        <v>0</v>
      </c>
      <c r="C42" s="77" t="s">
        <v>20</v>
      </c>
      <c r="D42" s="97" t="s">
        <v>41</v>
      </c>
      <c r="E42" s="82" t="s">
        <v>142</v>
      </c>
      <c r="F42" s="58">
        <v>159881400</v>
      </c>
      <c r="G42" s="59">
        <f>F42*1.11</f>
        <v>177468354.00000003</v>
      </c>
      <c r="H42" s="78">
        <f>100*G42/$G$166</f>
        <v>0.51574645161290322</v>
      </c>
      <c r="I42" s="110">
        <f>AO10-AB10</f>
        <v>13</v>
      </c>
      <c r="J42" s="62"/>
      <c r="K42" s="63"/>
      <c r="L42" s="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80">
        <f>$H$42/$I$42*AC43</f>
        <v>1.9836401985111663E-3</v>
      </c>
      <c r="AD42" s="80">
        <f t="shared" ref="AD42:AO42" si="20">$H$42/$I$42*AD43</f>
        <v>3.9672803970223327E-3</v>
      </c>
      <c r="AE42" s="80">
        <f t="shared" si="20"/>
        <v>1.9836401985111663E-3</v>
      </c>
      <c r="AF42" s="80">
        <f t="shared" si="20"/>
        <v>3.9672803970223327E-3</v>
      </c>
      <c r="AG42" s="80">
        <f t="shared" si="20"/>
        <v>1.9836401985111662E-2</v>
      </c>
      <c r="AH42" s="80">
        <f t="shared" si="20"/>
        <v>1.9836401985111662E-2</v>
      </c>
      <c r="AI42" s="80">
        <f t="shared" si="20"/>
        <v>0</v>
      </c>
      <c r="AJ42" s="80">
        <f t="shared" si="20"/>
        <v>1.9836401985111662E-2</v>
      </c>
      <c r="AK42" s="80">
        <f t="shared" si="20"/>
        <v>3.9672803970223325E-2</v>
      </c>
      <c r="AL42" s="80">
        <f t="shared" si="20"/>
        <v>0</v>
      </c>
      <c r="AM42" s="80">
        <f t="shared" si="20"/>
        <v>0</v>
      </c>
      <c r="AN42" s="80">
        <f t="shared" si="20"/>
        <v>3.7689163771712157E-2</v>
      </c>
      <c r="AO42" s="80">
        <f t="shared" si="20"/>
        <v>0.36697343672456573</v>
      </c>
      <c r="AP42" s="63"/>
      <c r="AQ42" s="63"/>
      <c r="AR42" s="63"/>
      <c r="AS42" s="63"/>
      <c r="AT42" s="64"/>
      <c r="AU42" s="64"/>
      <c r="AV42" s="63"/>
      <c r="AW42" s="63"/>
      <c r="AX42" s="63"/>
      <c r="AY42" s="63"/>
      <c r="AZ42" s="63"/>
      <c r="BA42" s="63"/>
      <c r="BB42" s="63"/>
      <c r="BC42" s="63"/>
      <c r="BD42" s="63"/>
      <c r="BE42" s="103"/>
      <c r="BF42" s="103"/>
      <c r="BG42" s="103"/>
      <c r="BH42" s="103"/>
      <c r="BI42" s="103"/>
      <c r="BJ42" s="103"/>
      <c r="BK42" s="103"/>
      <c r="BL42" s="103"/>
      <c r="BM42" s="65">
        <f t="shared" si="6"/>
        <v>0.51574645161290322</v>
      </c>
      <c r="BN42" s="66">
        <f t="shared" si="3"/>
        <v>0</v>
      </c>
    </row>
    <row r="43" spans="1:66" hidden="1">
      <c r="B43" s="77"/>
      <c r="C43" s="77" t="s">
        <v>21</v>
      </c>
      <c r="D43" s="81"/>
      <c r="E43" s="82"/>
      <c r="F43" s="58"/>
      <c r="G43" s="59"/>
      <c r="H43" s="78"/>
      <c r="I43" s="83">
        <f>SUM(W43:AV43)</f>
        <v>13</v>
      </c>
      <c r="J43" s="62"/>
      <c r="K43" s="63"/>
      <c r="L43" s="6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87">
        <v>0.05</v>
      </c>
      <c r="AD43" s="87">
        <v>0.1</v>
      </c>
      <c r="AE43" s="87">
        <v>0.05</v>
      </c>
      <c r="AF43" s="87">
        <v>0.1</v>
      </c>
      <c r="AG43" s="87">
        <v>0.5</v>
      </c>
      <c r="AH43" s="87">
        <v>0.5</v>
      </c>
      <c r="AI43" s="87">
        <v>0</v>
      </c>
      <c r="AJ43" s="87">
        <v>0.5</v>
      </c>
      <c r="AK43" s="87">
        <v>1</v>
      </c>
      <c r="AL43" s="87">
        <v>0</v>
      </c>
      <c r="AM43" s="87">
        <v>0</v>
      </c>
      <c r="AN43" s="98">
        <v>0.95</v>
      </c>
      <c r="AO43" s="98">
        <v>9.25</v>
      </c>
      <c r="AP43" s="98"/>
      <c r="AQ43" s="63"/>
      <c r="AR43" s="63"/>
      <c r="AS43" s="63"/>
      <c r="AT43" s="64"/>
      <c r="AU43" s="64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99"/>
      <c r="BH43" s="99"/>
      <c r="BI43" s="99"/>
      <c r="BJ43" s="99"/>
      <c r="BK43" s="99"/>
      <c r="BL43" s="99"/>
      <c r="BM43" s="65"/>
      <c r="BN43" s="66">
        <f t="shared" si="3"/>
        <v>0</v>
      </c>
    </row>
    <row r="44" spans="1:66">
      <c r="A44" s="45" t="s">
        <v>45</v>
      </c>
      <c r="B44" s="77">
        <f>H42-BM42</f>
        <v>0</v>
      </c>
      <c r="C44" s="77" t="s">
        <v>20</v>
      </c>
      <c r="D44" s="97" t="s">
        <v>143</v>
      </c>
      <c r="E44" s="82" t="s">
        <v>144</v>
      </c>
      <c r="F44" s="58">
        <v>73193400</v>
      </c>
      <c r="G44" s="59">
        <f>F44*1.11</f>
        <v>81244674</v>
      </c>
      <c r="H44" s="78">
        <f>100*G44/$G$166</f>
        <v>0.23610774193548381</v>
      </c>
      <c r="I44" s="61">
        <f>AR10-AC10</f>
        <v>15</v>
      </c>
      <c r="J44" s="62"/>
      <c r="K44" s="63"/>
      <c r="L44" s="62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80">
        <f>$H$44/$I$44*AD45</f>
        <v>7.8702580645161275E-4</v>
      </c>
      <c r="AE44" s="80">
        <f t="shared" ref="AE44:AR44" si="21">$H$44/$I$44*AE45</f>
        <v>7.8702580645161275E-4</v>
      </c>
      <c r="AF44" s="80">
        <f t="shared" si="21"/>
        <v>1.5740516129032255E-3</v>
      </c>
      <c r="AG44" s="80">
        <f t="shared" si="21"/>
        <v>1.5740516129032255E-3</v>
      </c>
      <c r="AH44" s="80">
        <f t="shared" si="21"/>
        <v>3.9351290322580633E-3</v>
      </c>
      <c r="AI44" s="80">
        <f t="shared" si="21"/>
        <v>3.9351290322580633E-3</v>
      </c>
      <c r="AJ44" s="80">
        <f t="shared" si="21"/>
        <v>7.8702580645161266E-3</v>
      </c>
      <c r="AK44" s="80">
        <f t="shared" si="21"/>
        <v>7.8702580645161266E-3</v>
      </c>
      <c r="AL44" s="80">
        <f t="shared" si="21"/>
        <v>0</v>
      </c>
      <c r="AM44" s="80">
        <f t="shared" si="21"/>
        <v>1.180538709677419E-2</v>
      </c>
      <c r="AN44" s="80">
        <f t="shared" si="21"/>
        <v>1.8888619354838702E-2</v>
      </c>
      <c r="AO44" s="80">
        <f t="shared" si="21"/>
        <v>1.8888619354838702E-2</v>
      </c>
      <c r="AP44" s="80">
        <f t="shared" si="21"/>
        <v>4.1712367741935472E-2</v>
      </c>
      <c r="AQ44" s="80">
        <f t="shared" si="21"/>
        <v>5.0369651612903216E-2</v>
      </c>
      <c r="AR44" s="80">
        <f t="shared" si="21"/>
        <v>6.6110167741935469E-2</v>
      </c>
      <c r="AS44" s="63"/>
      <c r="AT44" s="64"/>
      <c r="AU44" s="64"/>
      <c r="AV44" s="63"/>
      <c r="AW44" s="63"/>
      <c r="AX44" s="63"/>
      <c r="AY44" s="63"/>
      <c r="AZ44" s="63"/>
      <c r="BA44" s="63"/>
      <c r="BB44" s="63"/>
      <c r="BC44" s="63"/>
      <c r="BD44" s="63"/>
      <c r="BE44" s="103"/>
      <c r="BF44" s="103"/>
      <c r="BG44" s="103"/>
      <c r="BH44" s="103"/>
      <c r="BI44" s="103"/>
      <c r="BJ44" s="103"/>
      <c r="BK44" s="103"/>
      <c r="BL44" s="103"/>
      <c r="BM44" s="65">
        <f t="shared" si="6"/>
        <v>0.23610774193548378</v>
      </c>
      <c r="BN44" s="66">
        <f t="shared" si="3"/>
        <v>0</v>
      </c>
    </row>
    <row r="45" spans="1:66" hidden="1">
      <c r="B45" s="77"/>
      <c r="C45" s="77" t="s">
        <v>21</v>
      </c>
      <c r="D45" s="81"/>
      <c r="E45" s="82"/>
      <c r="F45" s="58"/>
      <c r="G45" s="59"/>
      <c r="H45" s="78"/>
      <c r="I45" s="83">
        <f>SUM(W45:AV45)</f>
        <v>15</v>
      </c>
      <c r="J45" s="62"/>
      <c r="K45" s="63"/>
      <c r="L45" s="6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87">
        <v>0.05</v>
      </c>
      <c r="AE45" s="87">
        <v>0.05</v>
      </c>
      <c r="AF45" s="87">
        <v>0.1</v>
      </c>
      <c r="AG45" s="87">
        <v>0.1</v>
      </c>
      <c r="AH45" s="87">
        <v>0.25</v>
      </c>
      <c r="AI45" s="87">
        <v>0.25</v>
      </c>
      <c r="AJ45" s="87">
        <v>0.5</v>
      </c>
      <c r="AK45" s="87">
        <v>0.5</v>
      </c>
      <c r="AL45" s="87">
        <v>0</v>
      </c>
      <c r="AM45" s="87">
        <v>0.75</v>
      </c>
      <c r="AN45" s="87">
        <v>1.2</v>
      </c>
      <c r="AO45" s="98">
        <v>1.2</v>
      </c>
      <c r="AP45" s="98">
        <v>2.65</v>
      </c>
      <c r="AQ45" s="98">
        <v>3.2</v>
      </c>
      <c r="AR45" s="98">
        <v>4.2</v>
      </c>
      <c r="AS45" s="63"/>
      <c r="AT45" s="64"/>
      <c r="AU45" s="64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99"/>
      <c r="BH45" s="99"/>
      <c r="BI45" s="99"/>
      <c r="BJ45" s="99"/>
      <c r="BK45" s="99"/>
      <c r="BL45" s="99"/>
      <c r="BM45" s="65"/>
      <c r="BN45" s="66">
        <f t="shared" si="3"/>
        <v>0</v>
      </c>
    </row>
    <row r="46" spans="1:66">
      <c r="A46" s="45" t="s">
        <v>45</v>
      </c>
      <c r="B46" s="77">
        <f>H42-BM42</f>
        <v>0</v>
      </c>
      <c r="C46" s="77" t="s">
        <v>20</v>
      </c>
      <c r="D46" s="97" t="s">
        <v>145</v>
      </c>
      <c r="E46" s="82" t="s">
        <v>146</v>
      </c>
      <c r="F46" s="58">
        <v>1073100</v>
      </c>
      <c r="G46" s="59">
        <f>F46*1.11</f>
        <v>1191141</v>
      </c>
      <c r="H46" s="78">
        <f>100*G46/$G$166</f>
        <v>3.4616129032258055E-3</v>
      </c>
      <c r="I46" s="61">
        <f>AW10-AG10-2</f>
        <v>14</v>
      </c>
      <c r="J46" s="62"/>
      <c r="K46" s="63"/>
      <c r="L46" s="6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80">
        <f>$H$46/$I$46*AH47</f>
        <v>1.2362903225806449E-5</v>
      </c>
      <c r="AI46" s="80">
        <f t="shared" ref="AI46:AS46" si="22">$H$46/$I$46*AI47</f>
        <v>1.2362903225806449E-5</v>
      </c>
      <c r="AJ46" s="80">
        <f t="shared" si="22"/>
        <v>2.4725806451612898E-5</v>
      </c>
      <c r="AK46" s="80">
        <f t="shared" si="22"/>
        <v>2.4725806451612898E-5</v>
      </c>
      <c r="AL46" s="80">
        <f t="shared" si="22"/>
        <v>0</v>
      </c>
      <c r="AM46" s="80">
        <f t="shared" si="22"/>
        <v>6.1814516129032242E-5</v>
      </c>
      <c r="AN46" s="80">
        <f t="shared" si="22"/>
        <v>1.2362903225806448E-4</v>
      </c>
      <c r="AO46" s="80">
        <f t="shared" si="22"/>
        <v>1.2362903225806448E-4</v>
      </c>
      <c r="AP46" s="80">
        <f t="shared" si="22"/>
        <v>2.4725806451612897E-4</v>
      </c>
      <c r="AQ46" s="80">
        <f t="shared" si="22"/>
        <v>2.4725806451612897E-4</v>
      </c>
      <c r="AR46" s="80">
        <f t="shared" si="22"/>
        <v>3.5852419354838699E-4</v>
      </c>
      <c r="AS46" s="80">
        <f t="shared" si="22"/>
        <v>4.9451612903225793E-4</v>
      </c>
      <c r="AT46" s="64"/>
      <c r="AU46" s="64"/>
      <c r="AV46" s="80">
        <f t="shared" ref="AV46:AW46" si="23">$H$46/$I$46*AV47</f>
        <v>7.417741935483869E-4</v>
      </c>
      <c r="AW46" s="80">
        <f t="shared" si="23"/>
        <v>9.8903225806451587E-4</v>
      </c>
      <c r="AX46" s="63"/>
      <c r="AY46" s="63"/>
      <c r="AZ46" s="63"/>
      <c r="BA46" s="63"/>
      <c r="BB46" s="63"/>
      <c r="BC46" s="63"/>
      <c r="BD46" s="63"/>
      <c r="BE46" s="103"/>
      <c r="BF46" s="103"/>
      <c r="BG46" s="103"/>
      <c r="BH46" s="103"/>
      <c r="BI46" s="103"/>
      <c r="BJ46" s="103"/>
      <c r="BK46" s="103"/>
      <c r="BL46" s="103"/>
      <c r="BM46" s="65">
        <f t="shared" si="6"/>
        <v>3.4616129032258055E-3</v>
      </c>
      <c r="BN46" s="66">
        <f t="shared" si="3"/>
        <v>0</v>
      </c>
    </row>
    <row r="47" spans="1:66" hidden="1">
      <c r="B47" s="77"/>
      <c r="C47" s="77" t="s">
        <v>21</v>
      </c>
      <c r="D47" s="81"/>
      <c r="E47" s="82"/>
      <c r="F47" s="58"/>
      <c r="G47" s="59"/>
      <c r="H47" s="78"/>
      <c r="I47" s="83">
        <f>SUM(W47:AW47)</f>
        <v>14</v>
      </c>
      <c r="J47" s="62"/>
      <c r="K47" s="63"/>
      <c r="L47" s="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 t="s">
        <v>206</v>
      </c>
      <c r="AC47" s="63"/>
      <c r="AD47" s="63"/>
      <c r="AE47" s="63"/>
      <c r="AF47" s="63"/>
      <c r="AG47" s="63"/>
      <c r="AH47" s="87">
        <v>0.05</v>
      </c>
      <c r="AI47" s="87">
        <v>0.05</v>
      </c>
      <c r="AJ47" s="87">
        <v>0.1</v>
      </c>
      <c r="AK47" s="87">
        <v>0.1</v>
      </c>
      <c r="AL47" s="87">
        <v>0</v>
      </c>
      <c r="AM47" s="87">
        <v>0.25</v>
      </c>
      <c r="AN47" s="87">
        <v>0.5</v>
      </c>
      <c r="AO47" s="87">
        <v>0.5</v>
      </c>
      <c r="AP47" s="87">
        <v>1</v>
      </c>
      <c r="AQ47" s="87">
        <v>1</v>
      </c>
      <c r="AR47" s="87">
        <v>1.45</v>
      </c>
      <c r="AS47" s="98">
        <v>2</v>
      </c>
      <c r="AT47" s="64"/>
      <c r="AU47" s="64"/>
      <c r="AV47" s="98">
        <v>3</v>
      </c>
      <c r="AW47" s="98">
        <v>4</v>
      </c>
      <c r="AX47" s="63"/>
      <c r="AY47" s="63"/>
      <c r="AZ47" s="63"/>
      <c r="BA47" s="63"/>
      <c r="BB47" s="63"/>
      <c r="BC47" s="63"/>
      <c r="BD47" s="63"/>
      <c r="BE47" s="63"/>
      <c r="BF47" s="63"/>
      <c r="BG47" s="99"/>
      <c r="BH47" s="99"/>
      <c r="BI47" s="99"/>
      <c r="BJ47" s="99"/>
      <c r="BK47" s="99"/>
      <c r="BL47" s="99"/>
      <c r="BM47" s="65"/>
      <c r="BN47" s="66">
        <f t="shared" si="3"/>
        <v>0</v>
      </c>
    </row>
    <row r="48" spans="1:66" hidden="1">
      <c r="A48" s="45">
        <v>2</v>
      </c>
      <c r="D48" s="56">
        <v>3</v>
      </c>
      <c r="E48" s="57" t="s">
        <v>147</v>
      </c>
      <c r="F48" s="58"/>
      <c r="G48" s="59"/>
      <c r="H48" s="78"/>
      <c r="I48" s="61"/>
      <c r="J48" s="62"/>
      <c r="K48" s="63"/>
      <c r="L48" s="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4"/>
      <c r="AU48" s="64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5"/>
      <c r="BN48" s="66">
        <f t="shared" si="3"/>
        <v>0</v>
      </c>
    </row>
    <row r="49" spans="1:66" s="88" customFormat="1" hidden="1">
      <c r="A49" s="88">
        <v>2.5</v>
      </c>
      <c r="B49" s="113"/>
      <c r="C49" s="113"/>
      <c r="D49" s="115">
        <v>3.1</v>
      </c>
      <c r="E49" s="57" t="s">
        <v>148</v>
      </c>
      <c r="F49" s="90"/>
      <c r="G49" s="91"/>
      <c r="H49" s="92"/>
      <c r="I49" s="93"/>
      <c r="J49" s="94"/>
      <c r="K49" s="95"/>
      <c r="L49" s="94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6"/>
      <c r="AU49" s="96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65"/>
      <c r="BN49" s="66">
        <f t="shared" si="3"/>
        <v>0</v>
      </c>
    </row>
    <row r="50" spans="1:66">
      <c r="A50" s="45" t="s">
        <v>48</v>
      </c>
      <c r="B50" s="77">
        <f>H49-BM49</f>
        <v>0</v>
      </c>
      <c r="C50" s="77" t="s">
        <v>20</v>
      </c>
      <c r="D50" s="97" t="s">
        <v>118</v>
      </c>
      <c r="E50" s="82" t="s">
        <v>130</v>
      </c>
      <c r="F50" s="58">
        <v>251118079.31999999</v>
      </c>
      <c r="G50" s="59">
        <f>F50*1.11</f>
        <v>278741068.04519999</v>
      </c>
      <c r="H50" s="78">
        <f>100*G50/$G$166</f>
        <v>0.81005832038709658</v>
      </c>
      <c r="I50" s="61">
        <f>Z10-L10</f>
        <v>14</v>
      </c>
      <c r="J50" s="62"/>
      <c r="K50" s="63"/>
      <c r="L50" s="62"/>
      <c r="M50" s="80">
        <f t="shared" ref="M50:Y50" si="24">$H$50/$I$50*M51</f>
        <v>2.8930654299539164E-3</v>
      </c>
      <c r="N50" s="80">
        <f t="shared" si="24"/>
        <v>2.8930654299539164E-3</v>
      </c>
      <c r="O50" s="80">
        <f t="shared" si="24"/>
        <v>5.7861308599078329E-3</v>
      </c>
      <c r="P50" s="80">
        <f t="shared" si="24"/>
        <v>5.7861308599078329E-3</v>
      </c>
      <c r="Q50" s="80">
        <f t="shared" si="24"/>
        <v>1.4465327149769582E-2</v>
      </c>
      <c r="R50" s="80">
        <f t="shared" si="24"/>
        <v>1.4465327149769582E-2</v>
      </c>
      <c r="S50" s="80">
        <f t="shared" si="24"/>
        <v>2.8930654299539164E-2</v>
      </c>
      <c r="T50" s="80">
        <f t="shared" si="24"/>
        <v>2.8930654299539164E-2</v>
      </c>
      <c r="U50" s="80">
        <f t="shared" si="24"/>
        <v>5.7861308599078329E-2</v>
      </c>
      <c r="V50" s="80">
        <f t="shared" si="24"/>
        <v>5.7861308599078329E-2</v>
      </c>
      <c r="W50" s="80">
        <f t="shared" si="24"/>
        <v>8.389889746866358E-2</v>
      </c>
      <c r="X50" s="80">
        <f t="shared" si="24"/>
        <v>0.11572261719815666</v>
      </c>
      <c r="Y50" s="80">
        <f t="shared" si="24"/>
        <v>0.17358392579723497</v>
      </c>
      <c r="Z50" s="80">
        <f>$H$50/$I$50*Z51</f>
        <v>0.21697990724654373</v>
      </c>
      <c r="AA50" s="62"/>
      <c r="AB50" s="62"/>
      <c r="AC50" s="62"/>
      <c r="AD50" s="62"/>
      <c r="AE50" s="62"/>
      <c r="AF50" s="62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4"/>
      <c r="AU50" s="64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5">
        <f t="shared" si="6"/>
        <v>0.81005832038709658</v>
      </c>
      <c r="BN50" s="66">
        <f t="shared" si="3"/>
        <v>0</v>
      </c>
    </row>
    <row r="51" spans="1:66" hidden="1">
      <c r="B51" s="77"/>
      <c r="C51" s="77" t="s">
        <v>21</v>
      </c>
      <c r="D51" s="97"/>
      <c r="E51" s="82"/>
      <c r="F51" s="58"/>
      <c r="G51" s="59"/>
      <c r="H51" s="78"/>
      <c r="I51" s="83">
        <f>SUM(M51:AM51)</f>
        <v>14</v>
      </c>
      <c r="J51" s="62"/>
      <c r="K51" s="63"/>
      <c r="L51" s="62"/>
      <c r="M51" s="87">
        <v>0.05</v>
      </c>
      <c r="N51" s="87">
        <v>0.05</v>
      </c>
      <c r="O51" s="87">
        <v>0.1</v>
      </c>
      <c r="P51" s="87">
        <v>0.1</v>
      </c>
      <c r="Q51" s="87">
        <v>0.25</v>
      </c>
      <c r="R51" s="87">
        <v>0.25</v>
      </c>
      <c r="S51" s="87">
        <v>0.5</v>
      </c>
      <c r="T51" s="87">
        <v>0.5</v>
      </c>
      <c r="U51" s="87">
        <v>1</v>
      </c>
      <c r="V51" s="87">
        <v>1</v>
      </c>
      <c r="W51" s="87">
        <v>1.45</v>
      </c>
      <c r="X51" s="98">
        <v>2</v>
      </c>
      <c r="Y51" s="98">
        <v>3</v>
      </c>
      <c r="Z51" s="98">
        <v>3.75</v>
      </c>
      <c r="AA51" s="98"/>
      <c r="AB51" s="87"/>
      <c r="AC51" s="98"/>
      <c r="AD51" s="98"/>
      <c r="AE51" s="98"/>
      <c r="AF51" s="98"/>
      <c r="AG51" s="98"/>
      <c r="AH51" s="98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4"/>
      <c r="AU51" s="64"/>
      <c r="AV51" s="63"/>
      <c r="AW51" s="63"/>
      <c r="AX51" s="63"/>
      <c r="AY51" s="63"/>
      <c r="AZ51" s="63"/>
      <c r="BA51" s="63"/>
      <c r="BB51" s="63"/>
      <c r="BC51" s="63"/>
      <c r="BD51" s="99"/>
      <c r="BE51" s="63"/>
      <c r="BF51" s="63"/>
      <c r="BG51" s="99"/>
      <c r="BH51" s="99"/>
      <c r="BI51" s="63"/>
      <c r="BJ51" s="63"/>
      <c r="BK51" s="63"/>
      <c r="BL51" s="99"/>
      <c r="BM51" s="65"/>
      <c r="BN51" s="66">
        <f t="shared" si="3"/>
        <v>0</v>
      </c>
    </row>
    <row r="52" spans="1:66">
      <c r="A52" s="45" t="s">
        <v>49</v>
      </c>
      <c r="B52" s="77">
        <f>H50-BM50</f>
        <v>0</v>
      </c>
      <c r="C52" s="77" t="s">
        <v>20</v>
      </c>
      <c r="D52" s="97" t="s">
        <v>119</v>
      </c>
      <c r="E52" s="82" t="s">
        <v>149</v>
      </c>
      <c r="F52" s="58">
        <v>1112583042</v>
      </c>
      <c r="G52" s="59">
        <f>F52*1.11</f>
        <v>1234967176.6200001</v>
      </c>
      <c r="H52" s="78">
        <f>100*G52/$G$166</f>
        <v>3.5889775548387095</v>
      </c>
      <c r="I52" s="61">
        <f>AL10-AE10</f>
        <v>7</v>
      </c>
      <c r="J52" s="62"/>
      <c r="K52" s="63"/>
      <c r="L52" s="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80">
        <f>$H$52/$I$52*AF53</f>
        <v>2.5635553963133641E-2</v>
      </c>
      <c r="AG52" s="80">
        <f t="shared" ref="AG52:AL52" si="25">$H$52/$I$52*AG53</f>
        <v>5.1271107926267281E-2</v>
      </c>
      <c r="AH52" s="80">
        <f t="shared" si="25"/>
        <v>0.1281777698156682</v>
      </c>
      <c r="AI52" s="80">
        <f t="shared" si="25"/>
        <v>0.51271107926267279</v>
      </c>
      <c r="AJ52" s="80">
        <f t="shared" si="25"/>
        <v>0.56398218718894011</v>
      </c>
      <c r="AK52" s="80">
        <f t="shared" si="25"/>
        <v>0.76906661889400918</v>
      </c>
      <c r="AL52" s="80">
        <f t="shared" si="25"/>
        <v>1.5381332377880184</v>
      </c>
      <c r="AM52" s="63"/>
      <c r="AN52" s="63"/>
      <c r="AO52" s="63"/>
      <c r="AP52" s="63"/>
      <c r="AQ52" s="63"/>
      <c r="AR52" s="63"/>
      <c r="AS52" s="63"/>
      <c r="AT52" s="64"/>
      <c r="AU52" s="64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5">
        <f t="shared" si="6"/>
        <v>3.5889775548387095</v>
      </c>
      <c r="BN52" s="66">
        <f t="shared" si="3"/>
        <v>0</v>
      </c>
    </row>
    <row r="53" spans="1:66" hidden="1">
      <c r="B53" s="77"/>
      <c r="C53" s="77" t="s">
        <v>21</v>
      </c>
      <c r="D53" s="97"/>
      <c r="E53" s="82"/>
      <c r="F53" s="58"/>
      <c r="G53" s="59"/>
      <c r="H53" s="78"/>
      <c r="I53" s="83">
        <f>SUM(W53:AW53)</f>
        <v>7</v>
      </c>
      <c r="J53" s="62"/>
      <c r="K53" s="63"/>
      <c r="L53" s="6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116"/>
      <c r="AB53" s="116"/>
      <c r="AC53" s="63"/>
      <c r="AD53" s="63"/>
      <c r="AE53" s="63"/>
      <c r="AF53" s="87">
        <v>0.05</v>
      </c>
      <c r="AG53" s="87">
        <v>0.1</v>
      </c>
      <c r="AH53" s="87">
        <v>0.25</v>
      </c>
      <c r="AI53" s="98">
        <v>1</v>
      </c>
      <c r="AJ53" s="98">
        <v>1.1000000000000001</v>
      </c>
      <c r="AK53" s="98">
        <v>1.5</v>
      </c>
      <c r="AL53" s="98">
        <v>3</v>
      </c>
      <c r="AM53" s="63"/>
      <c r="AN53" s="63"/>
      <c r="AO53" s="63"/>
      <c r="AP53" s="63"/>
      <c r="AQ53" s="63"/>
      <c r="AR53" s="63"/>
      <c r="AS53" s="63"/>
      <c r="AT53" s="64"/>
      <c r="AU53" s="64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5"/>
      <c r="BN53" s="66">
        <f t="shared" si="3"/>
        <v>0</v>
      </c>
    </row>
    <row r="54" spans="1:66" s="88" customFormat="1" hidden="1">
      <c r="A54" s="88">
        <v>2.6</v>
      </c>
      <c r="B54" s="113" t="e">
        <f>#REF!-#REF!</f>
        <v>#REF!</v>
      </c>
      <c r="C54" s="113" t="s">
        <v>20</v>
      </c>
      <c r="D54" s="89">
        <v>3.2</v>
      </c>
      <c r="E54" s="57" t="s">
        <v>150</v>
      </c>
      <c r="F54" s="90"/>
      <c r="G54" s="91"/>
      <c r="H54" s="92"/>
      <c r="I54" s="93"/>
      <c r="J54" s="94"/>
      <c r="K54" s="95"/>
      <c r="L54" s="94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6"/>
      <c r="AU54" s="96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65"/>
      <c r="BN54" s="66">
        <f t="shared" si="3"/>
        <v>0</v>
      </c>
    </row>
    <row r="55" spans="1:66">
      <c r="A55" s="45" t="s">
        <v>53</v>
      </c>
      <c r="D55" s="97" t="s">
        <v>87</v>
      </c>
      <c r="E55" s="82" t="s">
        <v>133</v>
      </c>
      <c r="F55" s="58">
        <v>158417962.79999998</v>
      </c>
      <c r="G55" s="59">
        <f>F55*1.11</f>
        <v>175843938.708</v>
      </c>
      <c r="H55" s="78">
        <f>100*G55/$G$166</f>
        <v>0.51102568645161273</v>
      </c>
      <c r="I55" s="61">
        <f>AY10-AM10-2</f>
        <v>10</v>
      </c>
      <c r="J55" s="62"/>
      <c r="K55" s="63"/>
      <c r="L55" s="62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103"/>
      <c r="AD55" s="103"/>
      <c r="AE55" s="103"/>
      <c r="AF55" s="102"/>
      <c r="AG55" s="63"/>
      <c r="AH55" s="63"/>
      <c r="AI55" s="63"/>
      <c r="AJ55" s="63"/>
      <c r="AK55" s="63"/>
      <c r="AL55" s="63"/>
      <c r="AM55" s="63"/>
      <c r="AN55" s="80">
        <f>$H$55/$I$55*AN56</f>
        <v>0</v>
      </c>
      <c r="AO55" s="80">
        <f t="shared" ref="AO55:AS55" si="26">$H$55/$I$55*AO56</f>
        <v>7.6653852967741905E-3</v>
      </c>
      <c r="AP55" s="80">
        <f t="shared" si="26"/>
        <v>7.6653852967741905E-3</v>
      </c>
      <c r="AQ55" s="80">
        <f t="shared" si="26"/>
        <v>1.0220513729032255E-2</v>
      </c>
      <c r="AR55" s="80">
        <f t="shared" si="26"/>
        <v>2.5551284322580636E-2</v>
      </c>
      <c r="AS55" s="80">
        <f t="shared" si="26"/>
        <v>3.8326926483870954E-2</v>
      </c>
      <c r="AT55" s="64"/>
      <c r="AU55" s="64"/>
      <c r="AV55" s="80">
        <f t="shared" ref="AV55" si="27">$H$55/$I$55*AV56</f>
        <v>5.1102568645161273E-2</v>
      </c>
      <c r="AW55" s="80">
        <f t="shared" ref="AW55" si="28">$H$55/$I$55*AW56</f>
        <v>5.1102568645161273E-2</v>
      </c>
      <c r="AX55" s="80">
        <f t="shared" ref="AX55" si="29">$H$55/$I$55*AX56</f>
        <v>0.10220513729032255</v>
      </c>
      <c r="AY55" s="80">
        <f>$H$55/$I$55*AY56</f>
        <v>0.21718591674193541</v>
      </c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5">
        <f t="shared" si="6"/>
        <v>0.51102568645161273</v>
      </c>
      <c r="BN55" s="66">
        <f t="shared" si="3"/>
        <v>0</v>
      </c>
    </row>
    <row r="56" spans="1:66" hidden="1">
      <c r="D56" s="97"/>
      <c r="E56" s="82"/>
      <c r="F56" s="58"/>
      <c r="G56" s="59"/>
      <c r="H56" s="78"/>
      <c r="I56" s="83">
        <f>SUM(W56:AY56)</f>
        <v>10</v>
      </c>
      <c r="J56" s="62"/>
      <c r="K56" s="63"/>
      <c r="L56" s="62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87">
        <v>0</v>
      </c>
      <c r="AO56" s="87">
        <v>0.15</v>
      </c>
      <c r="AP56" s="87">
        <v>0.15</v>
      </c>
      <c r="AQ56" s="98">
        <v>0.2</v>
      </c>
      <c r="AR56" s="98">
        <v>0.5</v>
      </c>
      <c r="AS56" s="98">
        <v>0.75</v>
      </c>
      <c r="AT56" s="64"/>
      <c r="AU56" s="64"/>
      <c r="AV56" s="98">
        <v>1</v>
      </c>
      <c r="AW56" s="98">
        <v>1</v>
      </c>
      <c r="AX56" s="98">
        <v>2</v>
      </c>
      <c r="AY56" s="98">
        <v>4.25</v>
      </c>
      <c r="AZ56" s="63"/>
      <c r="BA56" s="63"/>
      <c r="BB56" s="63"/>
      <c r="BC56" s="63"/>
      <c r="BD56" s="63"/>
      <c r="BE56" s="63"/>
      <c r="BF56" s="63"/>
      <c r="BG56" s="99"/>
      <c r="BH56" s="63"/>
      <c r="BI56" s="99"/>
      <c r="BJ56" s="99"/>
      <c r="BK56" s="63"/>
      <c r="BL56" s="63"/>
      <c r="BM56" s="65"/>
      <c r="BN56" s="66">
        <f t="shared" si="3"/>
        <v>0</v>
      </c>
    </row>
    <row r="57" spans="1:66">
      <c r="A57" s="45" t="s">
        <v>54</v>
      </c>
      <c r="B57" s="77">
        <f>H55-BM55</f>
        <v>0</v>
      </c>
      <c r="C57" s="77" t="s">
        <v>20</v>
      </c>
      <c r="D57" s="97" t="s">
        <v>88</v>
      </c>
      <c r="E57" s="82" t="s">
        <v>134</v>
      </c>
      <c r="F57" s="58">
        <v>87492136</v>
      </c>
      <c r="G57" s="59">
        <f>F57*1.11</f>
        <v>97116270.960000008</v>
      </c>
      <c r="H57" s="78">
        <f>100*G57/$G$166</f>
        <v>0.28223269677419349</v>
      </c>
      <c r="I57" s="61">
        <f>AY10-AM10-2</f>
        <v>10</v>
      </c>
      <c r="J57" s="62"/>
      <c r="K57" s="63"/>
      <c r="L57" s="62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103"/>
      <c r="AC57" s="103"/>
      <c r="AD57" s="103"/>
      <c r="AE57" s="63"/>
      <c r="AF57" s="63"/>
      <c r="AG57" s="63"/>
      <c r="AH57" s="63"/>
      <c r="AI57" s="63"/>
      <c r="AJ57" s="63"/>
      <c r="AK57" s="63"/>
      <c r="AL57" s="63"/>
      <c r="AM57" s="63"/>
      <c r="AN57" s="80">
        <f>$H$57/$I$57*AN58</f>
        <v>0</v>
      </c>
      <c r="AO57" s="80">
        <f t="shared" ref="AO57:AS57" si="30">$H$57/$I$57*AO58</f>
        <v>4.2334904516129019E-3</v>
      </c>
      <c r="AP57" s="80">
        <f t="shared" si="30"/>
        <v>4.2334904516129019E-3</v>
      </c>
      <c r="AQ57" s="80">
        <f t="shared" si="30"/>
        <v>5.6446539354838704E-3</v>
      </c>
      <c r="AR57" s="80">
        <f t="shared" si="30"/>
        <v>1.4111634838709674E-2</v>
      </c>
      <c r="AS57" s="80">
        <f t="shared" si="30"/>
        <v>2.1167452258064511E-2</v>
      </c>
      <c r="AT57" s="64"/>
      <c r="AU57" s="64"/>
      <c r="AV57" s="80">
        <f t="shared" ref="AV57" si="31">$H$57/$I$57*AV58</f>
        <v>2.8223269677419349E-2</v>
      </c>
      <c r="AW57" s="80">
        <f t="shared" ref="AW57" si="32">$H$57/$I$57*AW58</f>
        <v>2.8223269677419349E-2</v>
      </c>
      <c r="AX57" s="80">
        <f t="shared" ref="AX57" si="33">$H$57/$I$57*AX58</f>
        <v>5.6446539354838697E-2</v>
      </c>
      <c r="AY57" s="80">
        <f>$H$57/$I$57*AY58</f>
        <v>0.11994889612903223</v>
      </c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5">
        <f t="shared" si="6"/>
        <v>0.28223269677419349</v>
      </c>
      <c r="BN57" s="66">
        <f t="shared" si="3"/>
        <v>0</v>
      </c>
    </row>
    <row r="58" spans="1:66" hidden="1">
      <c r="B58" s="77"/>
      <c r="C58" s="77" t="s">
        <v>21</v>
      </c>
      <c r="D58" s="97"/>
      <c r="E58" s="82"/>
      <c r="F58" s="58"/>
      <c r="G58" s="59"/>
      <c r="H58" s="78"/>
      <c r="I58" s="83">
        <f>SUM(W58:AY58)</f>
        <v>10</v>
      </c>
      <c r="J58" s="62"/>
      <c r="K58" s="63"/>
      <c r="L58" s="62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87">
        <v>0</v>
      </c>
      <c r="AO58" s="87">
        <v>0.15</v>
      </c>
      <c r="AP58" s="87">
        <v>0.15</v>
      </c>
      <c r="AQ58" s="98">
        <v>0.2</v>
      </c>
      <c r="AR58" s="98">
        <v>0.5</v>
      </c>
      <c r="AS58" s="98">
        <v>0.75</v>
      </c>
      <c r="AT58" s="64"/>
      <c r="AU58" s="64"/>
      <c r="AV58" s="98">
        <v>1</v>
      </c>
      <c r="AW58" s="98">
        <v>1</v>
      </c>
      <c r="AX58" s="98">
        <v>2</v>
      </c>
      <c r="AY58" s="98">
        <v>4.25</v>
      </c>
      <c r="AZ58" s="63"/>
      <c r="BA58" s="63"/>
      <c r="BB58" s="63"/>
      <c r="BC58" s="63"/>
      <c r="BD58" s="63"/>
      <c r="BE58" s="99"/>
      <c r="BF58" s="63"/>
      <c r="BG58" s="63"/>
      <c r="BH58" s="63"/>
      <c r="BI58" s="99"/>
      <c r="BJ58" s="99"/>
      <c r="BK58" s="63"/>
      <c r="BL58" s="63"/>
      <c r="BM58" s="65"/>
      <c r="BN58" s="66">
        <f t="shared" si="3"/>
        <v>0</v>
      </c>
    </row>
    <row r="59" spans="1:66">
      <c r="A59" s="45" t="s">
        <v>54</v>
      </c>
      <c r="B59" s="77">
        <f>H55-BM55</f>
        <v>0</v>
      </c>
      <c r="C59" s="77" t="s">
        <v>20</v>
      </c>
      <c r="D59" s="97" t="s">
        <v>89</v>
      </c>
      <c r="E59" s="82" t="s">
        <v>135</v>
      </c>
      <c r="F59" s="58">
        <v>549055275</v>
      </c>
      <c r="G59" s="59">
        <f>F59*1.11</f>
        <v>609451355.25</v>
      </c>
      <c r="H59" s="78">
        <f>100*G59/$G$166</f>
        <v>1.7711460483870964</v>
      </c>
      <c r="I59" s="61">
        <f>AN10-AI10</f>
        <v>5</v>
      </c>
      <c r="J59" s="62"/>
      <c r="K59" s="63"/>
      <c r="L59" s="62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80">
        <f>$H$59/$I$59*AJ60</f>
        <v>1.7711460483870966E-2</v>
      </c>
      <c r="AK59" s="80">
        <f t="shared" ref="AK59:AN59" si="34">$H$59/$I$59*AK60</f>
        <v>5.3134381451612887E-2</v>
      </c>
      <c r="AL59" s="80">
        <f t="shared" si="34"/>
        <v>0</v>
      </c>
      <c r="AM59" s="80">
        <f t="shared" si="34"/>
        <v>0.24796044677419349</v>
      </c>
      <c r="AN59" s="80">
        <f t="shared" si="34"/>
        <v>1.452339759677419</v>
      </c>
      <c r="AO59" s="63"/>
      <c r="AP59" s="63"/>
      <c r="AQ59" s="63"/>
      <c r="AR59" s="63"/>
      <c r="AS59" s="63"/>
      <c r="AT59" s="64"/>
      <c r="AU59" s="64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5">
        <f t="shared" si="6"/>
        <v>1.7711460483870964</v>
      </c>
      <c r="BN59" s="66">
        <f t="shared" si="3"/>
        <v>0</v>
      </c>
    </row>
    <row r="60" spans="1:66" hidden="1">
      <c r="B60" s="77"/>
      <c r="C60" s="77" t="s">
        <v>21</v>
      </c>
      <c r="D60" s="81"/>
      <c r="E60" s="82"/>
      <c r="F60" s="58"/>
      <c r="G60" s="59"/>
      <c r="H60" s="78"/>
      <c r="I60" s="83">
        <f>SUM(W60:AY60)</f>
        <v>5</v>
      </c>
      <c r="J60" s="62"/>
      <c r="K60" s="63"/>
      <c r="L60" s="62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87">
        <v>0.05</v>
      </c>
      <c r="AK60" s="87">
        <v>0.15</v>
      </c>
      <c r="AL60" s="87">
        <v>0</v>
      </c>
      <c r="AM60" s="87">
        <v>0.7</v>
      </c>
      <c r="AN60" s="87">
        <v>4.0999999999999996</v>
      </c>
      <c r="AO60" s="87"/>
      <c r="AP60" s="63"/>
      <c r="AQ60" s="63"/>
      <c r="AR60" s="63"/>
      <c r="AS60" s="63"/>
      <c r="AT60" s="64"/>
      <c r="AU60" s="64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5"/>
      <c r="BN60" s="66">
        <f t="shared" si="3"/>
        <v>0</v>
      </c>
    </row>
    <row r="61" spans="1:66">
      <c r="A61" s="45" t="s">
        <v>54</v>
      </c>
      <c r="B61" s="77">
        <f>H57-BM57</f>
        <v>0</v>
      </c>
      <c r="C61" s="77" t="s">
        <v>20</v>
      </c>
      <c r="D61" s="97" t="s">
        <v>151</v>
      </c>
      <c r="E61" s="82" t="s">
        <v>136</v>
      </c>
      <c r="F61" s="58">
        <v>5514000</v>
      </c>
      <c r="G61" s="59">
        <f>F61*1.11</f>
        <v>6120540.0000000009</v>
      </c>
      <c r="H61" s="78">
        <f>100*G61/$G$166</f>
        <v>1.7787096774193548E-2</v>
      </c>
      <c r="I61" s="61">
        <f>AZ10-AU10</f>
        <v>5</v>
      </c>
      <c r="J61" s="62"/>
      <c r="K61" s="63"/>
      <c r="L61" s="62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4"/>
      <c r="AU61" s="64"/>
      <c r="AV61" s="80">
        <f>$H$61/$I$61*AV62</f>
        <v>1.778709677419355E-4</v>
      </c>
      <c r="AW61" s="80">
        <f t="shared" ref="AW61:AZ61" si="35">$H$61/$I$61*AW62</f>
        <v>1.778709677419355E-4</v>
      </c>
      <c r="AX61" s="80">
        <f t="shared" si="35"/>
        <v>5.3361290322580647E-4</v>
      </c>
      <c r="AY61" s="80">
        <f t="shared" si="35"/>
        <v>3.5574193548387097E-3</v>
      </c>
      <c r="AZ61" s="80">
        <f t="shared" si="35"/>
        <v>1.3340322580645162E-2</v>
      </c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5">
        <f t="shared" si="6"/>
        <v>1.7787096774193548E-2</v>
      </c>
      <c r="BN61" s="66">
        <f t="shared" si="3"/>
        <v>0</v>
      </c>
    </row>
    <row r="62" spans="1:66" hidden="1">
      <c r="B62" s="77"/>
      <c r="C62" s="77" t="s">
        <v>21</v>
      </c>
      <c r="D62" s="81"/>
      <c r="E62" s="82"/>
      <c r="F62" s="58"/>
      <c r="G62" s="59"/>
      <c r="H62" s="78"/>
      <c r="I62" s="83">
        <f>SUM(W62:AZ62)</f>
        <v>5</v>
      </c>
      <c r="J62" s="62"/>
      <c r="K62" s="63"/>
      <c r="L62" s="62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4"/>
      <c r="AU62" s="64"/>
      <c r="AV62" s="87">
        <v>0.05</v>
      </c>
      <c r="AW62" s="87">
        <v>0.05</v>
      </c>
      <c r="AX62" s="87">
        <v>0.15</v>
      </c>
      <c r="AY62" s="87">
        <v>1</v>
      </c>
      <c r="AZ62" s="87">
        <v>3.75</v>
      </c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5"/>
      <c r="BN62" s="66">
        <f t="shared" si="3"/>
        <v>0</v>
      </c>
    </row>
    <row r="63" spans="1:66">
      <c r="A63" s="45" t="s">
        <v>54</v>
      </c>
      <c r="B63" s="77">
        <f>H61-BM61</f>
        <v>0</v>
      </c>
      <c r="C63" s="77" t="s">
        <v>20</v>
      </c>
      <c r="D63" s="97" t="s">
        <v>152</v>
      </c>
      <c r="E63" s="82" t="s">
        <v>140</v>
      </c>
      <c r="F63" s="58">
        <v>11039410</v>
      </c>
      <c r="G63" s="59">
        <f>F63*1.11</f>
        <v>12253745.100000001</v>
      </c>
      <c r="H63" s="78">
        <f>100*G63/$G$166</f>
        <v>3.5610999999999997E-2</v>
      </c>
      <c r="I63" s="61">
        <f>BB10-AW10</f>
        <v>5</v>
      </c>
      <c r="J63" s="62"/>
      <c r="K63" s="63"/>
      <c r="L63" s="62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4"/>
      <c r="AU63" s="64"/>
      <c r="AV63" s="63"/>
      <c r="AW63" s="63"/>
      <c r="AX63" s="80">
        <f>$H$63/$I$63*AX64</f>
        <v>3.5610999999999998E-4</v>
      </c>
      <c r="AY63" s="80">
        <f t="shared" ref="AY63:BB63" si="36">$H$63/$I$63*AY64</f>
        <v>3.5610999999999998E-4</v>
      </c>
      <c r="AZ63" s="80">
        <f t="shared" si="36"/>
        <v>1.0683299999999999E-3</v>
      </c>
      <c r="BA63" s="80">
        <f t="shared" si="36"/>
        <v>7.1221999999999995E-3</v>
      </c>
      <c r="BB63" s="80">
        <f t="shared" si="36"/>
        <v>2.6708249999999999E-2</v>
      </c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5">
        <f t="shared" si="6"/>
        <v>3.5610999999999997E-2</v>
      </c>
      <c r="BN63" s="66">
        <f t="shared" si="3"/>
        <v>0</v>
      </c>
    </row>
    <row r="64" spans="1:66" hidden="1">
      <c r="B64" s="77"/>
      <c r="C64" s="77" t="s">
        <v>21</v>
      </c>
      <c r="D64" s="81"/>
      <c r="E64" s="82"/>
      <c r="F64" s="58"/>
      <c r="G64" s="59"/>
      <c r="H64" s="78"/>
      <c r="I64" s="83">
        <f>SUM(W64:BB64)</f>
        <v>5</v>
      </c>
      <c r="J64" s="62"/>
      <c r="K64" s="63"/>
      <c r="L64" s="62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4"/>
      <c r="AU64" s="64"/>
      <c r="AV64" s="63"/>
      <c r="AW64" s="63"/>
      <c r="AX64" s="87">
        <v>0.05</v>
      </c>
      <c r="AY64" s="87">
        <v>0.05</v>
      </c>
      <c r="AZ64" s="87">
        <v>0.15</v>
      </c>
      <c r="BA64" s="87">
        <v>1</v>
      </c>
      <c r="BB64" s="87">
        <v>3.75</v>
      </c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5"/>
      <c r="BN64" s="66">
        <f t="shared" si="3"/>
        <v>0</v>
      </c>
    </row>
    <row r="65" spans="1:66" s="88" customFormat="1" hidden="1">
      <c r="A65" s="88">
        <v>2.7</v>
      </c>
      <c r="B65" s="113"/>
      <c r="C65" s="113"/>
      <c r="D65" s="89">
        <v>3.3</v>
      </c>
      <c r="E65" s="57" t="s">
        <v>153</v>
      </c>
      <c r="F65" s="90"/>
      <c r="G65" s="91"/>
      <c r="H65" s="92"/>
      <c r="I65" s="93"/>
      <c r="J65" s="94"/>
      <c r="K65" s="95"/>
      <c r="L65" s="94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6"/>
      <c r="AU65" s="96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65"/>
      <c r="BN65" s="66">
        <f t="shared" si="3"/>
        <v>0</v>
      </c>
    </row>
    <row r="66" spans="1:66">
      <c r="A66" s="45" t="s">
        <v>56</v>
      </c>
      <c r="B66" s="77">
        <f>H61-BM61</f>
        <v>0</v>
      </c>
      <c r="C66" s="77" t="s">
        <v>20</v>
      </c>
      <c r="D66" s="97" t="s">
        <v>90</v>
      </c>
      <c r="E66" s="82" t="s">
        <v>93</v>
      </c>
      <c r="F66" s="58">
        <v>36126100</v>
      </c>
      <c r="G66" s="59">
        <f>F66*1.11</f>
        <v>40099971</v>
      </c>
      <c r="H66" s="78">
        <f>100*G66/$G$166</f>
        <v>0.11653580645161288</v>
      </c>
      <c r="I66" s="61">
        <f>AW10-AP10-2</f>
        <v>5</v>
      </c>
      <c r="J66" s="62"/>
      <c r="K66" s="63"/>
      <c r="L66" s="62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80">
        <f>$H$66/$I$66*AQ67</f>
        <v>1.1653580645161288E-3</v>
      </c>
      <c r="AR66" s="80">
        <f t="shared" ref="AR66:AS66" si="37">$H$66/$I$66*AR67</f>
        <v>1.1653580645161288E-3</v>
      </c>
      <c r="AS66" s="80">
        <f t="shared" si="37"/>
        <v>3.4960741935483861E-3</v>
      </c>
      <c r="AT66" s="64"/>
      <c r="AU66" s="64"/>
      <c r="AV66" s="80">
        <f t="shared" ref="AV66:AW66" si="38">$H$66/$I$66*AV67</f>
        <v>2.3307161290322575E-2</v>
      </c>
      <c r="AW66" s="80">
        <f t="shared" si="38"/>
        <v>8.7401854838709658E-2</v>
      </c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5">
        <f t="shared" si="6"/>
        <v>0.11653580645161288</v>
      </c>
      <c r="BN66" s="66">
        <f t="shared" si="3"/>
        <v>0</v>
      </c>
    </row>
    <row r="67" spans="1:66" hidden="1">
      <c r="B67" s="77"/>
      <c r="C67" s="77" t="s">
        <v>21</v>
      </c>
      <c r="D67" s="97"/>
      <c r="E67" s="82"/>
      <c r="F67" s="58"/>
      <c r="G67" s="59"/>
      <c r="H67" s="78"/>
      <c r="I67" s="83">
        <f>SUM(W67:BB67)</f>
        <v>5</v>
      </c>
      <c r="J67" s="62"/>
      <c r="K67" s="63"/>
      <c r="L67" s="62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87">
        <v>0.05</v>
      </c>
      <c r="AR67" s="87">
        <v>0.05</v>
      </c>
      <c r="AS67" s="87">
        <v>0.15</v>
      </c>
      <c r="AT67" s="64"/>
      <c r="AU67" s="64"/>
      <c r="AV67" s="87">
        <v>1</v>
      </c>
      <c r="AW67" s="87">
        <v>3.75</v>
      </c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101"/>
      <c r="BL67" s="63"/>
      <c r="BM67" s="65"/>
      <c r="BN67" s="66">
        <f t="shared" si="3"/>
        <v>0</v>
      </c>
    </row>
    <row r="68" spans="1:66">
      <c r="A68" s="45" t="s">
        <v>57</v>
      </c>
      <c r="B68" s="77">
        <f>H66-BM66</f>
        <v>0</v>
      </c>
      <c r="C68" s="77" t="s">
        <v>20</v>
      </c>
      <c r="D68" s="97" t="s">
        <v>88</v>
      </c>
      <c r="E68" s="82" t="s">
        <v>142</v>
      </c>
      <c r="F68" s="58">
        <v>113853400</v>
      </c>
      <c r="G68" s="59">
        <f>F68*1.11</f>
        <v>126377274.00000001</v>
      </c>
      <c r="H68" s="78">
        <f>100*G68/$G$166</f>
        <v>0.36726903225806451</v>
      </c>
      <c r="I68" s="61">
        <f>AX10-AQ10-2</f>
        <v>5</v>
      </c>
      <c r="J68" s="62"/>
      <c r="K68" s="63"/>
      <c r="L68" s="62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102"/>
      <c r="AC68" s="102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80">
        <f>$H$68/$I$68*AR69</f>
        <v>3.6726903225806451E-3</v>
      </c>
      <c r="AS68" s="80">
        <f>$H$68/$I$68*AS69</f>
        <v>3.6726903225806451E-3</v>
      </c>
      <c r="AT68" s="64"/>
      <c r="AU68" s="64"/>
      <c r="AV68" s="80">
        <f>$H$68/$I$68*AV69</f>
        <v>1.1018070967741935E-2</v>
      </c>
      <c r="AW68" s="80">
        <f t="shared" ref="AW68:AX68" si="39">$H$68/$I$68*AW69</f>
        <v>7.3453806451612896E-2</v>
      </c>
      <c r="AX68" s="80">
        <f t="shared" si="39"/>
        <v>0.27545177419354838</v>
      </c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5">
        <f t="shared" si="6"/>
        <v>0.36726903225806451</v>
      </c>
      <c r="BN68" s="66">
        <f t="shared" si="3"/>
        <v>0</v>
      </c>
    </row>
    <row r="69" spans="1:66" hidden="1">
      <c r="B69" s="77"/>
      <c r="C69" s="77" t="s">
        <v>21</v>
      </c>
      <c r="D69" s="97"/>
      <c r="E69" s="82"/>
      <c r="F69" s="58"/>
      <c r="G69" s="59"/>
      <c r="H69" s="78"/>
      <c r="I69" s="83">
        <f>SUM(W69:BB69)</f>
        <v>5</v>
      </c>
      <c r="J69" s="62"/>
      <c r="K69" s="63"/>
      <c r="L69" s="62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87">
        <v>0.05</v>
      </c>
      <c r="AS69" s="87">
        <v>0.05</v>
      </c>
      <c r="AT69" s="64"/>
      <c r="AU69" s="64"/>
      <c r="AV69" s="87">
        <v>0.15</v>
      </c>
      <c r="AW69" s="87">
        <v>1</v>
      </c>
      <c r="AX69" s="87">
        <v>3.75</v>
      </c>
      <c r="AY69" s="63"/>
      <c r="AZ69" s="63"/>
      <c r="BA69" s="63"/>
      <c r="BB69" s="63"/>
      <c r="BC69" s="63"/>
      <c r="BD69" s="63"/>
      <c r="BE69" s="63"/>
      <c r="BF69" s="63"/>
      <c r="BG69" s="99"/>
      <c r="BH69" s="99"/>
      <c r="BI69" s="99"/>
      <c r="BJ69" s="99"/>
      <c r="BK69" s="99"/>
      <c r="BL69" s="63"/>
      <c r="BM69" s="65"/>
      <c r="BN69" s="66">
        <f t="shared" si="3"/>
        <v>0</v>
      </c>
    </row>
    <row r="70" spans="1:66">
      <c r="A70" s="45" t="s">
        <v>58</v>
      </c>
      <c r="B70" s="77">
        <f>H68-BM68</f>
        <v>0</v>
      </c>
      <c r="C70" s="77" t="s">
        <v>20</v>
      </c>
      <c r="D70" s="97" t="s">
        <v>154</v>
      </c>
      <c r="E70" s="82" t="s">
        <v>155</v>
      </c>
      <c r="F70" s="58">
        <v>23102700</v>
      </c>
      <c r="G70" s="59">
        <f>F70*1.11</f>
        <v>25643997.000000004</v>
      </c>
      <c r="H70" s="78">
        <f>100*G70/$G$166</f>
        <v>7.452483870967741E-2</v>
      </c>
      <c r="I70" s="61">
        <f>AX10-AQ10-2</f>
        <v>5</v>
      </c>
      <c r="J70" s="62"/>
      <c r="K70" s="63"/>
      <c r="L70" s="62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80">
        <f>$H$70/$I$70*AR71</f>
        <v>7.4524838709677413E-4</v>
      </c>
      <c r="AS70" s="80">
        <f>$H$70/$I$70*AS71</f>
        <v>7.4524838709677413E-4</v>
      </c>
      <c r="AT70" s="64"/>
      <c r="AU70" s="64"/>
      <c r="AV70" s="80">
        <f>$H$70/$I$70*AV71</f>
        <v>2.2357451612903222E-3</v>
      </c>
      <c r="AW70" s="80">
        <f t="shared" ref="AW70:AX70" si="40">$H$70/$I$70*AW71</f>
        <v>1.4904967741935482E-2</v>
      </c>
      <c r="AX70" s="80">
        <f t="shared" si="40"/>
        <v>5.5893629032258058E-2</v>
      </c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5">
        <f t="shared" si="6"/>
        <v>7.452483870967741E-2</v>
      </c>
      <c r="BN70" s="66">
        <f t="shared" si="3"/>
        <v>0</v>
      </c>
    </row>
    <row r="71" spans="1:66" hidden="1">
      <c r="B71" s="77"/>
      <c r="C71" s="77" t="s">
        <v>21</v>
      </c>
      <c r="D71" s="97"/>
      <c r="E71" s="82"/>
      <c r="F71" s="58"/>
      <c r="G71" s="59"/>
      <c r="H71" s="78"/>
      <c r="I71" s="83">
        <f>SUM(W71:BB71)</f>
        <v>5</v>
      </c>
      <c r="J71" s="62"/>
      <c r="K71" s="63"/>
      <c r="L71" s="62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87">
        <v>0.05</v>
      </c>
      <c r="AS71" s="87">
        <v>0.05</v>
      </c>
      <c r="AT71" s="64"/>
      <c r="AU71" s="64"/>
      <c r="AV71" s="87">
        <v>0.15</v>
      </c>
      <c r="AW71" s="87">
        <v>1</v>
      </c>
      <c r="AX71" s="87">
        <v>3.75</v>
      </c>
      <c r="AY71" s="63"/>
      <c r="AZ71" s="63"/>
      <c r="BA71" s="63"/>
      <c r="BB71" s="63"/>
      <c r="BC71" s="63"/>
      <c r="BD71" s="99"/>
      <c r="BE71" s="99"/>
      <c r="BF71" s="99"/>
      <c r="BG71" s="63"/>
      <c r="BH71" s="63"/>
      <c r="BI71" s="63"/>
      <c r="BJ71" s="63"/>
      <c r="BK71" s="63"/>
      <c r="BL71" s="63"/>
      <c r="BM71" s="65"/>
      <c r="BN71" s="66">
        <f t="shared" si="3"/>
        <v>0</v>
      </c>
    </row>
    <row r="72" spans="1:66" s="88" customFormat="1" hidden="1">
      <c r="A72" s="88">
        <v>2.8</v>
      </c>
      <c r="B72" s="113"/>
      <c r="C72" s="113"/>
      <c r="D72" s="89" t="s">
        <v>21</v>
      </c>
      <c r="E72" s="57" t="s">
        <v>161</v>
      </c>
      <c r="F72" s="58"/>
      <c r="G72" s="59"/>
      <c r="H72" s="78"/>
      <c r="I72" s="93"/>
      <c r="J72" s="94"/>
      <c r="K72" s="95"/>
      <c r="L72" s="94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6"/>
      <c r="AU72" s="96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14"/>
      <c r="BG72" s="114"/>
      <c r="BH72" s="95"/>
      <c r="BI72" s="95"/>
      <c r="BJ72" s="95"/>
      <c r="BK72" s="95"/>
      <c r="BL72" s="95"/>
      <c r="BM72" s="65"/>
      <c r="BN72" s="66">
        <f t="shared" si="3"/>
        <v>0</v>
      </c>
    </row>
    <row r="73" spans="1:66">
      <c r="A73" s="45" t="s">
        <v>61</v>
      </c>
      <c r="B73" s="77">
        <f>H72-BM72</f>
        <v>0</v>
      </c>
      <c r="C73" s="77" t="s">
        <v>20</v>
      </c>
      <c r="D73" s="97" t="s">
        <v>162</v>
      </c>
      <c r="E73" s="82" t="s">
        <v>163</v>
      </c>
      <c r="F73" s="58">
        <v>290442431.60000002</v>
      </c>
      <c r="G73" s="59">
        <f>F73*1.11</f>
        <v>322391099.07600003</v>
      </c>
      <c r="H73" s="78">
        <f>100*G73/$G$166</f>
        <v>0.93691106967741922</v>
      </c>
      <c r="I73" s="61">
        <v>5</v>
      </c>
      <c r="J73" s="62"/>
      <c r="K73" s="63"/>
      <c r="L73" s="62"/>
      <c r="M73" s="122">
        <f>$H$73/$I$73*M74</f>
        <v>9.3691106967741938E-3</v>
      </c>
      <c r="N73" s="122">
        <f t="shared" ref="N73:Q73" si="41">$H$73/$I$73*N74</f>
        <v>9.3691106967741938E-3</v>
      </c>
      <c r="O73" s="122">
        <f t="shared" si="41"/>
        <v>2.8107332090322575E-2</v>
      </c>
      <c r="P73" s="122">
        <f t="shared" si="41"/>
        <v>0.28107332090322579</v>
      </c>
      <c r="Q73" s="122">
        <f t="shared" si="41"/>
        <v>0.60899219529032256</v>
      </c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4"/>
      <c r="AU73" s="64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5">
        <f>SUM(J73:BH73)</f>
        <v>0.93691106967741933</v>
      </c>
      <c r="BN73" s="66">
        <f t="shared" si="3"/>
        <v>0</v>
      </c>
    </row>
    <row r="74" spans="1:66" hidden="1">
      <c r="B74" s="77"/>
      <c r="C74" s="77" t="s">
        <v>21</v>
      </c>
      <c r="D74" s="97"/>
      <c r="E74" s="82"/>
      <c r="F74" s="58"/>
      <c r="G74" s="59"/>
      <c r="H74" s="78"/>
      <c r="I74" s="83">
        <f>SUM(M74:BB74)</f>
        <v>5</v>
      </c>
      <c r="J74" s="62"/>
      <c r="K74" s="63"/>
      <c r="L74" s="62"/>
      <c r="M74" s="87">
        <v>0.05</v>
      </c>
      <c r="N74" s="87">
        <v>0.05</v>
      </c>
      <c r="O74" s="87">
        <v>0.15</v>
      </c>
      <c r="P74" s="87">
        <v>1.5</v>
      </c>
      <c r="Q74" s="87">
        <v>3.25</v>
      </c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4"/>
      <c r="AU74" s="64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5"/>
      <c r="BN74" s="66">
        <f t="shared" si="3"/>
        <v>0</v>
      </c>
    </row>
    <row r="75" spans="1:66" hidden="1">
      <c r="A75" s="45" t="s">
        <v>62</v>
      </c>
      <c r="B75" s="77">
        <f>H69-BM69</f>
        <v>0</v>
      </c>
      <c r="C75" s="77" t="s">
        <v>20</v>
      </c>
      <c r="D75" s="123" t="s">
        <v>164</v>
      </c>
      <c r="E75" s="124" t="s">
        <v>165</v>
      </c>
      <c r="F75" s="58"/>
      <c r="G75" s="59"/>
      <c r="H75" s="78"/>
      <c r="I75" s="61"/>
      <c r="J75" s="62"/>
      <c r="K75" s="63"/>
      <c r="L75" s="62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4"/>
      <c r="AU75" s="64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103"/>
      <c r="BM75" s="65">
        <f t="shared" ref="BM75" si="42">SUM(J75:BL75)</f>
        <v>0</v>
      </c>
      <c r="BN75" s="66">
        <f t="shared" si="3"/>
        <v>0</v>
      </c>
    </row>
    <row r="76" spans="1:66" hidden="1">
      <c r="B76" s="77"/>
      <c r="C76" s="77" t="s">
        <v>21</v>
      </c>
      <c r="D76" s="97"/>
      <c r="E76" s="82"/>
      <c r="F76" s="58"/>
      <c r="G76" s="59"/>
      <c r="H76" s="78"/>
      <c r="I76" s="83"/>
      <c r="J76" s="62"/>
      <c r="K76" s="63"/>
      <c r="L76" s="62"/>
      <c r="M76" s="63"/>
      <c r="N76" s="63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98"/>
      <c r="AA76" s="98"/>
      <c r="AB76" s="98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4"/>
      <c r="AU76" s="64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5"/>
      <c r="BN76" s="66">
        <f t="shared" ref="BN76:BN139" si="43">BM76-H76</f>
        <v>0</v>
      </c>
    </row>
    <row r="77" spans="1:66">
      <c r="A77" s="45" t="s">
        <v>62</v>
      </c>
      <c r="B77" s="77">
        <f>H71-BM71</f>
        <v>0</v>
      </c>
      <c r="C77" s="77" t="s">
        <v>20</v>
      </c>
      <c r="D77" s="123">
        <v>1</v>
      </c>
      <c r="E77" s="124" t="s">
        <v>166</v>
      </c>
      <c r="F77" s="58">
        <v>352108755.43199998</v>
      </c>
      <c r="G77" s="59">
        <f>F77*1.11</f>
        <v>390840718.52952003</v>
      </c>
      <c r="H77" s="78">
        <f>100*G77/$G$166</f>
        <v>1.1358346949419353</v>
      </c>
      <c r="I77" s="61">
        <v>5</v>
      </c>
      <c r="J77" s="62"/>
      <c r="K77" s="63"/>
      <c r="L77" s="62"/>
      <c r="M77" s="63"/>
      <c r="N77" s="122">
        <f>$H$77/$I$77*N78</f>
        <v>1.1358346949419354E-2</v>
      </c>
      <c r="O77" s="122">
        <f t="shared" ref="O77:R77" si="44">$H$77/$I$77*O78</f>
        <v>1.1358346949419354E-2</v>
      </c>
      <c r="P77" s="122">
        <f t="shared" si="44"/>
        <v>3.4075040848258062E-2</v>
      </c>
      <c r="Q77" s="122">
        <f t="shared" si="44"/>
        <v>0.34075040848258065</v>
      </c>
      <c r="R77" s="122">
        <f t="shared" si="44"/>
        <v>0.73829255171225805</v>
      </c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4"/>
      <c r="AU77" s="64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103"/>
      <c r="BM77" s="65">
        <f t="shared" ref="BM77" si="45">SUM(J77:BL77)</f>
        <v>1.1358346949419356</v>
      </c>
      <c r="BN77" s="66">
        <f t="shared" si="43"/>
        <v>0</v>
      </c>
    </row>
    <row r="78" spans="1:66" hidden="1">
      <c r="B78" s="77"/>
      <c r="C78" s="77" t="s">
        <v>21</v>
      </c>
      <c r="D78" s="97"/>
      <c r="E78" s="82"/>
      <c r="F78" s="58"/>
      <c r="G78" s="59"/>
      <c r="H78" s="78"/>
      <c r="I78" s="83">
        <f>SUM(M78:BB78)</f>
        <v>5</v>
      </c>
      <c r="J78" s="62"/>
      <c r="K78" s="63"/>
      <c r="L78" s="62"/>
      <c r="M78" s="63"/>
      <c r="N78" s="87">
        <v>0.05</v>
      </c>
      <c r="O78" s="87">
        <v>0.05</v>
      </c>
      <c r="P78" s="87">
        <v>0.15</v>
      </c>
      <c r="Q78" s="87">
        <v>1.5</v>
      </c>
      <c r="R78" s="87">
        <v>3.25</v>
      </c>
      <c r="S78" s="87"/>
      <c r="T78" s="87"/>
      <c r="U78" s="87"/>
      <c r="V78" s="87"/>
      <c r="W78" s="87"/>
      <c r="X78" s="87"/>
      <c r="Y78" s="87"/>
      <c r="Z78" s="98"/>
      <c r="AA78" s="98"/>
      <c r="AB78" s="98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4"/>
      <c r="AU78" s="64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5"/>
      <c r="BN78" s="66">
        <f t="shared" si="43"/>
        <v>0</v>
      </c>
    </row>
    <row r="79" spans="1:66">
      <c r="A79" s="45" t="s">
        <v>62</v>
      </c>
      <c r="B79" s="77">
        <f>H17-BM17</f>
        <v>0</v>
      </c>
      <c r="C79" s="77" t="s">
        <v>20</v>
      </c>
      <c r="D79" s="123">
        <v>2</v>
      </c>
      <c r="E79" s="124" t="s">
        <v>167</v>
      </c>
      <c r="F79" s="125">
        <v>910210209.10288</v>
      </c>
      <c r="G79" s="59">
        <f>F79*1.11</f>
        <v>1010333332.1041969</v>
      </c>
      <c r="H79" s="78">
        <f>100*G79/$G$166</f>
        <v>2.9361619648479995</v>
      </c>
      <c r="I79" s="126">
        <v>5</v>
      </c>
      <c r="J79" s="62"/>
      <c r="K79" s="63"/>
      <c r="L79" s="62"/>
      <c r="M79" s="63"/>
      <c r="N79" s="63"/>
      <c r="O79" s="63"/>
      <c r="P79" s="122">
        <f>$H$79/$I$79*P80</f>
        <v>2.9361619648479997E-2</v>
      </c>
      <c r="Q79" s="122">
        <f t="shared" ref="Q79:T79" si="46">$H$79/$I$79*Q80</f>
        <v>2.9361619648479997E-2</v>
      </c>
      <c r="R79" s="122">
        <f t="shared" si="46"/>
        <v>8.8084858945439992E-2</v>
      </c>
      <c r="S79" s="122">
        <f t="shared" si="46"/>
        <v>1.4093577431270399</v>
      </c>
      <c r="T79" s="122">
        <f t="shared" si="46"/>
        <v>1.3799961234785598</v>
      </c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4"/>
      <c r="AU79" s="64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103"/>
      <c r="BM79" s="65">
        <f>SUM(J79:BL79)</f>
        <v>2.936161964848</v>
      </c>
      <c r="BN79" s="66">
        <f t="shared" si="43"/>
        <v>0</v>
      </c>
    </row>
    <row r="80" spans="1:66" hidden="1">
      <c r="B80" s="77"/>
      <c r="C80" s="77" t="s">
        <v>21</v>
      </c>
      <c r="D80" s="97"/>
      <c r="E80" s="82"/>
      <c r="F80" s="125"/>
      <c r="G80" s="127"/>
      <c r="H80" s="128"/>
      <c r="I80" s="83">
        <f>SUM(M80:BB80)</f>
        <v>5</v>
      </c>
      <c r="J80" s="62"/>
      <c r="K80" s="63"/>
      <c r="L80" s="62"/>
      <c r="M80" s="63"/>
      <c r="N80" s="63"/>
      <c r="O80" s="87"/>
      <c r="P80" s="87">
        <v>0.05</v>
      </c>
      <c r="Q80" s="87">
        <v>0.05</v>
      </c>
      <c r="R80" s="87">
        <v>0.15</v>
      </c>
      <c r="S80" s="87">
        <v>2.4</v>
      </c>
      <c r="T80" s="87">
        <v>2.35</v>
      </c>
      <c r="U80" s="87"/>
      <c r="V80" s="87"/>
      <c r="W80" s="87"/>
      <c r="X80" s="87"/>
      <c r="Y80" s="87"/>
      <c r="Z80" s="98"/>
      <c r="AA80" s="98"/>
      <c r="AB80" s="98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4"/>
      <c r="AU80" s="64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5"/>
      <c r="BN80" s="66">
        <f t="shared" si="43"/>
        <v>0</v>
      </c>
    </row>
    <row r="81" spans="1:66">
      <c r="A81" s="45" t="s">
        <v>62</v>
      </c>
      <c r="B81" s="77">
        <f>H73-BM73</f>
        <v>0</v>
      </c>
      <c r="C81" s="77" t="s">
        <v>20</v>
      </c>
      <c r="D81" s="123">
        <v>3</v>
      </c>
      <c r="E81" s="124" t="s">
        <v>11</v>
      </c>
      <c r="F81" s="58">
        <v>819331379.30200005</v>
      </c>
      <c r="G81" s="59">
        <f>F81*1.11</f>
        <v>909457831.02522016</v>
      </c>
      <c r="H81" s="78">
        <f>100*G81/$G$166</f>
        <v>2.6430044493612903</v>
      </c>
      <c r="I81" s="61">
        <v>7</v>
      </c>
      <c r="J81" s="62"/>
      <c r="K81" s="63"/>
      <c r="L81" s="62"/>
      <c r="M81" s="63"/>
      <c r="N81" s="63"/>
      <c r="O81" s="63"/>
      <c r="P81" s="63"/>
      <c r="Q81" s="63"/>
      <c r="R81" s="122">
        <f>$H$81/$I$81*R82</f>
        <v>1.8878603209723503E-2</v>
      </c>
      <c r="S81" s="122">
        <f t="shared" ref="S81:X81" si="47">$H$81/$I$81*S82</f>
        <v>0</v>
      </c>
      <c r="T81" s="122">
        <f t="shared" si="47"/>
        <v>0</v>
      </c>
      <c r="U81" s="122">
        <f t="shared" si="47"/>
        <v>0.43420787382364051</v>
      </c>
      <c r="V81" s="122">
        <f t="shared" si="47"/>
        <v>0.33981485777502302</v>
      </c>
      <c r="W81" s="122">
        <f t="shared" si="47"/>
        <v>0.90617295406672804</v>
      </c>
      <c r="X81" s="122">
        <f t="shared" si="47"/>
        <v>0.94393016048617506</v>
      </c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4"/>
      <c r="AU81" s="64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103"/>
      <c r="BM81" s="65">
        <f t="shared" ref="BM81" si="48">SUM(J81:BL81)</f>
        <v>2.6430044493612903</v>
      </c>
      <c r="BN81" s="66">
        <f t="shared" si="43"/>
        <v>0</v>
      </c>
    </row>
    <row r="82" spans="1:66" hidden="1">
      <c r="B82" s="77"/>
      <c r="C82" s="77" t="s">
        <v>21</v>
      </c>
      <c r="D82" s="97"/>
      <c r="E82" s="82"/>
      <c r="F82" s="58"/>
      <c r="G82" s="59"/>
      <c r="H82" s="78"/>
      <c r="I82" s="83">
        <f>SUM(M82:BB82)</f>
        <v>7</v>
      </c>
      <c r="J82" s="62"/>
      <c r="K82" s="63"/>
      <c r="L82" s="62"/>
      <c r="M82" s="63"/>
      <c r="N82" s="63"/>
      <c r="O82" s="87"/>
      <c r="P82" s="87"/>
      <c r="Q82" s="87"/>
      <c r="R82" s="87">
        <v>0.05</v>
      </c>
      <c r="S82" s="87">
        <v>0</v>
      </c>
      <c r="T82" s="87">
        <v>0</v>
      </c>
      <c r="U82" s="98">
        <v>1.1499999999999999</v>
      </c>
      <c r="V82" s="98">
        <v>0.9</v>
      </c>
      <c r="W82" s="98">
        <v>2.4</v>
      </c>
      <c r="X82" s="98">
        <v>2.5</v>
      </c>
      <c r="Y82" s="87"/>
      <c r="Z82" s="98"/>
      <c r="AA82" s="98"/>
      <c r="AB82" s="98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4"/>
      <c r="AU82" s="64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5"/>
      <c r="BN82" s="66">
        <f t="shared" si="43"/>
        <v>0</v>
      </c>
    </row>
    <row r="83" spans="1:66">
      <c r="A83" s="45" t="s">
        <v>62</v>
      </c>
      <c r="B83" s="77">
        <f>H67-BM67</f>
        <v>0</v>
      </c>
      <c r="C83" s="77" t="s">
        <v>20</v>
      </c>
      <c r="D83" s="123">
        <v>4</v>
      </c>
      <c r="E83" s="124" t="s">
        <v>168</v>
      </c>
      <c r="F83" s="58">
        <v>1249152365.1180003</v>
      </c>
      <c r="G83" s="59">
        <f>F83*1.11</f>
        <v>1386559125.2809803</v>
      </c>
      <c r="H83" s="78">
        <f>100*G83/$G$166</f>
        <v>4.0295237584451611</v>
      </c>
      <c r="I83" s="61">
        <v>7</v>
      </c>
      <c r="J83" s="62"/>
      <c r="K83" s="63"/>
      <c r="L83" s="62"/>
      <c r="M83" s="63"/>
      <c r="N83" s="63"/>
      <c r="O83" s="63"/>
      <c r="P83" s="63"/>
      <c r="Q83" s="63"/>
      <c r="R83" s="63"/>
      <c r="S83" s="63"/>
      <c r="T83" s="122">
        <f>$H$83/$I$83*T84</f>
        <v>0</v>
      </c>
      <c r="U83" s="122">
        <f t="shared" ref="U83:Z83" si="49">$H$83/$I$83*U84</f>
        <v>0.20147618792225805</v>
      </c>
      <c r="V83" s="122">
        <f t="shared" si="49"/>
        <v>0.37417006328419355</v>
      </c>
      <c r="W83" s="122">
        <f t="shared" si="49"/>
        <v>0.51808162608580643</v>
      </c>
      <c r="X83" s="122">
        <f t="shared" si="49"/>
        <v>0.77712243912870971</v>
      </c>
      <c r="Y83" s="122">
        <f t="shared" si="49"/>
        <v>1.1512925024129033</v>
      </c>
      <c r="Z83" s="122">
        <f t="shared" si="49"/>
        <v>1.0073809396112903</v>
      </c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4"/>
      <c r="AU83" s="64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103"/>
      <c r="BM83" s="65">
        <f t="shared" ref="BM83" si="50">SUM(J83:BL83)</f>
        <v>4.0295237584451611</v>
      </c>
      <c r="BN83" s="66">
        <f t="shared" si="43"/>
        <v>0</v>
      </c>
    </row>
    <row r="84" spans="1:66" hidden="1">
      <c r="B84" s="77"/>
      <c r="C84" s="77" t="s">
        <v>21</v>
      </c>
      <c r="D84" s="97"/>
      <c r="E84" s="82"/>
      <c r="F84" s="58"/>
      <c r="G84" s="59"/>
      <c r="H84" s="78"/>
      <c r="I84" s="83">
        <f>SUM(M84:BB84)</f>
        <v>7</v>
      </c>
      <c r="J84" s="62"/>
      <c r="K84" s="63"/>
      <c r="L84" s="62"/>
      <c r="M84" s="63"/>
      <c r="N84" s="63"/>
      <c r="O84" s="87"/>
      <c r="P84" s="87"/>
      <c r="Q84" s="87"/>
      <c r="R84" s="87"/>
      <c r="S84" s="87"/>
      <c r="T84" s="87">
        <v>0</v>
      </c>
      <c r="U84" s="87">
        <v>0.35</v>
      </c>
      <c r="V84" s="87">
        <v>0.65</v>
      </c>
      <c r="W84" s="98">
        <v>0.9</v>
      </c>
      <c r="X84" s="98">
        <v>1.35</v>
      </c>
      <c r="Y84" s="98">
        <v>2</v>
      </c>
      <c r="Z84" s="98">
        <v>1.75</v>
      </c>
      <c r="AA84" s="98"/>
      <c r="AB84" s="98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4"/>
      <c r="AU84" s="64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5"/>
      <c r="BN84" s="66">
        <f t="shared" si="43"/>
        <v>0</v>
      </c>
    </row>
    <row r="85" spans="1:66">
      <c r="A85" s="45" t="s">
        <v>62</v>
      </c>
      <c r="B85" s="77">
        <f>H69-BM69</f>
        <v>0</v>
      </c>
      <c r="C85" s="77" t="s">
        <v>20</v>
      </c>
      <c r="D85" s="123">
        <v>5</v>
      </c>
      <c r="E85" s="124" t="s">
        <v>169</v>
      </c>
      <c r="F85" s="58">
        <v>1606373851.6919999</v>
      </c>
      <c r="G85" s="59">
        <f>F85*1.11</f>
        <v>1783074975.3781199</v>
      </c>
      <c r="H85" s="78">
        <f>100*G85/$G$166</f>
        <v>5.1818511344903211</v>
      </c>
      <c r="I85" s="61">
        <v>7</v>
      </c>
      <c r="J85" s="62"/>
      <c r="K85" s="63"/>
      <c r="L85" s="62"/>
      <c r="M85" s="63"/>
      <c r="N85" s="63"/>
      <c r="O85" s="63"/>
      <c r="P85" s="63"/>
      <c r="Q85" s="63"/>
      <c r="R85" s="63"/>
      <c r="S85" s="63"/>
      <c r="T85" s="63"/>
      <c r="U85" s="63"/>
      <c r="V85" s="122">
        <f>$H$85/$I$85*V86</f>
        <v>3.7013222389216581E-2</v>
      </c>
      <c r="W85" s="122">
        <f t="shared" ref="W85:AA85" si="51">$H$85/$I$85*W86</f>
        <v>7.4026444778433162E-2</v>
      </c>
      <c r="X85" s="122">
        <f t="shared" si="51"/>
        <v>0.37013222389216577</v>
      </c>
      <c r="Y85" s="122">
        <f t="shared" si="51"/>
        <v>0.74026444778433154</v>
      </c>
      <c r="Z85" s="122">
        <f t="shared" si="51"/>
        <v>0.88831733734119778</v>
      </c>
      <c r="AA85" s="122">
        <f t="shared" si="51"/>
        <v>0.74026444778433154</v>
      </c>
      <c r="AB85" s="122">
        <f>$H$85/$I$85*AB86</f>
        <v>2.3318330105206444</v>
      </c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4"/>
      <c r="AU85" s="64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103"/>
      <c r="BM85" s="65">
        <f t="shared" ref="BM85" si="52">SUM(J85:BL85)</f>
        <v>5.1818511344903211</v>
      </c>
      <c r="BN85" s="66">
        <f t="shared" si="43"/>
        <v>0</v>
      </c>
    </row>
    <row r="86" spans="1:66" hidden="1">
      <c r="B86" s="77"/>
      <c r="C86" s="77" t="s">
        <v>21</v>
      </c>
      <c r="D86" s="97"/>
      <c r="E86" s="82"/>
      <c r="F86" s="58"/>
      <c r="G86" s="59"/>
      <c r="H86" s="78"/>
      <c r="I86" s="83">
        <f>SUM(M86:BB86)</f>
        <v>7</v>
      </c>
      <c r="J86" s="62"/>
      <c r="K86" s="63"/>
      <c r="L86" s="62"/>
      <c r="M86" s="63"/>
      <c r="N86" s="63"/>
      <c r="O86" s="87"/>
      <c r="P86" s="87"/>
      <c r="Q86" s="87"/>
      <c r="R86" s="87"/>
      <c r="S86" s="87"/>
      <c r="T86" s="87"/>
      <c r="U86" s="87"/>
      <c r="V86" s="87">
        <v>0.05</v>
      </c>
      <c r="W86" s="87">
        <v>0.1</v>
      </c>
      <c r="X86" s="87">
        <v>0.5</v>
      </c>
      <c r="Y86" s="98">
        <v>1</v>
      </c>
      <c r="Z86" s="98">
        <v>1.2</v>
      </c>
      <c r="AA86" s="98">
        <v>1</v>
      </c>
      <c r="AB86" s="98">
        <v>3.15</v>
      </c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4"/>
      <c r="AU86" s="64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5"/>
      <c r="BN86" s="66">
        <f t="shared" si="43"/>
        <v>0</v>
      </c>
    </row>
    <row r="87" spans="1:66">
      <c r="A87" s="45" t="s">
        <v>62</v>
      </c>
      <c r="B87" s="77">
        <f>H71-BM71</f>
        <v>0</v>
      </c>
      <c r="C87" s="77" t="s">
        <v>20</v>
      </c>
      <c r="D87" s="123">
        <v>6</v>
      </c>
      <c r="E87" s="124" t="s">
        <v>170</v>
      </c>
      <c r="F87" s="58">
        <v>201271478.67784217</v>
      </c>
      <c r="G87" s="59">
        <f>F87*1.11</f>
        <v>223411341.33240482</v>
      </c>
      <c r="H87" s="78">
        <f>100*G87/$G$166</f>
        <v>0.64926283444465205</v>
      </c>
      <c r="I87" s="61">
        <v>9</v>
      </c>
      <c r="J87" s="62"/>
      <c r="K87" s="63"/>
      <c r="L87" s="62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122">
        <f>$H$87/$I$87*AC88</f>
        <v>3.6070157469147339E-3</v>
      </c>
      <c r="AD87" s="122">
        <f t="shared" ref="AD87:AK87" si="53">$H$87/$I$87*AD88</f>
        <v>7.2140314938294679E-3</v>
      </c>
      <c r="AE87" s="122">
        <f t="shared" si="53"/>
        <v>1.0821047240744201E-2</v>
      </c>
      <c r="AF87" s="122">
        <f t="shared" si="53"/>
        <v>1.4428062987658936E-2</v>
      </c>
      <c r="AG87" s="122">
        <f t="shared" si="53"/>
        <v>0</v>
      </c>
      <c r="AH87" s="122">
        <f t="shared" si="53"/>
        <v>0</v>
      </c>
      <c r="AI87" s="122">
        <f t="shared" si="53"/>
        <v>0</v>
      </c>
      <c r="AJ87" s="122">
        <f t="shared" si="53"/>
        <v>0.27774021251243453</v>
      </c>
      <c r="AK87" s="122">
        <f t="shared" si="53"/>
        <v>0.33545246446307025</v>
      </c>
      <c r="AL87" s="63"/>
      <c r="AM87" s="63"/>
      <c r="AN87" s="63"/>
      <c r="AO87" s="63"/>
      <c r="AP87" s="63"/>
      <c r="AQ87" s="63"/>
      <c r="AR87" s="63"/>
      <c r="AS87" s="63"/>
      <c r="AT87" s="64"/>
      <c r="AU87" s="64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103"/>
      <c r="BM87" s="65">
        <f t="shared" ref="BM87" si="54">SUM(J87:BL87)</f>
        <v>0.64926283444465205</v>
      </c>
      <c r="BN87" s="66">
        <f t="shared" si="43"/>
        <v>0</v>
      </c>
    </row>
    <row r="88" spans="1:66" hidden="1">
      <c r="B88" s="77"/>
      <c r="C88" s="77" t="s">
        <v>21</v>
      </c>
      <c r="D88" s="97"/>
      <c r="E88" s="82"/>
      <c r="F88" s="58"/>
      <c r="G88" s="59"/>
      <c r="H88" s="78"/>
      <c r="I88" s="83">
        <f>SUM(M88:BB88)</f>
        <v>9</v>
      </c>
      <c r="J88" s="62"/>
      <c r="K88" s="63"/>
      <c r="L88" s="62"/>
      <c r="M88" s="63"/>
      <c r="N88" s="63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98"/>
      <c r="Z88" s="98"/>
      <c r="AA88" s="98"/>
      <c r="AB88" s="98"/>
      <c r="AC88" s="87">
        <v>0.05</v>
      </c>
      <c r="AD88" s="87">
        <v>0.1</v>
      </c>
      <c r="AE88" s="87">
        <v>0.15</v>
      </c>
      <c r="AF88" s="98">
        <v>0.2</v>
      </c>
      <c r="AG88" s="98">
        <v>0</v>
      </c>
      <c r="AH88" s="98">
        <v>0</v>
      </c>
      <c r="AI88" s="98">
        <v>0</v>
      </c>
      <c r="AJ88" s="98">
        <v>3.85</v>
      </c>
      <c r="AK88" s="98">
        <v>4.6500000000000004</v>
      </c>
      <c r="AL88" s="63"/>
      <c r="AM88" s="63"/>
      <c r="AN88" s="63"/>
      <c r="AO88" s="63"/>
      <c r="AP88" s="63"/>
      <c r="AQ88" s="63"/>
      <c r="AR88" s="63"/>
      <c r="AS88" s="63"/>
      <c r="AT88" s="64"/>
      <c r="AU88" s="64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5"/>
      <c r="BN88" s="66">
        <f t="shared" si="43"/>
        <v>0</v>
      </c>
    </row>
    <row r="89" spans="1:66">
      <c r="A89" s="45" t="s">
        <v>63</v>
      </c>
      <c r="D89" s="123" t="s">
        <v>171</v>
      </c>
      <c r="E89" s="124" t="s">
        <v>172</v>
      </c>
      <c r="F89" s="58">
        <v>253241120</v>
      </c>
      <c r="G89" s="59">
        <f>F89*1.11</f>
        <v>281097643.20000005</v>
      </c>
      <c r="H89" s="78">
        <f>100*G89/$G$166</f>
        <v>0.8169068387096774</v>
      </c>
      <c r="I89" s="61">
        <v>15</v>
      </c>
      <c r="J89" s="62"/>
      <c r="K89" s="63"/>
      <c r="L89" s="62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122">
        <f>$H$89/$I$89*Z90</f>
        <v>0</v>
      </c>
      <c r="AA89" s="122">
        <f t="shared" ref="AA89:AN89" si="55">$H$89/$I$89*AA90</f>
        <v>0</v>
      </c>
      <c r="AB89" s="122">
        <f t="shared" si="55"/>
        <v>0</v>
      </c>
      <c r="AC89" s="122">
        <f t="shared" si="55"/>
        <v>2.7230227956989247E-2</v>
      </c>
      <c r="AD89" s="122">
        <f t="shared" si="55"/>
        <v>5.7183478709677424E-2</v>
      </c>
      <c r="AE89" s="122">
        <f t="shared" si="55"/>
        <v>2.7230227956989247E-2</v>
      </c>
      <c r="AF89" s="122">
        <f t="shared" si="55"/>
        <v>1.3615113978494624E-2</v>
      </c>
      <c r="AG89" s="122">
        <f t="shared" si="55"/>
        <v>0</v>
      </c>
      <c r="AH89" s="122">
        <f t="shared" si="55"/>
        <v>0</v>
      </c>
      <c r="AI89" s="122">
        <f t="shared" si="55"/>
        <v>0</v>
      </c>
      <c r="AJ89" s="122">
        <f t="shared" si="55"/>
        <v>0.12253602580645162</v>
      </c>
      <c r="AK89" s="122">
        <f t="shared" si="55"/>
        <v>7.8967661075268814E-2</v>
      </c>
      <c r="AL89" s="122">
        <f t="shared" si="55"/>
        <v>0.10892091182795699</v>
      </c>
      <c r="AM89" s="122">
        <f t="shared" si="55"/>
        <v>0.16338136774193548</v>
      </c>
      <c r="AN89" s="122">
        <f t="shared" si="55"/>
        <v>0.21784182365591398</v>
      </c>
      <c r="AO89" s="63"/>
      <c r="AP89" s="63"/>
      <c r="AQ89" s="63"/>
      <c r="AR89" s="63"/>
      <c r="AS89" s="63"/>
      <c r="AT89" s="64"/>
      <c r="AU89" s="64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5">
        <f t="shared" ref="BM89:BM162" si="56">SUM(J89:BL89)</f>
        <v>0.8169068387096774</v>
      </c>
      <c r="BN89" s="66">
        <f t="shared" si="43"/>
        <v>0</v>
      </c>
    </row>
    <row r="90" spans="1:66" hidden="1">
      <c r="D90" s="97"/>
      <c r="E90" s="82"/>
      <c r="F90" s="58"/>
      <c r="G90" s="59"/>
      <c r="H90" s="78"/>
      <c r="I90" s="83">
        <f>SUM(M90:BB90)</f>
        <v>15</v>
      </c>
      <c r="J90" s="62"/>
      <c r="K90" s="63"/>
      <c r="L90" s="62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87">
        <v>0</v>
      </c>
      <c r="AA90" s="87">
        <v>0</v>
      </c>
      <c r="AB90" s="87">
        <v>0</v>
      </c>
      <c r="AC90" s="87">
        <v>0.5</v>
      </c>
      <c r="AD90" s="87">
        <v>1.05</v>
      </c>
      <c r="AE90" s="87">
        <v>0.5</v>
      </c>
      <c r="AF90" s="87">
        <v>0.25</v>
      </c>
      <c r="AG90" s="87">
        <v>0</v>
      </c>
      <c r="AH90" s="87">
        <v>0</v>
      </c>
      <c r="AI90" s="87">
        <v>0</v>
      </c>
      <c r="AJ90" s="87">
        <v>2.25</v>
      </c>
      <c r="AK90" s="87">
        <v>1.45</v>
      </c>
      <c r="AL90" s="98">
        <v>2</v>
      </c>
      <c r="AM90" s="98">
        <v>3</v>
      </c>
      <c r="AN90" s="98">
        <v>4</v>
      </c>
      <c r="AO90" s="63"/>
      <c r="AP90" s="63"/>
      <c r="AQ90" s="63"/>
      <c r="AR90" s="63"/>
      <c r="AS90" s="63"/>
      <c r="AT90" s="64"/>
      <c r="AU90" s="64"/>
      <c r="AV90" s="63"/>
      <c r="AW90" s="63"/>
      <c r="AX90" s="63"/>
      <c r="AY90" s="63"/>
      <c r="AZ90" s="63"/>
      <c r="BA90" s="63"/>
      <c r="BB90" s="63"/>
      <c r="BC90" s="63"/>
      <c r="BD90" s="63"/>
      <c r="BE90" s="99"/>
      <c r="BF90" s="63"/>
      <c r="BG90" s="99"/>
      <c r="BH90" s="99"/>
      <c r="BI90" s="63"/>
      <c r="BJ90" s="63"/>
      <c r="BK90" s="63"/>
      <c r="BL90" s="63"/>
      <c r="BM90" s="65"/>
      <c r="BN90" s="66">
        <f t="shared" si="43"/>
        <v>0</v>
      </c>
    </row>
    <row r="91" spans="1:66" s="88" customFormat="1" hidden="1">
      <c r="A91" s="88">
        <v>2.8</v>
      </c>
      <c r="B91" s="113"/>
      <c r="C91" s="113"/>
      <c r="D91" s="89" t="s">
        <v>173</v>
      </c>
      <c r="E91" s="57" t="s">
        <v>174</v>
      </c>
      <c r="F91" s="58"/>
      <c r="G91" s="59"/>
      <c r="H91" s="78"/>
      <c r="I91" s="93"/>
      <c r="J91" s="94"/>
      <c r="K91" s="95"/>
      <c r="L91" s="94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96"/>
      <c r="AU91" s="96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114"/>
      <c r="BG91" s="114"/>
      <c r="BH91" s="95"/>
      <c r="BI91" s="95"/>
      <c r="BJ91" s="95"/>
      <c r="BK91" s="95"/>
      <c r="BL91" s="95"/>
      <c r="BM91" s="65"/>
      <c r="BN91" s="66">
        <f t="shared" si="43"/>
        <v>0</v>
      </c>
    </row>
    <row r="92" spans="1:66">
      <c r="A92" s="45" t="s">
        <v>61</v>
      </c>
      <c r="B92" s="77">
        <f>H91-BM91</f>
        <v>0</v>
      </c>
      <c r="C92" s="77" t="s">
        <v>20</v>
      </c>
      <c r="D92" s="97" t="s">
        <v>162</v>
      </c>
      <c r="E92" s="82" t="s">
        <v>175</v>
      </c>
      <c r="F92" s="58">
        <v>1120421732.9000001</v>
      </c>
      <c r="G92" s="59">
        <f>F92*1.11</f>
        <v>1243668123.5190003</v>
      </c>
      <c r="H92" s="78">
        <f>100*G92/$G$166</f>
        <v>3.6142636545161291</v>
      </c>
      <c r="I92" s="61">
        <v>23</v>
      </c>
      <c r="J92" s="62"/>
      <c r="K92" s="63"/>
      <c r="L92" s="62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122">
        <f>$H$92/$I$92*W93</f>
        <v>7.8570949011220192E-3</v>
      </c>
      <c r="X92" s="122">
        <f>$H$92/$I$92*X93</f>
        <v>7.8570949011220192E-3</v>
      </c>
      <c r="Y92" s="122">
        <f t="shared" ref="Y92:AS92" si="57">$H$92/$I$92*Y93</f>
        <v>1.5714189802244038E-2</v>
      </c>
      <c r="Z92" s="122">
        <f t="shared" si="57"/>
        <v>0</v>
      </c>
      <c r="AA92" s="122">
        <f t="shared" si="57"/>
        <v>0</v>
      </c>
      <c r="AB92" s="122">
        <f t="shared" si="57"/>
        <v>0</v>
      </c>
      <c r="AC92" s="122">
        <f t="shared" si="57"/>
        <v>1.5714189802244038E-2</v>
      </c>
      <c r="AD92" s="122">
        <f t="shared" si="57"/>
        <v>0.11785642351683029</v>
      </c>
      <c r="AE92" s="122">
        <f t="shared" si="57"/>
        <v>0.11785642351683029</v>
      </c>
      <c r="AF92" s="122">
        <f t="shared" si="57"/>
        <v>0.11785642351683029</v>
      </c>
      <c r="AG92" s="122">
        <f t="shared" si="57"/>
        <v>0</v>
      </c>
      <c r="AH92" s="122">
        <f t="shared" si="57"/>
        <v>0</v>
      </c>
      <c r="AI92" s="122">
        <f t="shared" si="57"/>
        <v>0</v>
      </c>
      <c r="AJ92" s="122">
        <f t="shared" si="57"/>
        <v>0.43214021956171106</v>
      </c>
      <c r="AK92" s="122">
        <f t="shared" si="57"/>
        <v>0.27499832153927067</v>
      </c>
      <c r="AL92" s="122">
        <f t="shared" si="57"/>
        <v>0.19642737252805048</v>
      </c>
      <c r="AM92" s="122">
        <f t="shared" si="57"/>
        <v>0.19642737252805048</v>
      </c>
      <c r="AN92" s="122">
        <f t="shared" si="57"/>
        <v>0.15714189802244038</v>
      </c>
      <c r="AO92" s="122">
        <f t="shared" si="57"/>
        <v>0.23571284703366058</v>
      </c>
      <c r="AP92" s="122">
        <f t="shared" si="57"/>
        <v>0.30642670114375875</v>
      </c>
      <c r="AQ92" s="122">
        <f t="shared" si="57"/>
        <v>0.31428379604488077</v>
      </c>
      <c r="AR92" s="122">
        <f t="shared" si="57"/>
        <v>0.47142569406732115</v>
      </c>
      <c r="AS92" s="122">
        <f t="shared" si="57"/>
        <v>0.62856759208976154</v>
      </c>
      <c r="AT92" s="64"/>
      <c r="AU92" s="64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5">
        <f t="shared" si="56"/>
        <v>3.6142636545161286</v>
      </c>
      <c r="BN92" s="66">
        <f t="shared" si="43"/>
        <v>0</v>
      </c>
    </row>
    <row r="93" spans="1:66" hidden="1">
      <c r="B93" s="77"/>
      <c r="C93" s="77" t="s">
        <v>21</v>
      </c>
      <c r="D93" s="97"/>
      <c r="E93" s="82"/>
      <c r="F93" s="58"/>
      <c r="G93" s="59"/>
      <c r="H93" s="78"/>
      <c r="I93" s="83">
        <f>SUM(M93:BB93)</f>
        <v>23</v>
      </c>
      <c r="J93" s="62"/>
      <c r="K93" s="63"/>
      <c r="L93" s="62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87">
        <v>0.05</v>
      </c>
      <c r="X93" s="87">
        <v>0.05</v>
      </c>
      <c r="Y93" s="87">
        <v>0.1</v>
      </c>
      <c r="Z93" s="87">
        <v>0</v>
      </c>
      <c r="AA93" s="87">
        <v>0</v>
      </c>
      <c r="AB93" s="87">
        <v>0</v>
      </c>
      <c r="AC93" s="87">
        <v>0.1</v>
      </c>
      <c r="AD93" s="87">
        <v>0.75</v>
      </c>
      <c r="AE93" s="87">
        <v>0.75</v>
      </c>
      <c r="AF93" s="87">
        <v>0.75</v>
      </c>
      <c r="AG93" s="87">
        <v>0</v>
      </c>
      <c r="AH93" s="87">
        <v>0</v>
      </c>
      <c r="AI93" s="87">
        <v>0</v>
      </c>
      <c r="AJ93" s="87">
        <v>2.75</v>
      </c>
      <c r="AK93" s="87">
        <v>1.75</v>
      </c>
      <c r="AL93" s="87">
        <v>1.25</v>
      </c>
      <c r="AM93" s="87">
        <v>1.25</v>
      </c>
      <c r="AN93" s="87">
        <v>1</v>
      </c>
      <c r="AO93" s="87">
        <v>1.5</v>
      </c>
      <c r="AP93" s="98">
        <v>1.95</v>
      </c>
      <c r="AQ93" s="98">
        <v>2</v>
      </c>
      <c r="AR93" s="98">
        <v>3</v>
      </c>
      <c r="AS93" s="98">
        <v>4</v>
      </c>
      <c r="AT93" s="64"/>
      <c r="AU93" s="64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5"/>
      <c r="BN93" s="66">
        <f t="shared" si="43"/>
        <v>0</v>
      </c>
    </row>
    <row r="94" spans="1:66">
      <c r="A94" s="45" t="s">
        <v>62</v>
      </c>
      <c r="B94" s="77">
        <f>H92-BM92</f>
        <v>0</v>
      </c>
      <c r="C94" s="77" t="s">
        <v>20</v>
      </c>
      <c r="D94" s="123" t="s">
        <v>164</v>
      </c>
      <c r="E94" s="124" t="s">
        <v>176</v>
      </c>
      <c r="F94" s="58">
        <v>500732176.29999995</v>
      </c>
      <c r="G94" s="59">
        <f>F94*1.11</f>
        <v>555812715.69299996</v>
      </c>
      <c r="H94" s="78">
        <f>100*G94/$G$166</f>
        <v>1.6152650848387091</v>
      </c>
      <c r="I94" s="61">
        <v>20</v>
      </c>
      <c r="J94" s="62"/>
      <c r="K94" s="63"/>
      <c r="L94" s="62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122">
        <f>$H$94/$I$94*Z95</f>
        <v>0</v>
      </c>
      <c r="AA94" s="122">
        <f t="shared" ref="AA94:AS94" si="58">$H$94/$I$94*AA95</f>
        <v>0</v>
      </c>
      <c r="AB94" s="122">
        <f t="shared" si="58"/>
        <v>0</v>
      </c>
      <c r="AC94" s="122">
        <f t="shared" si="58"/>
        <v>1.6152650848387091E-2</v>
      </c>
      <c r="AD94" s="122">
        <f t="shared" si="58"/>
        <v>2.8267138984677406E-2</v>
      </c>
      <c r="AE94" s="122">
        <f t="shared" si="58"/>
        <v>2.0190813560483863E-2</v>
      </c>
      <c r="AF94" s="122">
        <f t="shared" si="58"/>
        <v>4.0381627120967725E-2</v>
      </c>
      <c r="AG94" s="122">
        <f t="shared" si="58"/>
        <v>6.0572440681451588E-2</v>
      </c>
      <c r="AH94" s="122">
        <f t="shared" si="58"/>
        <v>0</v>
      </c>
      <c r="AI94" s="122">
        <f t="shared" si="58"/>
        <v>0</v>
      </c>
      <c r="AJ94" s="122">
        <f t="shared" si="58"/>
        <v>0.14133569492338705</v>
      </c>
      <c r="AK94" s="122">
        <f t="shared" si="58"/>
        <v>0.12114488136290318</v>
      </c>
      <c r="AL94" s="122">
        <f t="shared" si="58"/>
        <v>8.076325424193545E-2</v>
      </c>
      <c r="AM94" s="122">
        <f t="shared" si="58"/>
        <v>8.076325424193545E-2</v>
      </c>
      <c r="AN94" s="122">
        <f t="shared" si="58"/>
        <v>8.076325424193545E-2</v>
      </c>
      <c r="AO94" s="122">
        <f t="shared" si="58"/>
        <v>8.076325424193545E-2</v>
      </c>
      <c r="AP94" s="122">
        <f t="shared" si="58"/>
        <v>0.13729753221129026</v>
      </c>
      <c r="AQ94" s="122">
        <f t="shared" si="58"/>
        <v>0.1615265084838709</v>
      </c>
      <c r="AR94" s="122">
        <f t="shared" si="58"/>
        <v>0.24228976272580635</v>
      </c>
      <c r="AS94" s="122">
        <f t="shared" si="58"/>
        <v>0.3230530169677418</v>
      </c>
      <c r="AT94" s="64"/>
      <c r="AU94" s="64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103"/>
      <c r="BM94" s="65">
        <f t="shared" si="56"/>
        <v>1.6152650848387089</v>
      </c>
      <c r="BN94" s="66">
        <f t="shared" si="43"/>
        <v>0</v>
      </c>
    </row>
    <row r="95" spans="1:66" hidden="1">
      <c r="B95" s="77"/>
      <c r="C95" s="77" t="s">
        <v>21</v>
      </c>
      <c r="D95" s="97"/>
      <c r="E95" s="82"/>
      <c r="F95" s="58"/>
      <c r="G95" s="59"/>
      <c r="H95" s="78"/>
      <c r="I95" s="83">
        <f>SUM(M95:BB95)</f>
        <v>20</v>
      </c>
      <c r="J95" s="62"/>
      <c r="K95" s="63"/>
      <c r="L95" s="62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87">
        <v>0</v>
      </c>
      <c r="AA95" s="87">
        <v>0</v>
      </c>
      <c r="AB95" s="87">
        <v>0</v>
      </c>
      <c r="AC95" s="87">
        <v>0.2</v>
      </c>
      <c r="AD95" s="87">
        <v>0.35</v>
      </c>
      <c r="AE95" s="87">
        <v>0.25</v>
      </c>
      <c r="AF95" s="87">
        <v>0.5</v>
      </c>
      <c r="AG95" s="87">
        <v>0.75</v>
      </c>
      <c r="AH95" s="87">
        <v>0</v>
      </c>
      <c r="AI95" s="87">
        <v>0</v>
      </c>
      <c r="AJ95" s="87">
        <v>1.75</v>
      </c>
      <c r="AK95" s="87">
        <v>1.5</v>
      </c>
      <c r="AL95" s="87">
        <v>1</v>
      </c>
      <c r="AM95" s="87">
        <v>1</v>
      </c>
      <c r="AN95" s="87">
        <v>1</v>
      </c>
      <c r="AO95" s="87">
        <v>1</v>
      </c>
      <c r="AP95" s="98">
        <v>1.7</v>
      </c>
      <c r="AQ95" s="98">
        <v>2</v>
      </c>
      <c r="AR95" s="98">
        <v>3</v>
      </c>
      <c r="AS95" s="98">
        <v>4</v>
      </c>
      <c r="AT95" s="64"/>
      <c r="AU95" s="64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5"/>
      <c r="BN95" s="66">
        <f t="shared" si="43"/>
        <v>0</v>
      </c>
    </row>
    <row r="96" spans="1:66">
      <c r="A96" s="45" t="s">
        <v>63</v>
      </c>
      <c r="C96" s="45" t="s">
        <v>177</v>
      </c>
      <c r="D96" s="123" t="s">
        <v>171</v>
      </c>
      <c r="E96" s="124" t="s">
        <v>178</v>
      </c>
      <c r="F96" s="58">
        <v>170107000</v>
      </c>
      <c r="G96" s="59">
        <f>F96*1.11</f>
        <v>188818770.00000003</v>
      </c>
      <c r="H96" s="78">
        <f>100*G96/$G$166</f>
        <v>0.54873225806451609</v>
      </c>
      <c r="I96" s="61">
        <v>18</v>
      </c>
      <c r="J96" s="62"/>
      <c r="K96" s="63"/>
      <c r="L96" s="62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122">
        <f>$H$96/$I$96*AB97</f>
        <v>0</v>
      </c>
      <c r="AC96" s="122">
        <f t="shared" ref="AC96:AS96" si="59">$H$96/$I$96*AC97</f>
        <v>3.0485125448028675E-3</v>
      </c>
      <c r="AD96" s="122">
        <f t="shared" si="59"/>
        <v>3.0485125448028675E-3</v>
      </c>
      <c r="AE96" s="122">
        <f t="shared" si="59"/>
        <v>3.0485125448028675E-3</v>
      </c>
      <c r="AF96" s="122">
        <f t="shared" si="59"/>
        <v>7.6212813620071679E-3</v>
      </c>
      <c r="AG96" s="122">
        <f t="shared" si="59"/>
        <v>1.5242562724014336E-2</v>
      </c>
      <c r="AH96" s="122">
        <f t="shared" si="59"/>
        <v>0</v>
      </c>
      <c r="AI96" s="122">
        <f t="shared" si="59"/>
        <v>0</v>
      </c>
      <c r="AJ96" s="122">
        <f t="shared" si="59"/>
        <v>3.8106406810035839E-2</v>
      </c>
      <c r="AK96" s="122">
        <f t="shared" si="59"/>
        <v>3.0485125448028672E-2</v>
      </c>
      <c r="AL96" s="122">
        <f t="shared" si="59"/>
        <v>3.0485125448028672E-2</v>
      </c>
      <c r="AM96" s="122">
        <f t="shared" si="59"/>
        <v>3.0485125448028672E-2</v>
      </c>
      <c r="AN96" s="122">
        <f t="shared" si="59"/>
        <v>3.0485125448028672E-2</v>
      </c>
      <c r="AO96" s="122">
        <f t="shared" si="59"/>
        <v>3.0485125448028672E-2</v>
      </c>
      <c r="AP96" s="122">
        <f t="shared" si="59"/>
        <v>5.1824713261648739E-2</v>
      </c>
      <c r="AQ96" s="122">
        <f t="shared" si="59"/>
        <v>6.0970250896057343E-2</v>
      </c>
      <c r="AR96" s="122">
        <f t="shared" si="59"/>
        <v>9.1455376344086015E-2</v>
      </c>
      <c r="AS96" s="122">
        <f t="shared" si="59"/>
        <v>0.12194050179211469</v>
      </c>
      <c r="AT96" s="64"/>
      <c r="AU96" s="64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5">
        <f t="shared" si="56"/>
        <v>0.54873225806451609</v>
      </c>
      <c r="BN96" s="66">
        <f t="shared" si="43"/>
        <v>0</v>
      </c>
    </row>
    <row r="97" spans="1:66" hidden="1">
      <c r="B97" s="77"/>
      <c r="C97" s="77" t="s">
        <v>21</v>
      </c>
      <c r="D97" s="97"/>
      <c r="E97" s="82"/>
      <c r="F97" s="58"/>
      <c r="G97" s="59"/>
      <c r="H97" s="78"/>
      <c r="I97" s="83">
        <f>SUM(M97:BB97)</f>
        <v>18</v>
      </c>
      <c r="J97" s="62"/>
      <c r="K97" s="63"/>
      <c r="L97" s="62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87">
        <v>0</v>
      </c>
      <c r="AC97" s="87">
        <v>0.1</v>
      </c>
      <c r="AD97" s="87">
        <v>0.1</v>
      </c>
      <c r="AE97" s="87">
        <v>0.1</v>
      </c>
      <c r="AF97" s="87">
        <v>0.25</v>
      </c>
      <c r="AG97" s="87">
        <v>0.5</v>
      </c>
      <c r="AH97" s="87">
        <v>0</v>
      </c>
      <c r="AI97" s="87">
        <v>0</v>
      </c>
      <c r="AJ97" s="87">
        <v>1.25</v>
      </c>
      <c r="AK97" s="87">
        <v>1</v>
      </c>
      <c r="AL97" s="87">
        <v>1</v>
      </c>
      <c r="AM97" s="87">
        <v>1</v>
      </c>
      <c r="AN97" s="87">
        <v>1</v>
      </c>
      <c r="AO97" s="87">
        <v>1</v>
      </c>
      <c r="AP97" s="98">
        <v>1.7</v>
      </c>
      <c r="AQ97" s="98">
        <v>2</v>
      </c>
      <c r="AR97" s="98">
        <v>3</v>
      </c>
      <c r="AS97" s="98">
        <v>4</v>
      </c>
      <c r="AT97" s="64"/>
      <c r="AU97" s="64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5"/>
      <c r="BN97" s="66">
        <f t="shared" si="43"/>
        <v>0</v>
      </c>
    </row>
    <row r="98" spans="1:66">
      <c r="A98" s="45" t="s">
        <v>61</v>
      </c>
      <c r="B98" s="77">
        <f>H97-BM97</f>
        <v>0</v>
      </c>
      <c r="C98" s="77" t="s">
        <v>20</v>
      </c>
      <c r="D98" s="97" t="s">
        <v>179</v>
      </c>
      <c r="E98" s="82" t="s">
        <v>180</v>
      </c>
      <c r="F98" s="58">
        <v>121186264</v>
      </c>
      <c r="G98" s="59">
        <f>F98*1.11</f>
        <v>134516753.04000002</v>
      </c>
      <c r="H98" s="78">
        <f>100*G98/$G$166</f>
        <v>0.39092343225806447</v>
      </c>
      <c r="I98" s="61">
        <v>18</v>
      </c>
      <c r="J98" s="62"/>
      <c r="K98" s="63"/>
      <c r="L98" s="62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122">
        <f>$H$98/$I$98*AB99</f>
        <v>0</v>
      </c>
      <c r="AC98" s="122">
        <f t="shared" ref="AC98:AS98" si="60">$H$98/$I$98*AC99</f>
        <v>2.1717968458781363E-3</v>
      </c>
      <c r="AD98" s="122">
        <f t="shared" si="60"/>
        <v>2.1717968458781363E-3</v>
      </c>
      <c r="AE98" s="122">
        <f t="shared" si="60"/>
        <v>2.1717968458781363E-3</v>
      </c>
      <c r="AF98" s="122">
        <f t="shared" si="60"/>
        <v>5.4294921146953402E-3</v>
      </c>
      <c r="AG98" s="122">
        <f t="shared" si="60"/>
        <v>1.085898422939068E-2</v>
      </c>
      <c r="AH98" s="122">
        <f t="shared" si="60"/>
        <v>0</v>
      </c>
      <c r="AI98" s="122">
        <f t="shared" si="60"/>
        <v>0</v>
      </c>
      <c r="AJ98" s="122">
        <f t="shared" si="60"/>
        <v>2.7147460573476702E-2</v>
      </c>
      <c r="AK98" s="122">
        <f t="shared" si="60"/>
        <v>2.1717968458781361E-2</v>
      </c>
      <c r="AL98" s="122">
        <f t="shared" si="60"/>
        <v>2.1717968458781361E-2</v>
      </c>
      <c r="AM98" s="122">
        <f t="shared" si="60"/>
        <v>2.1717968458781361E-2</v>
      </c>
      <c r="AN98" s="122">
        <f t="shared" si="60"/>
        <v>2.1717968458781361E-2</v>
      </c>
      <c r="AO98" s="122">
        <f t="shared" si="60"/>
        <v>2.1717968458781361E-2</v>
      </c>
      <c r="AP98" s="122">
        <f t="shared" si="60"/>
        <v>3.692054637992831E-2</v>
      </c>
      <c r="AQ98" s="122">
        <f t="shared" si="60"/>
        <v>4.3435936917562722E-2</v>
      </c>
      <c r="AR98" s="122">
        <f t="shared" si="60"/>
        <v>6.5153905376344079E-2</v>
      </c>
      <c r="AS98" s="122">
        <f t="shared" si="60"/>
        <v>8.6871873835125443E-2</v>
      </c>
      <c r="AT98" s="64"/>
      <c r="AU98" s="64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5">
        <f t="shared" si="56"/>
        <v>0.39092343225806453</v>
      </c>
      <c r="BN98" s="66">
        <f t="shared" si="43"/>
        <v>0</v>
      </c>
    </row>
    <row r="99" spans="1:66" hidden="1">
      <c r="B99" s="77"/>
      <c r="C99" s="77" t="s">
        <v>21</v>
      </c>
      <c r="D99" s="97"/>
      <c r="E99" s="82"/>
      <c r="F99" s="58"/>
      <c r="G99" s="59"/>
      <c r="H99" s="78"/>
      <c r="I99" s="83">
        <f>SUM(M99:BB99)</f>
        <v>18</v>
      </c>
      <c r="J99" s="62"/>
      <c r="K99" s="63"/>
      <c r="L99" s="62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87">
        <v>0</v>
      </c>
      <c r="AC99" s="87">
        <v>0.1</v>
      </c>
      <c r="AD99" s="87">
        <v>0.1</v>
      </c>
      <c r="AE99" s="87">
        <v>0.1</v>
      </c>
      <c r="AF99" s="87">
        <v>0.25</v>
      </c>
      <c r="AG99" s="87">
        <v>0.5</v>
      </c>
      <c r="AH99" s="87">
        <v>0</v>
      </c>
      <c r="AI99" s="87">
        <v>0</v>
      </c>
      <c r="AJ99" s="87">
        <v>1.25</v>
      </c>
      <c r="AK99" s="87">
        <v>1</v>
      </c>
      <c r="AL99" s="87">
        <v>1</v>
      </c>
      <c r="AM99" s="87">
        <v>1</v>
      </c>
      <c r="AN99" s="87">
        <v>1</v>
      </c>
      <c r="AO99" s="87">
        <v>1</v>
      </c>
      <c r="AP99" s="98">
        <v>1.7</v>
      </c>
      <c r="AQ99" s="98">
        <v>2</v>
      </c>
      <c r="AR99" s="98">
        <v>3</v>
      </c>
      <c r="AS99" s="98">
        <v>4</v>
      </c>
      <c r="AT99" s="64"/>
      <c r="AU99" s="64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5"/>
      <c r="BN99" s="66">
        <f t="shared" si="43"/>
        <v>0</v>
      </c>
    </row>
    <row r="100" spans="1:66">
      <c r="A100" s="45" t="s">
        <v>62</v>
      </c>
      <c r="B100" s="77">
        <f>H98-BM98</f>
        <v>0</v>
      </c>
      <c r="C100" s="77" t="s">
        <v>20</v>
      </c>
      <c r="D100" s="123" t="s">
        <v>181</v>
      </c>
      <c r="E100" s="124" t="s">
        <v>182</v>
      </c>
      <c r="F100" s="58">
        <v>128375920</v>
      </c>
      <c r="G100" s="59">
        <f>F100*1.11</f>
        <v>142497271.20000002</v>
      </c>
      <c r="H100" s="78">
        <f>100*G100/$G$166</f>
        <v>0.41411587096774188</v>
      </c>
      <c r="I100" s="61">
        <v>13</v>
      </c>
      <c r="J100" s="62"/>
      <c r="K100" s="63"/>
      <c r="L100" s="62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122">
        <f>$H$100/$I$100*AG101</f>
        <v>3.1855066997518605E-3</v>
      </c>
      <c r="AH100" s="122">
        <f t="shared" ref="AH100:AS100" si="61">$H$100/$I$100*AH101</f>
        <v>0</v>
      </c>
      <c r="AI100" s="122">
        <f t="shared" si="61"/>
        <v>0</v>
      </c>
      <c r="AJ100" s="122">
        <f t="shared" si="61"/>
        <v>4.77826004962779E-3</v>
      </c>
      <c r="AK100" s="122">
        <f t="shared" si="61"/>
        <v>9.5565200992555801E-3</v>
      </c>
      <c r="AL100" s="122">
        <f t="shared" si="61"/>
        <v>7.9637667493796509E-3</v>
      </c>
      <c r="AM100" s="122">
        <f t="shared" si="61"/>
        <v>1.5927533498759302E-2</v>
      </c>
      <c r="AN100" s="122">
        <f t="shared" si="61"/>
        <v>1.5927533498759302E-2</v>
      </c>
      <c r="AO100" s="122">
        <f t="shared" si="61"/>
        <v>2.3891300248138951E-2</v>
      </c>
      <c r="AP100" s="122">
        <f t="shared" si="61"/>
        <v>4.7782600496277902E-2</v>
      </c>
      <c r="AQ100" s="122">
        <f t="shared" si="61"/>
        <v>6.2117380645161278E-2</v>
      </c>
      <c r="AR100" s="122">
        <f t="shared" si="61"/>
        <v>9.5565200992555804E-2</v>
      </c>
      <c r="AS100" s="122">
        <f t="shared" si="61"/>
        <v>0.12742026799007442</v>
      </c>
      <c r="AT100" s="64"/>
      <c r="AU100" s="64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103"/>
      <c r="BM100" s="65">
        <f t="shared" si="56"/>
        <v>0.41411587096774183</v>
      </c>
      <c r="BN100" s="66">
        <f t="shared" si="43"/>
        <v>0</v>
      </c>
    </row>
    <row r="101" spans="1:66" hidden="1">
      <c r="B101" s="77"/>
      <c r="C101" s="77" t="s">
        <v>21</v>
      </c>
      <c r="D101" s="97"/>
      <c r="E101" s="82"/>
      <c r="F101" s="58"/>
      <c r="G101" s="59"/>
      <c r="H101" s="78"/>
      <c r="I101" s="83">
        <f>SUM(M101:BB101)</f>
        <v>13</v>
      </c>
      <c r="J101" s="62"/>
      <c r="K101" s="63"/>
      <c r="L101" s="62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87">
        <v>0.1</v>
      </c>
      <c r="AH101" s="87">
        <v>0</v>
      </c>
      <c r="AI101" s="87">
        <v>0</v>
      </c>
      <c r="AJ101" s="87">
        <v>0.15</v>
      </c>
      <c r="AK101" s="87">
        <v>0.3</v>
      </c>
      <c r="AL101" s="87">
        <v>0.25</v>
      </c>
      <c r="AM101" s="87">
        <v>0.5</v>
      </c>
      <c r="AN101" s="87">
        <v>0.5</v>
      </c>
      <c r="AO101" s="87">
        <v>0.75</v>
      </c>
      <c r="AP101" s="87">
        <v>1.5</v>
      </c>
      <c r="AQ101" s="87">
        <v>1.95</v>
      </c>
      <c r="AR101" s="98">
        <v>3</v>
      </c>
      <c r="AS101" s="98">
        <v>4</v>
      </c>
      <c r="AT101" s="64"/>
      <c r="AU101" s="64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5"/>
      <c r="BN101" s="66">
        <f t="shared" si="43"/>
        <v>0</v>
      </c>
    </row>
    <row r="102" spans="1:66">
      <c r="A102" s="45" t="s">
        <v>63</v>
      </c>
      <c r="C102" s="45" t="s">
        <v>20</v>
      </c>
      <c r="D102" s="123" t="s">
        <v>183</v>
      </c>
      <c r="E102" s="124" t="s">
        <v>184</v>
      </c>
      <c r="F102" s="58">
        <v>216915387.60000002</v>
      </c>
      <c r="G102" s="59">
        <f>F102*1.11</f>
        <v>240776080.23600006</v>
      </c>
      <c r="H102" s="78">
        <f>100*G102/$G$166</f>
        <v>0.69972705677419356</v>
      </c>
      <c r="I102" s="61">
        <v>15</v>
      </c>
      <c r="J102" s="62"/>
      <c r="K102" s="63"/>
      <c r="L102" s="62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122">
        <f>$H$102/$I$102*AI103</f>
        <v>0</v>
      </c>
      <c r="AJ102" s="122">
        <f t="shared" ref="AJ102:AS102" si="62">$H$102/$I$102*AJ103</f>
        <v>4.6648470451612902E-3</v>
      </c>
      <c r="AK102" s="122">
        <f t="shared" si="62"/>
        <v>4.6648470451612902E-3</v>
      </c>
      <c r="AL102" s="122">
        <f t="shared" si="62"/>
        <v>4.6648470451612902E-3</v>
      </c>
      <c r="AM102" s="122">
        <f t="shared" si="62"/>
        <v>1.1662117612903226E-2</v>
      </c>
      <c r="AN102" s="122">
        <f t="shared" si="62"/>
        <v>1.1662117612903226E-2</v>
      </c>
      <c r="AO102" s="122">
        <f t="shared" si="62"/>
        <v>2.3324235225806452E-2</v>
      </c>
      <c r="AP102" s="122">
        <f t="shared" si="62"/>
        <v>2.3324235225806452E-2</v>
      </c>
      <c r="AQ102" s="122">
        <f t="shared" si="62"/>
        <v>3.4986352838709676E-2</v>
      </c>
      <c r="AR102" s="122">
        <f t="shared" si="62"/>
        <v>4.6648470451612904E-2</v>
      </c>
      <c r="AS102" s="122">
        <f t="shared" si="62"/>
        <v>4.6648470451612904E-2</v>
      </c>
      <c r="AT102" s="64"/>
      <c r="AU102" s="64"/>
      <c r="AV102" s="122">
        <f t="shared" ref="AV102" si="63">$H$102/$I$102*AV103</f>
        <v>6.7640282154838707E-2</v>
      </c>
      <c r="AW102" s="122">
        <f t="shared" ref="AW102" si="64">$H$102/$I$102*AW103</f>
        <v>9.3296940903225808E-2</v>
      </c>
      <c r="AX102" s="122">
        <f t="shared" ref="AX102" si="65">$H$102/$I$102*AX103</f>
        <v>0.13994541135483871</v>
      </c>
      <c r="AY102" s="122">
        <f t="shared" ref="AY102" si="66">$H$102/$I$102*AY103</f>
        <v>0.18659388180645162</v>
      </c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5">
        <f t="shared" si="56"/>
        <v>0.69972705677419356</v>
      </c>
      <c r="BN102" s="66">
        <f t="shared" si="43"/>
        <v>0</v>
      </c>
    </row>
    <row r="103" spans="1:66" hidden="1">
      <c r="C103" s="45" t="s">
        <v>21</v>
      </c>
      <c r="D103" s="97"/>
      <c r="E103" s="82"/>
      <c r="F103" s="58"/>
      <c r="G103" s="59"/>
      <c r="H103" s="78"/>
      <c r="I103" s="83">
        <f>SUM(M103:BB103)</f>
        <v>15</v>
      </c>
      <c r="J103" s="62"/>
      <c r="K103" s="63"/>
      <c r="L103" s="62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87">
        <v>0</v>
      </c>
      <c r="AJ103" s="87">
        <v>0.1</v>
      </c>
      <c r="AK103" s="87">
        <v>0.1</v>
      </c>
      <c r="AL103" s="87">
        <v>0.1</v>
      </c>
      <c r="AM103" s="87">
        <v>0.25</v>
      </c>
      <c r="AN103" s="87">
        <v>0.25</v>
      </c>
      <c r="AO103" s="87">
        <v>0.5</v>
      </c>
      <c r="AP103" s="87">
        <v>0.5</v>
      </c>
      <c r="AQ103" s="87">
        <v>0.75</v>
      </c>
      <c r="AR103" s="87">
        <v>1</v>
      </c>
      <c r="AS103" s="87">
        <v>1</v>
      </c>
      <c r="AT103" s="64"/>
      <c r="AU103" s="64"/>
      <c r="AV103" s="87">
        <v>1.45</v>
      </c>
      <c r="AW103" s="98">
        <v>2</v>
      </c>
      <c r="AX103" s="98">
        <v>3</v>
      </c>
      <c r="AY103" s="98">
        <v>4</v>
      </c>
      <c r="AZ103" s="63"/>
      <c r="BA103" s="63"/>
      <c r="BB103" s="63"/>
      <c r="BC103" s="63"/>
      <c r="BD103" s="63"/>
      <c r="BE103" s="99"/>
      <c r="BF103" s="63"/>
      <c r="BG103" s="99"/>
      <c r="BH103" s="99"/>
      <c r="BI103" s="63"/>
      <c r="BJ103" s="63"/>
      <c r="BK103" s="63"/>
      <c r="BL103" s="63"/>
      <c r="BM103" s="65"/>
      <c r="BN103" s="66">
        <f t="shared" si="43"/>
        <v>0</v>
      </c>
    </row>
    <row r="104" spans="1:66">
      <c r="A104" s="45" t="s">
        <v>63</v>
      </c>
      <c r="C104" s="45" t="s">
        <v>20</v>
      </c>
      <c r="D104" s="123" t="s">
        <v>185</v>
      </c>
      <c r="E104" s="124" t="s">
        <v>186</v>
      </c>
      <c r="F104" s="58">
        <v>102061350</v>
      </c>
      <c r="G104" s="59">
        <f>F104*1.11</f>
        <v>113288098.50000001</v>
      </c>
      <c r="H104" s="78">
        <f>100*G104/$G$166</f>
        <v>0.32923016129032256</v>
      </c>
      <c r="I104" s="61">
        <v>16</v>
      </c>
      <c r="J104" s="62"/>
      <c r="K104" s="63"/>
      <c r="L104" s="62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122">
        <f>$H$104/$I$104*AI105</f>
        <v>0</v>
      </c>
      <c r="AJ104" s="122">
        <f t="shared" ref="AJ104:AS104" si="67">$H$104/$I$104*AJ105</f>
        <v>2.057688508064516E-3</v>
      </c>
      <c r="AK104" s="122">
        <f t="shared" si="67"/>
        <v>2.057688508064516E-3</v>
      </c>
      <c r="AL104" s="122">
        <f t="shared" si="67"/>
        <v>2.057688508064516E-3</v>
      </c>
      <c r="AM104" s="122">
        <f t="shared" si="67"/>
        <v>5.1442212701612901E-3</v>
      </c>
      <c r="AN104" s="122">
        <f t="shared" si="67"/>
        <v>5.1442212701612901E-3</v>
      </c>
      <c r="AO104" s="122">
        <f t="shared" si="67"/>
        <v>1.028844254032258E-2</v>
      </c>
      <c r="AP104" s="122">
        <f t="shared" si="67"/>
        <v>1.028844254032258E-2</v>
      </c>
      <c r="AQ104" s="122">
        <f t="shared" si="67"/>
        <v>1.543266381048387E-2</v>
      </c>
      <c r="AR104" s="122">
        <f t="shared" si="67"/>
        <v>2.057688508064516E-2</v>
      </c>
      <c r="AS104" s="122">
        <f t="shared" si="67"/>
        <v>2.057688508064516E-2</v>
      </c>
      <c r="AT104" s="64"/>
      <c r="AU104" s="64"/>
      <c r="AV104" s="122">
        <f t="shared" ref="AV104" si="68">$H$104/$I$104*AV105</f>
        <v>2.057688508064516E-2</v>
      </c>
      <c r="AW104" s="122">
        <f t="shared" ref="AW104" si="69">$H$104/$I$104*AW105</f>
        <v>2.9836483366935482E-2</v>
      </c>
      <c r="AX104" s="122">
        <f t="shared" ref="AX104" si="70">$H$104/$I$104*AX105</f>
        <v>4.1153770161290321E-2</v>
      </c>
      <c r="AY104" s="122">
        <f t="shared" ref="AY104" si="71">$H$104/$I$104*AY105</f>
        <v>6.1730655241935481E-2</v>
      </c>
      <c r="AZ104" s="122">
        <f t="shared" ref="AZ104" si="72">$H$104/$I$104*AZ105</f>
        <v>8.2307540322580641E-2</v>
      </c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5">
        <f t="shared" si="56"/>
        <v>0.32923016129032256</v>
      </c>
      <c r="BN104" s="66">
        <f t="shared" si="43"/>
        <v>0</v>
      </c>
    </row>
    <row r="105" spans="1:66" hidden="1">
      <c r="C105" s="45" t="s">
        <v>21</v>
      </c>
      <c r="D105" s="97"/>
      <c r="E105" s="82"/>
      <c r="F105" s="58"/>
      <c r="G105" s="59"/>
      <c r="H105" s="78"/>
      <c r="I105" s="83">
        <f>SUM(M105:BB105)</f>
        <v>16</v>
      </c>
      <c r="J105" s="62"/>
      <c r="K105" s="63"/>
      <c r="L105" s="62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87">
        <v>0</v>
      </c>
      <c r="AJ105" s="87">
        <v>0.1</v>
      </c>
      <c r="AK105" s="87">
        <v>0.1</v>
      </c>
      <c r="AL105" s="87">
        <v>0.1</v>
      </c>
      <c r="AM105" s="87">
        <v>0.25</v>
      </c>
      <c r="AN105" s="87">
        <v>0.25</v>
      </c>
      <c r="AO105" s="87">
        <v>0.5</v>
      </c>
      <c r="AP105" s="87">
        <v>0.5</v>
      </c>
      <c r="AQ105" s="87">
        <v>0.75</v>
      </c>
      <c r="AR105" s="87">
        <v>1</v>
      </c>
      <c r="AS105" s="87">
        <v>1</v>
      </c>
      <c r="AT105" s="64"/>
      <c r="AU105" s="64"/>
      <c r="AV105" s="87">
        <v>1</v>
      </c>
      <c r="AW105" s="87">
        <v>1.45</v>
      </c>
      <c r="AX105" s="98">
        <v>2</v>
      </c>
      <c r="AY105" s="98">
        <v>3</v>
      </c>
      <c r="AZ105" s="98">
        <v>4</v>
      </c>
      <c r="BA105" s="63"/>
      <c r="BB105" s="63"/>
      <c r="BC105" s="63"/>
      <c r="BD105" s="63"/>
      <c r="BE105" s="99"/>
      <c r="BF105" s="63"/>
      <c r="BG105" s="99"/>
      <c r="BH105" s="99"/>
      <c r="BI105" s="63"/>
      <c r="BJ105" s="63"/>
      <c r="BK105" s="63"/>
      <c r="BL105" s="63"/>
      <c r="BM105" s="65"/>
      <c r="BN105" s="66">
        <f t="shared" si="43"/>
        <v>0</v>
      </c>
    </row>
    <row r="106" spans="1:66">
      <c r="A106" s="45" t="s">
        <v>63</v>
      </c>
      <c r="C106" s="45" t="s">
        <v>20</v>
      </c>
      <c r="D106" s="123" t="s">
        <v>187</v>
      </c>
      <c r="E106" s="124" t="s">
        <v>188</v>
      </c>
      <c r="F106" s="58">
        <v>375141578</v>
      </c>
      <c r="G106" s="59">
        <f>F106*1.11</f>
        <v>416407151.58000004</v>
      </c>
      <c r="H106" s="78">
        <f>100*G106/$G$166</f>
        <v>1.210134122580645</v>
      </c>
      <c r="I106" s="61">
        <v>4</v>
      </c>
      <c r="J106" s="62"/>
      <c r="K106" s="63"/>
      <c r="L106" s="62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4"/>
      <c r="AU106" s="64"/>
      <c r="AV106" s="63"/>
      <c r="AW106" s="63"/>
      <c r="AX106" s="63"/>
      <c r="AY106" s="63"/>
      <c r="AZ106" s="63"/>
      <c r="BA106" s="122">
        <f>$H$106/$I$106*BA107</f>
        <v>1.5126676532258063E-2</v>
      </c>
      <c r="BB106" s="122">
        <f t="shared" ref="BB106:BD106" si="73">$H$106/$I$106*BB107</f>
        <v>1.5126676532258063E-2</v>
      </c>
      <c r="BC106" s="122">
        <f t="shared" si="73"/>
        <v>0.34791356024193543</v>
      </c>
      <c r="BD106" s="122">
        <f t="shared" si="73"/>
        <v>0.83196720927419343</v>
      </c>
      <c r="BE106" s="63"/>
      <c r="BF106" s="63"/>
      <c r="BG106" s="63"/>
      <c r="BH106" s="63"/>
      <c r="BI106" s="63"/>
      <c r="BJ106" s="63"/>
      <c r="BK106" s="63"/>
      <c r="BL106" s="63"/>
      <c r="BM106" s="65">
        <f t="shared" si="56"/>
        <v>1.210134122580645</v>
      </c>
      <c r="BN106" s="66">
        <f t="shared" si="43"/>
        <v>0</v>
      </c>
    </row>
    <row r="107" spans="1:66" hidden="1">
      <c r="C107" s="45" t="s">
        <v>21</v>
      </c>
      <c r="D107" s="97"/>
      <c r="E107" s="82"/>
      <c r="F107" s="58"/>
      <c r="G107" s="59"/>
      <c r="H107" s="78"/>
      <c r="I107" s="83">
        <f>SUM(M107:BH107)</f>
        <v>4</v>
      </c>
      <c r="J107" s="62"/>
      <c r="K107" s="63"/>
      <c r="L107" s="62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4"/>
      <c r="AU107" s="64"/>
      <c r="AV107" s="63"/>
      <c r="AW107" s="63"/>
      <c r="AX107" s="63"/>
      <c r="AY107" s="63"/>
      <c r="AZ107" s="63"/>
      <c r="BA107" s="87">
        <v>0.05</v>
      </c>
      <c r="BB107" s="87">
        <v>0.05</v>
      </c>
      <c r="BC107" s="87">
        <v>1.1499999999999999</v>
      </c>
      <c r="BD107" s="87">
        <v>2.75</v>
      </c>
      <c r="BE107" s="87"/>
      <c r="BF107" s="87"/>
      <c r="BG107" s="87"/>
      <c r="BH107" s="87"/>
      <c r="BI107" s="87"/>
      <c r="BJ107" s="63"/>
      <c r="BK107" s="63"/>
      <c r="BL107" s="63"/>
      <c r="BM107" s="65"/>
      <c r="BN107" s="66">
        <f t="shared" si="43"/>
        <v>0</v>
      </c>
    </row>
    <row r="108" spans="1:66">
      <c r="A108" s="45" t="s">
        <v>63</v>
      </c>
      <c r="C108" s="45" t="s">
        <v>20</v>
      </c>
      <c r="D108" s="123" t="s">
        <v>189</v>
      </c>
      <c r="E108" s="124" t="s">
        <v>190</v>
      </c>
      <c r="F108" s="58">
        <v>383527501</v>
      </c>
      <c r="G108" s="59">
        <f>F108*1.11</f>
        <v>425715526.11000001</v>
      </c>
      <c r="H108" s="78">
        <f>100*G108/$G$166</f>
        <v>1.237185487096774</v>
      </c>
      <c r="I108" s="61">
        <v>9</v>
      </c>
      <c r="J108" s="62"/>
      <c r="K108" s="63"/>
      <c r="L108" s="62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122">
        <f>$H$108/$I$108*AF109</f>
        <v>6.873252706093189E-3</v>
      </c>
      <c r="AG108" s="122">
        <f t="shared" ref="AG108:AN108" si="74">$H$108/$I$108*AG109</f>
        <v>1.3746505412186378E-2</v>
      </c>
      <c r="AH108" s="122">
        <f t="shared" si="74"/>
        <v>2.0619758118279565E-2</v>
      </c>
      <c r="AI108" s="122">
        <f t="shared" si="74"/>
        <v>0</v>
      </c>
      <c r="AJ108" s="122">
        <f t="shared" si="74"/>
        <v>9.6225537885304635E-2</v>
      </c>
      <c r="AK108" s="122">
        <f t="shared" si="74"/>
        <v>0.10309879059139783</v>
      </c>
      <c r="AL108" s="122">
        <f t="shared" si="74"/>
        <v>0.13746505412186377</v>
      </c>
      <c r="AM108" s="122">
        <f t="shared" si="74"/>
        <v>0.27493010824372754</v>
      </c>
      <c r="AN108" s="122">
        <f t="shared" si="74"/>
        <v>0.58422648001792099</v>
      </c>
      <c r="AO108" s="63"/>
      <c r="AP108" s="63"/>
      <c r="AQ108" s="63"/>
      <c r="AR108" s="63"/>
      <c r="AS108" s="63"/>
      <c r="AT108" s="64"/>
      <c r="AU108" s="64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5">
        <f t="shared" si="56"/>
        <v>1.2371854870967738</v>
      </c>
      <c r="BN108" s="66">
        <f t="shared" si="43"/>
        <v>0</v>
      </c>
    </row>
    <row r="109" spans="1:66" hidden="1">
      <c r="C109" s="45" t="s">
        <v>21</v>
      </c>
      <c r="D109" s="97"/>
      <c r="E109" s="82"/>
      <c r="F109" s="58"/>
      <c r="G109" s="59"/>
      <c r="H109" s="78"/>
      <c r="I109" s="83">
        <f>SUM(M109:BH109)</f>
        <v>9</v>
      </c>
      <c r="J109" s="62"/>
      <c r="K109" s="63"/>
      <c r="L109" s="62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87">
        <v>0.05</v>
      </c>
      <c r="AG109" s="87">
        <v>0.1</v>
      </c>
      <c r="AH109" s="87">
        <v>0.15</v>
      </c>
      <c r="AI109" s="98">
        <v>0</v>
      </c>
      <c r="AJ109" s="98">
        <v>0.7</v>
      </c>
      <c r="AK109" s="98">
        <v>0.75</v>
      </c>
      <c r="AL109" s="98">
        <v>1</v>
      </c>
      <c r="AM109" s="98">
        <v>2</v>
      </c>
      <c r="AN109" s="98">
        <v>4.25</v>
      </c>
      <c r="AO109" s="63"/>
      <c r="AP109" s="63"/>
      <c r="AQ109" s="63"/>
      <c r="AR109" s="63"/>
      <c r="AS109" s="63"/>
      <c r="AT109" s="64"/>
      <c r="AU109" s="64"/>
      <c r="AV109" s="63"/>
      <c r="AW109" s="63"/>
      <c r="AX109" s="63"/>
      <c r="AY109" s="63"/>
      <c r="AZ109" s="63"/>
      <c r="BA109" s="63"/>
      <c r="BB109" s="63"/>
      <c r="BC109" s="63"/>
      <c r="BD109" s="63"/>
      <c r="BE109" s="99"/>
      <c r="BF109" s="63"/>
      <c r="BG109" s="99"/>
      <c r="BH109" s="99"/>
      <c r="BI109" s="63"/>
      <c r="BJ109" s="63"/>
      <c r="BK109" s="63"/>
      <c r="BL109" s="63"/>
      <c r="BM109" s="65"/>
      <c r="BN109" s="66">
        <f t="shared" si="43"/>
        <v>0</v>
      </c>
    </row>
    <row r="110" spans="1:66" hidden="1">
      <c r="D110" s="97"/>
      <c r="E110" s="82"/>
      <c r="F110" s="58"/>
      <c r="G110" s="59"/>
      <c r="H110" s="78"/>
      <c r="I110" s="61"/>
      <c r="J110" s="62"/>
      <c r="K110" s="63"/>
      <c r="L110" s="62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4"/>
      <c r="AU110" s="64"/>
      <c r="AV110" s="63"/>
      <c r="AW110" s="63"/>
      <c r="AX110" s="63"/>
      <c r="AY110" s="63"/>
      <c r="AZ110" s="63"/>
      <c r="BA110" s="63"/>
      <c r="BB110" s="63"/>
      <c r="BC110" s="63"/>
      <c r="BD110" s="63"/>
      <c r="BE110" s="99"/>
      <c r="BF110" s="63"/>
      <c r="BG110" s="99"/>
      <c r="BH110" s="99"/>
      <c r="BI110" s="63"/>
      <c r="BJ110" s="63"/>
      <c r="BK110" s="63"/>
      <c r="BL110" s="63"/>
      <c r="BM110" s="65"/>
      <c r="BN110" s="66">
        <f t="shared" si="43"/>
        <v>0</v>
      </c>
    </row>
    <row r="111" spans="1:66" s="88" customFormat="1" hidden="1">
      <c r="A111" s="88">
        <v>2.8</v>
      </c>
      <c r="B111" s="113"/>
      <c r="C111" s="113"/>
      <c r="D111" s="89" t="s">
        <v>191</v>
      </c>
      <c r="E111" s="57" t="s">
        <v>192</v>
      </c>
      <c r="F111" s="58"/>
      <c r="G111" s="59"/>
      <c r="H111" s="78"/>
      <c r="I111" s="93"/>
      <c r="J111" s="94"/>
      <c r="K111" s="95"/>
      <c r="L111" s="94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6"/>
      <c r="AU111" s="96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114"/>
      <c r="BG111" s="114"/>
      <c r="BH111" s="95"/>
      <c r="BI111" s="95"/>
      <c r="BJ111" s="95"/>
      <c r="BK111" s="95"/>
      <c r="BL111" s="95"/>
      <c r="BM111" s="65"/>
      <c r="BN111" s="66">
        <f t="shared" si="43"/>
        <v>0</v>
      </c>
    </row>
    <row r="112" spans="1:66">
      <c r="A112" s="45" t="s">
        <v>61</v>
      </c>
      <c r="B112" s="77">
        <f>H111-BM111</f>
        <v>0</v>
      </c>
      <c r="C112" s="77" t="s">
        <v>20</v>
      </c>
      <c r="D112" s="97" t="s">
        <v>162</v>
      </c>
      <c r="E112" s="82" t="s">
        <v>193</v>
      </c>
      <c r="F112" s="58">
        <v>44080700</v>
      </c>
      <c r="G112" s="59">
        <f>F112*1.11</f>
        <v>48929577.000000007</v>
      </c>
      <c r="H112" s="78">
        <f>100*G112/$G$166</f>
        <v>0.14219580645161289</v>
      </c>
      <c r="I112" s="61">
        <v>20</v>
      </c>
      <c r="J112" s="62"/>
      <c r="K112" s="63"/>
      <c r="L112" s="62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122">
        <f>$H$112/$I$112*Z113</f>
        <v>3.5548951612903227E-4</v>
      </c>
      <c r="AA112" s="122">
        <f t="shared" ref="AA112:AS112" si="75">$H$112/$I$112*AA113</f>
        <v>0</v>
      </c>
      <c r="AB112" s="122">
        <f t="shared" si="75"/>
        <v>0</v>
      </c>
      <c r="AC112" s="122">
        <f t="shared" si="75"/>
        <v>7.1097903225806453E-4</v>
      </c>
      <c r="AD112" s="122">
        <f t="shared" si="75"/>
        <v>1.7774475806451612E-3</v>
      </c>
      <c r="AE112" s="122">
        <f t="shared" si="75"/>
        <v>2.1329370967741934E-3</v>
      </c>
      <c r="AF112" s="122">
        <f t="shared" si="75"/>
        <v>3.5548951612903224E-3</v>
      </c>
      <c r="AG112" s="122">
        <f t="shared" si="75"/>
        <v>0</v>
      </c>
      <c r="AH112" s="122">
        <f t="shared" si="75"/>
        <v>0</v>
      </c>
      <c r="AI112" s="122">
        <f t="shared" si="75"/>
        <v>0</v>
      </c>
      <c r="AJ112" s="122">
        <f t="shared" si="75"/>
        <v>1.1375664516129032E-2</v>
      </c>
      <c r="AK112" s="122">
        <f t="shared" si="75"/>
        <v>1.0664685483870968E-2</v>
      </c>
      <c r="AL112" s="122">
        <f t="shared" si="75"/>
        <v>1.0664685483870968E-2</v>
      </c>
      <c r="AM112" s="122">
        <f t="shared" si="75"/>
        <v>1.0664685483870968E-2</v>
      </c>
      <c r="AN112" s="122">
        <f t="shared" si="75"/>
        <v>7.1097903225806449E-3</v>
      </c>
      <c r="AO112" s="122">
        <f t="shared" si="75"/>
        <v>7.1097903225806449E-3</v>
      </c>
      <c r="AP112" s="122">
        <f t="shared" si="75"/>
        <v>1.2086643548387095E-2</v>
      </c>
      <c r="AQ112" s="122">
        <f t="shared" si="75"/>
        <v>1.421958064516129E-2</v>
      </c>
      <c r="AR112" s="122">
        <f t="shared" si="75"/>
        <v>2.1329370967741935E-2</v>
      </c>
      <c r="AS112" s="122">
        <f t="shared" si="75"/>
        <v>2.8439161290322579E-2</v>
      </c>
      <c r="AT112" s="64"/>
      <c r="AU112" s="64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5">
        <f t="shared" si="56"/>
        <v>0.14219580645161292</v>
      </c>
      <c r="BN112" s="66">
        <f t="shared" si="43"/>
        <v>0</v>
      </c>
    </row>
    <row r="113" spans="1:66" hidden="1">
      <c r="B113" s="77"/>
      <c r="C113" s="77" t="s">
        <v>21</v>
      </c>
      <c r="D113" s="97"/>
      <c r="E113" s="82"/>
      <c r="F113" s="58"/>
      <c r="G113" s="59"/>
      <c r="H113" s="78"/>
      <c r="I113" s="83">
        <f>SUM(M113:BH113)</f>
        <v>20</v>
      </c>
      <c r="J113" s="62"/>
      <c r="K113" s="63"/>
      <c r="L113" s="62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87">
        <v>0.05</v>
      </c>
      <c r="AA113" s="87">
        <v>0</v>
      </c>
      <c r="AB113" s="87">
        <v>0</v>
      </c>
      <c r="AC113" s="87">
        <v>0.1</v>
      </c>
      <c r="AD113" s="87">
        <v>0.25</v>
      </c>
      <c r="AE113" s="87">
        <v>0.3</v>
      </c>
      <c r="AF113" s="87">
        <v>0.5</v>
      </c>
      <c r="AG113" s="87">
        <v>0</v>
      </c>
      <c r="AH113" s="87">
        <v>0</v>
      </c>
      <c r="AI113" s="87">
        <v>0</v>
      </c>
      <c r="AJ113" s="87">
        <v>1.6</v>
      </c>
      <c r="AK113" s="87">
        <v>1.5</v>
      </c>
      <c r="AL113" s="87">
        <v>1.5</v>
      </c>
      <c r="AM113" s="87">
        <v>1.5</v>
      </c>
      <c r="AN113" s="87">
        <v>1</v>
      </c>
      <c r="AO113" s="87">
        <v>1</v>
      </c>
      <c r="AP113" s="98">
        <v>1.7</v>
      </c>
      <c r="AQ113" s="98">
        <v>2</v>
      </c>
      <c r="AR113" s="98">
        <v>3</v>
      </c>
      <c r="AS113" s="98">
        <v>4</v>
      </c>
      <c r="AT113" s="64"/>
      <c r="AU113" s="64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5"/>
      <c r="BN113" s="66">
        <f t="shared" si="43"/>
        <v>0</v>
      </c>
    </row>
    <row r="114" spans="1:66">
      <c r="A114" s="45" t="s">
        <v>62</v>
      </c>
      <c r="B114" s="77">
        <f>H112-BM112</f>
        <v>0</v>
      </c>
      <c r="C114" s="77" t="s">
        <v>20</v>
      </c>
      <c r="D114" s="123" t="s">
        <v>164</v>
      </c>
      <c r="E114" s="124" t="s">
        <v>194</v>
      </c>
      <c r="F114" s="58">
        <v>504479700</v>
      </c>
      <c r="G114" s="59">
        <f>F114*1.11</f>
        <v>559972467</v>
      </c>
      <c r="H114" s="78">
        <f>100*G114/$G$166</f>
        <v>1.6273538709677415</v>
      </c>
      <c r="I114" s="61">
        <v>25</v>
      </c>
      <c r="J114" s="62"/>
      <c r="K114" s="63"/>
      <c r="L114" s="62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122">
        <f>$H$114/$I$114*Y115</f>
        <v>3.254707741935483E-3</v>
      </c>
      <c r="Z114" s="122">
        <f t="shared" ref="Z114:AS114" si="76">$H$114/$I$114*Z115</f>
        <v>0</v>
      </c>
      <c r="AA114" s="122">
        <f t="shared" si="76"/>
        <v>0</v>
      </c>
      <c r="AB114" s="122">
        <f t="shared" si="76"/>
        <v>0</v>
      </c>
      <c r="AC114" s="122">
        <f t="shared" si="76"/>
        <v>2.278295419354838E-2</v>
      </c>
      <c r="AD114" s="122">
        <f t="shared" si="76"/>
        <v>1.6273538709677415E-2</v>
      </c>
      <c r="AE114" s="122">
        <f t="shared" si="76"/>
        <v>3.5801785161290317E-2</v>
      </c>
      <c r="AF114" s="122">
        <f t="shared" si="76"/>
        <v>3.9056492903225791E-2</v>
      </c>
      <c r="AG114" s="122">
        <f t="shared" si="76"/>
        <v>0</v>
      </c>
      <c r="AH114" s="122">
        <f t="shared" si="76"/>
        <v>0</v>
      </c>
      <c r="AI114" s="122">
        <f t="shared" si="76"/>
        <v>0</v>
      </c>
      <c r="AJ114" s="122">
        <f t="shared" si="76"/>
        <v>9.7641232258064481E-2</v>
      </c>
      <c r="AK114" s="122">
        <f t="shared" si="76"/>
        <v>9.7641232258064481E-2</v>
      </c>
      <c r="AL114" s="122">
        <f t="shared" si="76"/>
        <v>9.7641232258064481E-2</v>
      </c>
      <c r="AM114" s="122">
        <f t="shared" si="76"/>
        <v>9.7641232258064481E-2</v>
      </c>
      <c r="AN114" s="122">
        <f t="shared" si="76"/>
        <v>9.7641232258064481E-2</v>
      </c>
      <c r="AO114" s="122">
        <f t="shared" si="76"/>
        <v>6.5094154838709659E-2</v>
      </c>
      <c r="AP114" s="122">
        <f t="shared" si="76"/>
        <v>6.5094154838709659E-2</v>
      </c>
      <c r="AQ114" s="122">
        <f t="shared" si="76"/>
        <v>6.5094154838709659E-2</v>
      </c>
      <c r="AR114" s="122">
        <f t="shared" si="76"/>
        <v>6.5094154838709659E-2</v>
      </c>
      <c r="AS114" s="122">
        <f t="shared" si="76"/>
        <v>6.5094154838709659E-2</v>
      </c>
      <c r="AT114" s="64"/>
      <c r="AU114" s="64"/>
      <c r="AV114" s="122">
        <f t="shared" ref="AV114" si="77">$H$114/$I$114*AV115</f>
        <v>0.11066006322580642</v>
      </c>
      <c r="AW114" s="122">
        <f t="shared" ref="AW114" si="78">$H$114/$I$114*AW115</f>
        <v>0.13018830967741932</v>
      </c>
      <c r="AX114" s="122">
        <f t="shared" ref="AX114" si="79">$H$114/$I$114*AX115</f>
        <v>0.19528246451612896</v>
      </c>
      <c r="AY114" s="122">
        <f t="shared" ref="AY114" si="80">$H$114/$I$114*AY115</f>
        <v>0.26037661935483863</v>
      </c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103"/>
      <c r="BM114" s="65">
        <f t="shared" si="56"/>
        <v>1.6273538709677411</v>
      </c>
      <c r="BN114" s="66">
        <f t="shared" si="43"/>
        <v>0</v>
      </c>
    </row>
    <row r="115" spans="1:66" hidden="1">
      <c r="B115" s="77"/>
      <c r="C115" s="77" t="s">
        <v>21</v>
      </c>
      <c r="D115" s="97"/>
      <c r="E115" s="82"/>
      <c r="F115" s="58"/>
      <c r="G115" s="59"/>
      <c r="H115" s="78"/>
      <c r="I115" s="83">
        <f>SUM(M115:BH115)</f>
        <v>25</v>
      </c>
      <c r="J115" s="62"/>
      <c r="K115" s="63"/>
      <c r="L115" s="62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87">
        <v>0.05</v>
      </c>
      <c r="Z115" s="87">
        <v>0</v>
      </c>
      <c r="AA115" s="87">
        <v>0</v>
      </c>
      <c r="AB115" s="87">
        <v>0</v>
      </c>
      <c r="AC115" s="87">
        <v>0.35</v>
      </c>
      <c r="AD115" s="87">
        <v>0.25</v>
      </c>
      <c r="AE115" s="87">
        <v>0.55000000000000004</v>
      </c>
      <c r="AF115" s="87">
        <v>0.6</v>
      </c>
      <c r="AG115" s="87">
        <v>0</v>
      </c>
      <c r="AH115" s="87">
        <v>0</v>
      </c>
      <c r="AI115" s="87">
        <v>0</v>
      </c>
      <c r="AJ115" s="87">
        <v>1.5</v>
      </c>
      <c r="AK115" s="87">
        <v>1.5</v>
      </c>
      <c r="AL115" s="87">
        <v>1.5</v>
      </c>
      <c r="AM115" s="87">
        <v>1.5</v>
      </c>
      <c r="AN115" s="87">
        <v>1.5</v>
      </c>
      <c r="AO115" s="87">
        <v>1</v>
      </c>
      <c r="AP115" s="87">
        <v>1</v>
      </c>
      <c r="AQ115" s="87">
        <v>1</v>
      </c>
      <c r="AR115" s="87">
        <v>1</v>
      </c>
      <c r="AS115" s="87">
        <v>1</v>
      </c>
      <c r="AT115" s="64"/>
      <c r="AU115" s="64"/>
      <c r="AV115" s="98">
        <v>1.7</v>
      </c>
      <c r="AW115" s="98">
        <v>2</v>
      </c>
      <c r="AX115" s="98">
        <v>3</v>
      </c>
      <c r="AY115" s="98">
        <v>4</v>
      </c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5"/>
      <c r="BN115" s="66">
        <f t="shared" si="43"/>
        <v>0</v>
      </c>
    </row>
    <row r="116" spans="1:66" s="88" customFormat="1" hidden="1">
      <c r="A116" s="88">
        <v>2.8</v>
      </c>
      <c r="B116" s="113"/>
      <c r="C116" s="113"/>
      <c r="D116" s="89" t="s">
        <v>195</v>
      </c>
      <c r="E116" s="57" t="s">
        <v>196</v>
      </c>
      <c r="F116" s="58"/>
      <c r="G116" s="59"/>
      <c r="H116" s="78"/>
      <c r="I116" s="93"/>
      <c r="J116" s="94"/>
      <c r="K116" s="95"/>
      <c r="L116" s="94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6"/>
      <c r="AU116" s="96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114"/>
      <c r="BG116" s="114"/>
      <c r="BH116" s="95"/>
      <c r="BI116" s="95"/>
      <c r="BJ116" s="95"/>
      <c r="BK116" s="95"/>
      <c r="BL116" s="95"/>
      <c r="BM116" s="65"/>
      <c r="BN116" s="66">
        <f t="shared" si="43"/>
        <v>0</v>
      </c>
    </row>
    <row r="117" spans="1:66">
      <c r="A117" s="45" t="s">
        <v>61</v>
      </c>
      <c r="B117" s="77">
        <f>H116-BM116</f>
        <v>0</v>
      </c>
      <c r="C117" s="77" t="s">
        <v>20</v>
      </c>
      <c r="D117" s="97" t="s">
        <v>162</v>
      </c>
      <c r="E117" s="82" t="s">
        <v>163</v>
      </c>
      <c r="F117" s="58">
        <v>380846992.85274804</v>
      </c>
      <c r="G117" s="59">
        <f>F117*1.11</f>
        <v>422740162.06655037</v>
      </c>
      <c r="H117" s="78">
        <f>100*G117/$G$166</f>
        <v>1.2285386866217678</v>
      </c>
      <c r="I117" s="61">
        <v>6</v>
      </c>
      <c r="J117" s="62"/>
      <c r="K117" s="63"/>
      <c r="L117" s="62"/>
      <c r="M117" s="63"/>
      <c r="N117" s="63"/>
      <c r="O117" s="63"/>
      <c r="P117" s="63"/>
      <c r="Q117" s="63"/>
      <c r="R117" s="63"/>
      <c r="S117" s="122">
        <f>$H$117/$I$117*S118</f>
        <v>0</v>
      </c>
      <c r="T117" s="122">
        <f t="shared" ref="T117:X117" si="81">$H$117/$I$117*T118</f>
        <v>1.0237822388514733E-2</v>
      </c>
      <c r="U117" s="122">
        <f t="shared" si="81"/>
        <v>0.20475644777029464</v>
      </c>
      <c r="V117" s="122">
        <f t="shared" si="81"/>
        <v>0.38903725076355983</v>
      </c>
      <c r="W117" s="122">
        <f t="shared" si="81"/>
        <v>0.42998854031761874</v>
      </c>
      <c r="X117" s="122">
        <f t="shared" si="81"/>
        <v>0.19451862538177991</v>
      </c>
      <c r="Y117" s="95"/>
      <c r="Z117" s="95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4"/>
      <c r="AU117" s="64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5">
        <f t="shared" si="56"/>
        <v>1.2285386866217678</v>
      </c>
      <c r="BN117" s="66">
        <f t="shared" si="43"/>
        <v>0</v>
      </c>
    </row>
    <row r="118" spans="1:66" hidden="1">
      <c r="B118" s="77"/>
      <c r="C118" s="77" t="s">
        <v>21</v>
      </c>
      <c r="D118" s="97"/>
      <c r="E118" s="82"/>
      <c r="F118" s="58"/>
      <c r="G118" s="59"/>
      <c r="H118" s="78"/>
      <c r="I118" s="83">
        <f>SUM(M118:BH118)</f>
        <v>6.0000000000000009</v>
      </c>
      <c r="J118" s="62"/>
      <c r="K118" s="63"/>
      <c r="L118" s="62"/>
      <c r="M118" s="63"/>
      <c r="N118" s="63"/>
      <c r="O118" s="63"/>
      <c r="P118" s="63"/>
      <c r="Q118" s="63"/>
      <c r="R118" s="63"/>
      <c r="S118" s="87">
        <v>0</v>
      </c>
      <c r="T118" s="87">
        <v>0.05</v>
      </c>
      <c r="U118" s="87">
        <v>1</v>
      </c>
      <c r="V118" s="87">
        <v>1.9</v>
      </c>
      <c r="W118" s="87">
        <v>2.1</v>
      </c>
      <c r="X118" s="87">
        <v>0.95</v>
      </c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4"/>
      <c r="AU118" s="64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5"/>
      <c r="BN118" s="66">
        <f t="shared" si="43"/>
        <v>0</v>
      </c>
    </row>
    <row r="119" spans="1:66" hidden="1">
      <c r="A119" s="45" t="s">
        <v>62</v>
      </c>
      <c r="B119" s="77">
        <f>H111-BM111</f>
        <v>0</v>
      </c>
      <c r="C119" s="77" t="s">
        <v>20</v>
      </c>
      <c r="D119" s="123" t="s">
        <v>164</v>
      </c>
      <c r="E119" s="124" t="s">
        <v>165</v>
      </c>
      <c r="F119" s="58"/>
      <c r="G119" s="59"/>
      <c r="H119" s="78"/>
      <c r="I119" s="61"/>
      <c r="J119" s="62"/>
      <c r="K119" s="63"/>
      <c r="L119" s="62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4"/>
      <c r="AU119" s="64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103"/>
      <c r="BM119" s="65">
        <f t="shared" ref="BM119" si="82">SUM(J119:BL119)</f>
        <v>0</v>
      </c>
      <c r="BN119" s="66">
        <f t="shared" si="43"/>
        <v>0</v>
      </c>
    </row>
    <row r="120" spans="1:66" hidden="1">
      <c r="B120" s="77"/>
      <c r="C120" s="77" t="s">
        <v>21</v>
      </c>
      <c r="D120" s="97"/>
      <c r="E120" s="82"/>
      <c r="F120" s="58"/>
      <c r="G120" s="59"/>
      <c r="H120" s="78"/>
      <c r="I120" s="83"/>
      <c r="J120" s="62"/>
      <c r="K120" s="63"/>
      <c r="L120" s="62"/>
      <c r="M120" s="63"/>
      <c r="N120" s="63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98"/>
      <c r="AA120" s="98"/>
      <c r="AB120" s="98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4"/>
      <c r="AU120" s="64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5"/>
      <c r="BN120" s="66">
        <f t="shared" si="43"/>
        <v>0</v>
      </c>
    </row>
    <row r="121" spans="1:66">
      <c r="A121" s="45" t="s">
        <v>62</v>
      </c>
      <c r="B121" s="77">
        <f>H113-BM113</f>
        <v>0</v>
      </c>
      <c r="C121" s="77" t="s">
        <v>20</v>
      </c>
      <c r="D121" s="123">
        <v>1</v>
      </c>
      <c r="E121" s="124" t="s">
        <v>166</v>
      </c>
      <c r="F121" s="58">
        <v>390576970.32000005</v>
      </c>
      <c r="G121" s="59">
        <f>F121*1.11</f>
        <v>433540437.0552001</v>
      </c>
      <c r="H121" s="78">
        <f>100*G121/$G$166</f>
        <v>1.2599257107096775</v>
      </c>
      <c r="I121" s="61">
        <v>6</v>
      </c>
      <c r="J121" s="62"/>
      <c r="K121" s="63"/>
      <c r="L121" s="62"/>
      <c r="M121" s="63"/>
      <c r="N121" s="63"/>
      <c r="O121" s="63"/>
      <c r="P121" s="63"/>
      <c r="Q121" s="63"/>
      <c r="R121" s="63"/>
      <c r="S121" s="63"/>
      <c r="T121" s="122">
        <f>$H$121/$I$121*T122</f>
        <v>0</v>
      </c>
      <c r="U121" s="122">
        <f t="shared" ref="U121:Y121" si="83">$H$121/$I$121*U122</f>
        <v>2.0998761845161293E-2</v>
      </c>
      <c r="V121" s="122">
        <f t="shared" si="83"/>
        <v>0.13649195199354841</v>
      </c>
      <c r="W121" s="122">
        <f t="shared" si="83"/>
        <v>0.24148576121935486</v>
      </c>
      <c r="X121" s="122">
        <f t="shared" si="83"/>
        <v>0.33598018952258069</v>
      </c>
      <c r="Y121" s="122">
        <f t="shared" si="83"/>
        <v>0.52496904612903228</v>
      </c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4"/>
      <c r="AU121" s="64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103"/>
      <c r="BM121" s="65">
        <f t="shared" ref="BM121" si="84">SUM(J121:BL121)</f>
        <v>1.2599257107096775</v>
      </c>
      <c r="BN121" s="66">
        <f t="shared" si="43"/>
        <v>0</v>
      </c>
    </row>
    <row r="122" spans="1:66" hidden="1">
      <c r="B122" s="77"/>
      <c r="C122" s="77" t="s">
        <v>21</v>
      </c>
      <c r="D122" s="97"/>
      <c r="E122" s="82"/>
      <c r="F122" s="58"/>
      <c r="G122" s="59"/>
      <c r="H122" s="78"/>
      <c r="I122" s="83">
        <f>SUM(M122:BB122)</f>
        <v>6</v>
      </c>
      <c r="J122" s="62"/>
      <c r="K122" s="63"/>
      <c r="L122" s="62"/>
      <c r="M122" s="63"/>
      <c r="N122" s="87"/>
      <c r="O122" s="87"/>
      <c r="P122" s="87"/>
      <c r="Q122" s="87"/>
      <c r="R122" s="87"/>
      <c r="S122" s="87"/>
      <c r="T122" s="87">
        <v>0</v>
      </c>
      <c r="U122" s="87">
        <v>0.1</v>
      </c>
      <c r="V122" s="87">
        <v>0.65</v>
      </c>
      <c r="W122" s="87">
        <v>1.1499999999999999</v>
      </c>
      <c r="X122" s="87">
        <v>1.6</v>
      </c>
      <c r="Y122" s="87">
        <v>2.5</v>
      </c>
      <c r="Z122" s="98"/>
      <c r="AA122" s="98"/>
      <c r="AB122" s="98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4"/>
      <c r="AU122" s="64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5"/>
      <c r="BN122" s="66">
        <f t="shared" si="43"/>
        <v>0</v>
      </c>
    </row>
    <row r="123" spans="1:66">
      <c r="A123" s="45" t="s">
        <v>62</v>
      </c>
      <c r="B123" s="77">
        <f>H115-BM115</f>
        <v>0</v>
      </c>
      <c r="C123" s="77" t="s">
        <v>20</v>
      </c>
      <c r="D123" s="123">
        <v>2</v>
      </c>
      <c r="E123" s="124" t="s">
        <v>167</v>
      </c>
      <c r="F123" s="125">
        <v>1071842984.49</v>
      </c>
      <c r="G123" s="59">
        <f>F123*1.11</f>
        <v>1189745712.7839</v>
      </c>
      <c r="H123" s="78">
        <f>100*G123/$G$166</f>
        <v>3.4575580144838702</v>
      </c>
      <c r="I123" s="126">
        <v>5</v>
      </c>
      <c r="J123" s="62"/>
      <c r="K123" s="63"/>
      <c r="L123" s="62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122">
        <f>$H$123/$I$123*W124</f>
        <v>3.4575580144838705E-2</v>
      </c>
      <c r="X123" s="122">
        <f t="shared" ref="X123:AA123" si="85">$H$123/$I$123*X124</f>
        <v>3.4575580144838705E-2</v>
      </c>
      <c r="Y123" s="122">
        <f t="shared" si="85"/>
        <v>0.27660464115870964</v>
      </c>
      <c r="Z123" s="122">
        <f t="shared" si="85"/>
        <v>1.0372674043451611</v>
      </c>
      <c r="AA123" s="122">
        <f t="shared" si="85"/>
        <v>2.0745348086903221</v>
      </c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4"/>
      <c r="AU123" s="64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103"/>
      <c r="BM123" s="65">
        <f t="shared" ref="BM123" si="86">SUM(J123:BL123)</f>
        <v>3.4575580144838702</v>
      </c>
      <c r="BN123" s="66">
        <f t="shared" si="43"/>
        <v>0</v>
      </c>
    </row>
    <row r="124" spans="1:66" hidden="1">
      <c r="B124" s="77"/>
      <c r="C124" s="77" t="s">
        <v>21</v>
      </c>
      <c r="D124" s="97"/>
      <c r="E124" s="82"/>
      <c r="F124" s="125"/>
      <c r="G124" s="127"/>
      <c r="H124" s="128"/>
      <c r="I124" s="83">
        <f>SUM(M124:BB124)</f>
        <v>5</v>
      </c>
      <c r="J124" s="62"/>
      <c r="K124" s="63"/>
      <c r="L124" s="62"/>
      <c r="M124" s="63"/>
      <c r="N124" s="63"/>
      <c r="O124" s="87"/>
      <c r="P124" s="87"/>
      <c r="Q124" s="87"/>
      <c r="R124" s="87"/>
      <c r="S124" s="87"/>
      <c r="T124" s="87"/>
      <c r="U124" s="87"/>
      <c r="V124" s="87"/>
      <c r="W124" s="87">
        <v>0.05</v>
      </c>
      <c r="X124" s="87">
        <v>0.05</v>
      </c>
      <c r="Y124" s="87">
        <v>0.4</v>
      </c>
      <c r="Z124" s="87">
        <v>1.5</v>
      </c>
      <c r="AA124" s="87">
        <v>3</v>
      </c>
      <c r="AB124" s="98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4"/>
      <c r="AU124" s="64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5"/>
      <c r="BN124" s="66">
        <f t="shared" si="43"/>
        <v>0</v>
      </c>
    </row>
    <row r="125" spans="1:66">
      <c r="A125" s="45" t="s">
        <v>62</v>
      </c>
      <c r="B125" s="77">
        <f>H117-BM117</f>
        <v>0</v>
      </c>
      <c r="C125" s="77" t="s">
        <v>20</v>
      </c>
      <c r="D125" s="123">
        <v>3</v>
      </c>
      <c r="E125" s="124" t="s">
        <v>11</v>
      </c>
      <c r="F125" s="58">
        <v>1056366356.7179999</v>
      </c>
      <c r="G125" s="59">
        <f>F125*1.11</f>
        <v>1172566655.95698</v>
      </c>
      <c r="H125" s="78">
        <f>100*G125/$G$166</f>
        <v>3.4076334087677411</v>
      </c>
      <c r="I125" s="79">
        <v>8</v>
      </c>
      <c r="J125" s="62"/>
      <c r="K125" s="63"/>
      <c r="L125" s="62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122">
        <f>$H$125/$I$125*Y126</f>
        <v>2.1297708804798383E-2</v>
      </c>
      <c r="Z125" s="122">
        <f t="shared" ref="Z125:AF125" si="87">$H$125/$I$125*Z126</f>
        <v>0</v>
      </c>
      <c r="AA125" s="122">
        <f t="shared" si="87"/>
        <v>0</v>
      </c>
      <c r="AB125" s="122">
        <f t="shared" si="87"/>
        <v>0</v>
      </c>
      <c r="AC125" s="122">
        <f t="shared" si="87"/>
        <v>1.1500762754591127</v>
      </c>
      <c r="AD125" s="122">
        <f t="shared" si="87"/>
        <v>0.85190835219193528</v>
      </c>
      <c r="AE125" s="122">
        <f t="shared" si="87"/>
        <v>1.277862528287903</v>
      </c>
      <c r="AF125" s="122">
        <f t="shared" si="87"/>
        <v>0.10648854402399191</v>
      </c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4"/>
      <c r="AU125" s="64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103"/>
      <c r="BM125" s="65">
        <f t="shared" ref="BM125" si="88">SUM(J125:BL125)</f>
        <v>3.4076334087677411</v>
      </c>
      <c r="BN125" s="66">
        <f t="shared" si="43"/>
        <v>0</v>
      </c>
    </row>
    <row r="126" spans="1:66" hidden="1">
      <c r="B126" s="77"/>
      <c r="C126" s="77" t="s">
        <v>21</v>
      </c>
      <c r="D126" s="97"/>
      <c r="E126" s="82"/>
      <c r="F126" s="58"/>
      <c r="G126" s="59"/>
      <c r="H126" s="78"/>
      <c r="I126" s="83">
        <f>SUM(M126:BB126)</f>
        <v>8</v>
      </c>
      <c r="J126" s="62"/>
      <c r="K126" s="63"/>
      <c r="L126" s="62"/>
      <c r="M126" s="63"/>
      <c r="N126" s="63"/>
      <c r="O126" s="87"/>
      <c r="P126" s="87"/>
      <c r="Q126" s="87"/>
      <c r="R126" s="87"/>
      <c r="S126" s="87"/>
      <c r="T126" s="87"/>
      <c r="U126" s="98"/>
      <c r="V126" s="98"/>
      <c r="W126" s="98"/>
      <c r="X126" s="98"/>
      <c r="Y126" s="87">
        <v>0.05</v>
      </c>
      <c r="Z126" s="87">
        <v>0</v>
      </c>
      <c r="AA126" s="87">
        <v>0</v>
      </c>
      <c r="AB126" s="98">
        <v>0</v>
      </c>
      <c r="AC126" s="98">
        <v>2.7</v>
      </c>
      <c r="AD126" s="98">
        <v>2</v>
      </c>
      <c r="AE126" s="98">
        <v>3</v>
      </c>
      <c r="AF126" s="98">
        <v>0.25</v>
      </c>
      <c r="AG126" s="98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4"/>
      <c r="AU126" s="64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5"/>
      <c r="BN126" s="66">
        <f t="shared" si="43"/>
        <v>0</v>
      </c>
    </row>
    <row r="127" spans="1:66">
      <c r="A127" s="45" t="s">
        <v>62</v>
      </c>
      <c r="B127" s="77">
        <f>H109-BM109</f>
        <v>0</v>
      </c>
      <c r="C127" s="77" t="s">
        <v>20</v>
      </c>
      <c r="D127" s="123">
        <v>4</v>
      </c>
      <c r="E127" s="124" t="s">
        <v>168</v>
      </c>
      <c r="F127" s="58">
        <v>1414384287.4399998</v>
      </c>
      <c r="G127" s="59">
        <f>F127*1.11</f>
        <v>1569966559.0583999</v>
      </c>
      <c r="H127" s="78">
        <f>100*G127/$G$166</f>
        <v>4.5625299594838697</v>
      </c>
      <c r="I127" s="61">
        <v>6</v>
      </c>
      <c r="J127" s="62"/>
      <c r="K127" s="63"/>
      <c r="L127" s="62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122">
        <f>$H$127/$I$127*AB128</f>
        <v>0</v>
      </c>
      <c r="AC127" s="122">
        <f t="shared" ref="AC127:AG127" si="89">$H$127/$I$127*AC128</f>
        <v>7.6042165991397834E-2</v>
      </c>
      <c r="AD127" s="122">
        <f t="shared" si="89"/>
        <v>0.49427407894408587</v>
      </c>
      <c r="AE127" s="122">
        <f t="shared" si="89"/>
        <v>0.49427407894408587</v>
      </c>
      <c r="AF127" s="122">
        <f t="shared" si="89"/>
        <v>1.5968854858193544</v>
      </c>
      <c r="AG127" s="122">
        <f t="shared" si="89"/>
        <v>1.9010541497849456</v>
      </c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4"/>
      <c r="AU127" s="64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103"/>
      <c r="BM127" s="65">
        <f t="shared" ref="BM127" si="90">SUM(J127:BL127)</f>
        <v>4.5625299594838697</v>
      </c>
      <c r="BN127" s="66">
        <f t="shared" si="43"/>
        <v>0</v>
      </c>
    </row>
    <row r="128" spans="1:66" hidden="1">
      <c r="B128" s="77"/>
      <c r="C128" s="77" t="s">
        <v>21</v>
      </c>
      <c r="D128" s="97"/>
      <c r="E128" s="82"/>
      <c r="F128" s="58"/>
      <c r="G128" s="59"/>
      <c r="H128" s="78"/>
      <c r="I128" s="83">
        <f>SUM(M128:BB128)</f>
        <v>6</v>
      </c>
      <c r="J128" s="62"/>
      <c r="K128" s="63"/>
      <c r="L128" s="62"/>
      <c r="M128" s="63"/>
      <c r="N128" s="63"/>
      <c r="O128" s="87"/>
      <c r="P128" s="87"/>
      <c r="Q128" s="87"/>
      <c r="R128" s="87"/>
      <c r="S128" s="87"/>
      <c r="T128" s="87"/>
      <c r="U128" s="87"/>
      <c r="V128" s="87"/>
      <c r="W128" s="98"/>
      <c r="X128" s="98"/>
      <c r="Y128" s="98"/>
      <c r="Z128" s="98"/>
      <c r="AA128" s="98"/>
      <c r="AB128" s="87">
        <v>0</v>
      </c>
      <c r="AC128" s="87">
        <v>0.1</v>
      </c>
      <c r="AD128" s="87">
        <v>0.65</v>
      </c>
      <c r="AE128" s="87">
        <v>0.65</v>
      </c>
      <c r="AF128" s="87">
        <v>2.1</v>
      </c>
      <c r="AG128" s="87">
        <v>2.5</v>
      </c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4"/>
      <c r="AU128" s="64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5"/>
      <c r="BN128" s="66">
        <f t="shared" si="43"/>
        <v>0</v>
      </c>
    </row>
    <row r="129" spans="1:66">
      <c r="A129" s="45" t="s">
        <v>62</v>
      </c>
      <c r="B129" s="77">
        <f>H111-BM111</f>
        <v>0</v>
      </c>
      <c r="C129" s="77" t="s">
        <v>20</v>
      </c>
      <c r="D129" s="123">
        <v>5</v>
      </c>
      <c r="E129" s="124" t="s">
        <v>169</v>
      </c>
      <c r="F129" s="58">
        <v>1864966109.6979997</v>
      </c>
      <c r="G129" s="59">
        <f>F129*1.11</f>
        <v>2070112381.7647798</v>
      </c>
      <c r="H129" s="78">
        <f>100*G129/$G$166</f>
        <v>6.0160197087032232</v>
      </c>
      <c r="I129" s="61">
        <v>6</v>
      </c>
      <c r="J129" s="62"/>
      <c r="K129" s="63"/>
      <c r="L129" s="62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122">
        <f>$H$129/$I$129*AD130</f>
        <v>5.0133497572526865E-2</v>
      </c>
      <c r="AE129" s="122">
        <f t="shared" ref="AE129:AI129" si="91">$H$129/$I$129*AE130</f>
        <v>5.0133497572526865E-2</v>
      </c>
      <c r="AF129" s="122">
        <f t="shared" si="91"/>
        <v>0.15040049271758058</v>
      </c>
      <c r="AG129" s="122">
        <f t="shared" si="91"/>
        <v>0.50133497572526864</v>
      </c>
      <c r="AH129" s="122">
        <f t="shared" si="91"/>
        <v>2.6570753713439239</v>
      </c>
      <c r="AI129" s="122">
        <f t="shared" si="91"/>
        <v>2.606941873771397</v>
      </c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4"/>
      <c r="AU129" s="64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103"/>
      <c r="BM129" s="65">
        <f t="shared" ref="BM129" si="92">SUM(J129:BL129)</f>
        <v>6.0160197087032241</v>
      </c>
      <c r="BN129" s="66">
        <f t="shared" si="43"/>
        <v>0</v>
      </c>
    </row>
    <row r="130" spans="1:66" hidden="1">
      <c r="B130" s="77"/>
      <c r="C130" s="77" t="s">
        <v>21</v>
      </c>
      <c r="D130" s="97"/>
      <c r="E130" s="82"/>
      <c r="F130" s="58"/>
      <c r="G130" s="59"/>
      <c r="H130" s="78"/>
      <c r="I130" s="83">
        <f>SUM(M130:BB130)</f>
        <v>6</v>
      </c>
      <c r="J130" s="62"/>
      <c r="K130" s="63"/>
      <c r="L130" s="62"/>
      <c r="M130" s="63"/>
      <c r="N130" s="63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98"/>
      <c r="Z130" s="98"/>
      <c r="AA130" s="98"/>
      <c r="AB130" s="98"/>
      <c r="AC130" s="63"/>
      <c r="AD130" s="87">
        <v>0.05</v>
      </c>
      <c r="AE130" s="87">
        <v>0.05</v>
      </c>
      <c r="AF130" s="87">
        <v>0.15</v>
      </c>
      <c r="AG130" s="87">
        <v>0.5</v>
      </c>
      <c r="AH130" s="87">
        <v>2.65</v>
      </c>
      <c r="AI130" s="87">
        <v>2.6</v>
      </c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4"/>
      <c r="AU130" s="64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5"/>
      <c r="BN130" s="66">
        <f t="shared" si="43"/>
        <v>0</v>
      </c>
    </row>
    <row r="131" spans="1:66">
      <c r="A131" s="45" t="s">
        <v>62</v>
      </c>
      <c r="B131" s="77">
        <f>H113-BM113</f>
        <v>0</v>
      </c>
      <c r="C131" s="77" t="s">
        <v>20</v>
      </c>
      <c r="D131" s="123">
        <v>6</v>
      </c>
      <c r="E131" s="124" t="s">
        <v>170</v>
      </c>
      <c r="F131" s="58">
        <v>209427778.80000001</v>
      </c>
      <c r="G131" s="59">
        <f>F131*1.11</f>
        <v>232464834.46800002</v>
      </c>
      <c r="H131" s="78">
        <f>100*G131/$G$166</f>
        <v>0.67557347999999995</v>
      </c>
      <c r="I131" s="61">
        <v>8</v>
      </c>
      <c r="J131" s="62"/>
      <c r="K131" s="63"/>
      <c r="L131" s="62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122">
        <f>$H$131/$I$131*AJ132</f>
        <v>4.2223342500000002E-3</v>
      </c>
      <c r="AK131" s="122">
        <f t="shared" ref="AK131:AQ131" si="93">$H$131/$I$131*AK132</f>
        <v>8.4446685000000004E-3</v>
      </c>
      <c r="AL131" s="122">
        <f t="shared" si="93"/>
        <v>1.2667002749999998E-2</v>
      </c>
      <c r="AM131" s="122">
        <f t="shared" si="93"/>
        <v>5.9112679499999994E-2</v>
      </c>
      <c r="AN131" s="122">
        <f t="shared" si="93"/>
        <v>6.3335013750000002E-2</v>
      </c>
      <c r="AO131" s="122">
        <f t="shared" si="93"/>
        <v>8.4446684999999994E-2</v>
      </c>
      <c r="AP131" s="122">
        <f t="shared" si="93"/>
        <v>0.16889336999999999</v>
      </c>
      <c r="AQ131" s="122">
        <f t="shared" si="93"/>
        <v>0.27445172624999997</v>
      </c>
      <c r="AR131" s="63"/>
      <c r="AS131" s="63"/>
      <c r="AT131" s="64"/>
      <c r="AU131" s="64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103"/>
      <c r="BM131" s="65">
        <f t="shared" ref="BM131" si="94">SUM(J131:BL131)</f>
        <v>0.67557347999999995</v>
      </c>
      <c r="BN131" s="66">
        <f t="shared" si="43"/>
        <v>0</v>
      </c>
    </row>
    <row r="132" spans="1:66" hidden="1">
      <c r="B132" s="77"/>
      <c r="C132" s="77" t="s">
        <v>21</v>
      </c>
      <c r="D132" s="97"/>
      <c r="E132" s="82"/>
      <c r="F132" s="58"/>
      <c r="G132" s="59"/>
      <c r="H132" s="78"/>
      <c r="I132" s="83">
        <f>SUM(M132:BB132)</f>
        <v>8</v>
      </c>
      <c r="J132" s="62"/>
      <c r="K132" s="63"/>
      <c r="L132" s="62"/>
      <c r="M132" s="63"/>
      <c r="N132" s="63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98"/>
      <c r="Z132" s="98"/>
      <c r="AA132" s="98"/>
      <c r="AB132" s="98"/>
      <c r="AC132" s="87"/>
      <c r="AD132" s="87"/>
      <c r="AE132" s="87"/>
      <c r="AF132" s="98"/>
      <c r="AG132" s="98"/>
      <c r="AH132" s="98"/>
      <c r="AI132" s="98"/>
      <c r="AJ132" s="87">
        <v>0.05</v>
      </c>
      <c r="AK132" s="87">
        <v>0.1</v>
      </c>
      <c r="AL132" s="87">
        <v>0.15</v>
      </c>
      <c r="AM132" s="98">
        <v>0.7</v>
      </c>
      <c r="AN132" s="98">
        <v>0.75</v>
      </c>
      <c r="AO132" s="98">
        <v>1</v>
      </c>
      <c r="AP132" s="98">
        <v>2</v>
      </c>
      <c r="AQ132" s="98">
        <v>3.25</v>
      </c>
      <c r="AR132" s="63"/>
      <c r="AS132" s="63"/>
      <c r="AT132" s="64"/>
      <c r="AU132" s="64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5"/>
      <c r="BN132" s="66">
        <f t="shared" si="43"/>
        <v>0</v>
      </c>
    </row>
    <row r="133" spans="1:66">
      <c r="A133" s="45" t="s">
        <v>63</v>
      </c>
      <c r="D133" s="123" t="s">
        <v>171</v>
      </c>
      <c r="E133" s="124" t="s">
        <v>172</v>
      </c>
      <c r="F133" s="58">
        <v>351302432</v>
      </c>
      <c r="G133" s="59">
        <f>F133*1.11</f>
        <v>389945699.52000004</v>
      </c>
      <c r="H133" s="78">
        <f>100*G133/$G$166</f>
        <v>1.1332336516129031</v>
      </c>
      <c r="I133" s="61">
        <v>6</v>
      </c>
      <c r="J133" s="62"/>
      <c r="K133" s="63"/>
      <c r="L133" s="62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122">
        <f>$H$133/$I$133*AG134</f>
        <v>0</v>
      </c>
      <c r="AH133" s="122">
        <f t="shared" ref="AH133:AL133" si="95">$H$133/$I$133*AH134</f>
        <v>0</v>
      </c>
      <c r="AI133" s="122">
        <f t="shared" si="95"/>
        <v>0</v>
      </c>
      <c r="AJ133" s="122">
        <f t="shared" si="95"/>
        <v>7.5548910107526887E-2</v>
      </c>
      <c r="AK133" s="122">
        <f t="shared" si="95"/>
        <v>0.30219564043010755</v>
      </c>
      <c r="AL133" s="122">
        <f t="shared" si="95"/>
        <v>0.75548910107526879</v>
      </c>
      <c r="AM133" s="63"/>
      <c r="AN133" s="63"/>
      <c r="AO133" s="63"/>
      <c r="AP133" s="63"/>
      <c r="AQ133" s="63"/>
      <c r="AR133" s="63"/>
      <c r="AS133" s="63"/>
      <c r="AT133" s="64"/>
      <c r="AU133" s="64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5">
        <f t="shared" si="56"/>
        <v>1.1332336516129033</v>
      </c>
      <c r="BN133" s="66">
        <f t="shared" si="43"/>
        <v>0</v>
      </c>
    </row>
    <row r="134" spans="1:66" hidden="1">
      <c r="D134" s="97"/>
      <c r="E134" s="82"/>
      <c r="F134" s="58"/>
      <c r="G134" s="59"/>
      <c r="H134" s="78"/>
      <c r="I134" s="83">
        <f>SUM(M134:BH134)</f>
        <v>6</v>
      </c>
      <c r="J134" s="62"/>
      <c r="K134" s="63"/>
      <c r="L134" s="62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87">
        <v>0</v>
      </c>
      <c r="AH134" s="87">
        <v>0</v>
      </c>
      <c r="AI134" s="87">
        <v>0</v>
      </c>
      <c r="AJ134" s="87">
        <v>0.4</v>
      </c>
      <c r="AK134" s="87">
        <v>1.6</v>
      </c>
      <c r="AL134" s="87">
        <v>4</v>
      </c>
      <c r="AM134" s="63"/>
      <c r="AN134" s="63"/>
      <c r="AO134" s="63"/>
      <c r="AP134" s="63"/>
      <c r="AQ134" s="63"/>
      <c r="AR134" s="63"/>
      <c r="AS134" s="63"/>
      <c r="AT134" s="64"/>
      <c r="AU134" s="64"/>
      <c r="AV134" s="63"/>
      <c r="AW134" s="63"/>
      <c r="AX134" s="63"/>
      <c r="AY134" s="63"/>
      <c r="AZ134" s="63"/>
      <c r="BA134" s="63"/>
      <c r="BB134" s="63"/>
      <c r="BC134" s="63"/>
      <c r="BD134" s="63"/>
      <c r="BE134" s="99"/>
      <c r="BF134" s="63"/>
      <c r="BG134" s="99"/>
      <c r="BH134" s="99"/>
      <c r="BI134" s="63"/>
      <c r="BJ134" s="63"/>
      <c r="BK134" s="63"/>
      <c r="BL134" s="63"/>
      <c r="BM134" s="65"/>
      <c r="BN134" s="66">
        <f t="shared" si="43"/>
        <v>0</v>
      </c>
    </row>
    <row r="135" spans="1:66" s="88" customFormat="1" hidden="1">
      <c r="A135" s="88">
        <v>2.8</v>
      </c>
      <c r="B135" s="113"/>
      <c r="C135" s="113"/>
      <c r="D135" s="89" t="s">
        <v>197</v>
      </c>
      <c r="E135" s="57" t="s">
        <v>198</v>
      </c>
      <c r="F135" s="58"/>
      <c r="G135" s="59"/>
      <c r="H135" s="78"/>
      <c r="I135" s="93"/>
      <c r="J135" s="94"/>
      <c r="K135" s="95"/>
      <c r="L135" s="94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6"/>
      <c r="AU135" s="96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114"/>
      <c r="BG135" s="114"/>
      <c r="BH135" s="95"/>
      <c r="BI135" s="95"/>
      <c r="BJ135" s="95"/>
      <c r="BK135" s="95"/>
      <c r="BL135" s="95"/>
      <c r="BM135" s="65"/>
      <c r="BN135" s="66">
        <f t="shared" si="43"/>
        <v>0</v>
      </c>
    </row>
    <row r="136" spans="1:66">
      <c r="A136" s="45" t="s">
        <v>61</v>
      </c>
      <c r="B136" s="77">
        <f>H135-BM135</f>
        <v>0</v>
      </c>
      <c r="C136" s="77" t="s">
        <v>20</v>
      </c>
      <c r="D136" s="97" t="s">
        <v>162</v>
      </c>
      <c r="E136" s="82" t="s">
        <v>175</v>
      </c>
      <c r="F136" s="58">
        <v>1345209413.5999999</v>
      </c>
      <c r="G136" s="59">
        <f>F136*1.11</f>
        <v>1493182449.096</v>
      </c>
      <c r="H136" s="78">
        <f>100*G136/$G$166</f>
        <v>4.3393852051612898</v>
      </c>
      <c r="I136" s="61">
        <v>23</v>
      </c>
      <c r="J136" s="62"/>
      <c r="K136" s="63"/>
      <c r="L136" s="62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122">
        <f>$H$136/$I$136*AB137</f>
        <v>0</v>
      </c>
      <c r="AC136" s="122">
        <f t="shared" ref="AC136:AS136" si="96">$H$136/$I$136*AC137</f>
        <v>1.8866892196353433E-2</v>
      </c>
      <c r="AD136" s="122">
        <f t="shared" si="96"/>
        <v>1.8866892196353433E-2</v>
      </c>
      <c r="AE136" s="122">
        <f t="shared" si="96"/>
        <v>0</v>
      </c>
      <c r="AF136" s="122">
        <f t="shared" si="96"/>
        <v>0</v>
      </c>
      <c r="AG136" s="122">
        <f t="shared" si="96"/>
        <v>0</v>
      </c>
      <c r="AH136" s="122">
        <f t="shared" si="96"/>
        <v>0.13206824537447401</v>
      </c>
      <c r="AI136" s="122">
        <f t="shared" si="96"/>
        <v>0</v>
      </c>
      <c r="AJ136" s="122">
        <f t="shared" si="96"/>
        <v>0.1792354758653576</v>
      </c>
      <c r="AK136" s="122">
        <f t="shared" si="96"/>
        <v>0.14150169147265074</v>
      </c>
      <c r="AL136" s="122">
        <f t="shared" si="96"/>
        <v>0.18866892196353433</v>
      </c>
      <c r="AM136" s="122">
        <f t="shared" si="96"/>
        <v>0.32073716733800833</v>
      </c>
      <c r="AN136" s="122">
        <f t="shared" si="96"/>
        <v>0</v>
      </c>
      <c r="AO136" s="122">
        <f t="shared" si="96"/>
        <v>0.37733784392706865</v>
      </c>
      <c r="AP136" s="122">
        <f t="shared" si="96"/>
        <v>0.18866892196353433</v>
      </c>
      <c r="AQ136" s="122">
        <f t="shared" si="96"/>
        <v>0.18866892196353433</v>
      </c>
      <c r="AR136" s="122">
        <f t="shared" si="96"/>
        <v>0.18866892196353433</v>
      </c>
      <c r="AS136" s="122">
        <f t="shared" si="96"/>
        <v>0.18866892196353433</v>
      </c>
      <c r="AT136" s="64"/>
      <c r="AU136" s="64"/>
      <c r="AV136" s="122">
        <f t="shared" ref="AV136" si="97">$H$136/$I$136*AV137</f>
        <v>0.18866892196353433</v>
      </c>
      <c r="AW136" s="122">
        <f t="shared" ref="AW136" si="98">$H$136/$I$136*AW137</f>
        <v>0.32073716733800833</v>
      </c>
      <c r="AX136" s="122">
        <f t="shared" ref="AX136" si="99">$H$136/$I$136*AX137</f>
        <v>0.37733784392706865</v>
      </c>
      <c r="AY136" s="122">
        <f t="shared" ref="AY136" si="100">$H$136/$I$136*AY137</f>
        <v>0.56600676589060295</v>
      </c>
      <c r="AZ136" s="122">
        <f t="shared" ref="AZ136" si="101">$H$136/$I$136*AZ137</f>
        <v>0.7546756878541373</v>
      </c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5">
        <f t="shared" si="56"/>
        <v>4.339385205161288</v>
      </c>
      <c r="BN136" s="66">
        <f t="shared" si="43"/>
        <v>0</v>
      </c>
    </row>
    <row r="137" spans="1:66" hidden="1">
      <c r="B137" s="77"/>
      <c r="C137" s="77" t="s">
        <v>21</v>
      </c>
      <c r="D137" s="97"/>
      <c r="E137" s="82"/>
      <c r="F137" s="58"/>
      <c r="G137" s="59"/>
      <c r="H137" s="78"/>
      <c r="I137" s="83">
        <f>SUM(M137:BH137)</f>
        <v>23</v>
      </c>
      <c r="J137" s="62"/>
      <c r="K137" s="63"/>
      <c r="L137" s="62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87">
        <v>0</v>
      </c>
      <c r="AC137" s="87">
        <v>0.1</v>
      </c>
      <c r="AD137" s="87">
        <v>0.1</v>
      </c>
      <c r="AE137" s="87">
        <v>0</v>
      </c>
      <c r="AF137" s="87">
        <v>0</v>
      </c>
      <c r="AG137" s="87">
        <v>0</v>
      </c>
      <c r="AH137" s="87">
        <v>0.7</v>
      </c>
      <c r="AI137" s="87">
        <v>0</v>
      </c>
      <c r="AJ137" s="87">
        <v>0.95</v>
      </c>
      <c r="AK137" s="87">
        <v>0.75</v>
      </c>
      <c r="AL137" s="87">
        <v>1</v>
      </c>
      <c r="AM137" s="87">
        <v>1.7</v>
      </c>
      <c r="AN137" s="87">
        <v>0</v>
      </c>
      <c r="AO137" s="87">
        <v>2</v>
      </c>
      <c r="AP137" s="87">
        <v>1</v>
      </c>
      <c r="AQ137" s="87">
        <v>1</v>
      </c>
      <c r="AR137" s="87">
        <v>1</v>
      </c>
      <c r="AS137" s="87">
        <v>1</v>
      </c>
      <c r="AT137" s="64"/>
      <c r="AU137" s="64"/>
      <c r="AV137" s="87">
        <v>1</v>
      </c>
      <c r="AW137" s="98">
        <v>1.7</v>
      </c>
      <c r="AX137" s="98">
        <v>2</v>
      </c>
      <c r="AY137" s="98">
        <v>3</v>
      </c>
      <c r="AZ137" s="98">
        <v>4</v>
      </c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5"/>
      <c r="BN137" s="66">
        <f t="shared" si="43"/>
        <v>0</v>
      </c>
    </row>
    <row r="138" spans="1:66">
      <c r="A138" s="45" t="s">
        <v>62</v>
      </c>
      <c r="B138" s="77">
        <f>H136-BM136</f>
        <v>0</v>
      </c>
      <c r="C138" s="77" t="s">
        <v>20</v>
      </c>
      <c r="D138" s="123" t="s">
        <v>164</v>
      </c>
      <c r="E138" s="124" t="s">
        <v>176</v>
      </c>
      <c r="F138" s="58">
        <v>584324798.79999995</v>
      </c>
      <c r="G138" s="59">
        <f>F138*1.11</f>
        <v>648600526.66799998</v>
      </c>
      <c r="H138" s="78">
        <f>100*G138/$G$166</f>
        <v>1.8849187058064512</v>
      </c>
      <c r="I138" s="61">
        <v>20</v>
      </c>
      <c r="J138" s="62"/>
      <c r="K138" s="63"/>
      <c r="L138" s="62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122">
        <f>$H$138/$I$138*AE139</f>
        <v>4.7122967645161287E-3</v>
      </c>
      <c r="AF138" s="122">
        <f t="shared" ref="AF138:AS138" si="102">$H$138/$I$138*AF139</f>
        <v>4.7122967645161287E-3</v>
      </c>
      <c r="AG138" s="122">
        <f t="shared" si="102"/>
        <v>9.4245935290322574E-3</v>
      </c>
      <c r="AH138" s="122">
        <f t="shared" si="102"/>
        <v>9.4245935290322574E-3</v>
      </c>
      <c r="AI138" s="122">
        <f t="shared" si="102"/>
        <v>2.356148382258064E-2</v>
      </c>
      <c r="AJ138" s="122">
        <f t="shared" si="102"/>
        <v>2.356148382258064E-2</v>
      </c>
      <c r="AK138" s="122">
        <f t="shared" si="102"/>
        <v>4.712296764516128E-2</v>
      </c>
      <c r="AL138" s="122">
        <f t="shared" si="102"/>
        <v>4.712296764516128E-2</v>
      </c>
      <c r="AM138" s="122">
        <f t="shared" si="102"/>
        <v>7.0684451467741924E-2</v>
      </c>
      <c r="AN138" s="122">
        <f t="shared" si="102"/>
        <v>7.0684451467741924E-2</v>
      </c>
      <c r="AO138" s="122">
        <f t="shared" si="102"/>
        <v>9.4245935290322561E-2</v>
      </c>
      <c r="AP138" s="122">
        <f t="shared" si="102"/>
        <v>9.4245935290322561E-2</v>
      </c>
      <c r="AQ138" s="122">
        <f t="shared" si="102"/>
        <v>9.4245935290322561E-2</v>
      </c>
      <c r="AR138" s="122">
        <f t="shared" si="102"/>
        <v>9.4245935290322561E-2</v>
      </c>
      <c r="AS138" s="122">
        <f t="shared" si="102"/>
        <v>9.4245935290322561E-2</v>
      </c>
      <c r="AT138" s="64"/>
      <c r="AU138" s="64"/>
      <c r="AV138" s="122">
        <f t="shared" ref="AV138" si="103">$H$138/$I$138*AV139</f>
        <v>9.4245935290322561E-2</v>
      </c>
      <c r="AW138" s="122">
        <f t="shared" ref="AW138" si="104">$H$138/$I$138*AW139</f>
        <v>0.16021808999354833</v>
      </c>
      <c r="AX138" s="122">
        <f t="shared" ref="AX138" si="105">$H$138/$I$138*AX139</f>
        <v>0.18849187058064512</v>
      </c>
      <c r="AY138" s="122">
        <f t="shared" ref="AY138" si="106">$H$138/$I$138*AY139</f>
        <v>0.2827378058709677</v>
      </c>
      <c r="AZ138" s="122">
        <f>$H$138/$I$138*AZ139</f>
        <v>0.37698374116129024</v>
      </c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103"/>
      <c r="BM138" s="65">
        <f t="shared" si="56"/>
        <v>1.8849187058064512</v>
      </c>
      <c r="BN138" s="66">
        <f t="shared" si="43"/>
        <v>0</v>
      </c>
    </row>
    <row r="139" spans="1:66" hidden="1">
      <c r="B139" s="77"/>
      <c r="C139" s="77" t="s">
        <v>21</v>
      </c>
      <c r="D139" s="97"/>
      <c r="E139" s="82"/>
      <c r="F139" s="58"/>
      <c r="G139" s="59"/>
      <c r="H139" s="78"/>
      <c r="I139" s="83">
        <f>SUM(M139:BH139)</f>
        <v>20</v>
      </c>
      <c r="J139" s="62"/>
      <c r="K139" s="63"/>
      <c r="L139" s="62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87">
        <v>0.05</v>
      </c>
      <c r="AF139" s="87">
        <v>0.05</v>
      </c>
      <c r="AG139" s="87">
        <v>0.1</v>
      </c>
      <c r="AH139" s="87">
        <v>0.1</v>
      </c>
      <c r="AI139" s="87">
        <v>0.25</v>
      </c>
      <c r="AJ139" s="87">
        <v>0.25</v>
      </c>
      <c r="AK139" s="87">
        <v>0.5</v>
      </c>
      <c r="AL139" s="87">
        <v>0.5</v>
      </c>
      <c r="AM139" s="87">
        <v>0.75</v>
      </c>
      <c r="AN139" s="87">
        <v>0.75</v>
      </c>
      <c r="AO139" s="87">
        <v>1</v>
      </c>
      <c r="AP139" s="87">
        <v>1</v>
      </c>
      <c r="AQ139" s="87">
        <v>1</v>
      </c>
      <c r="AR139" s="87">
        <v>1</v>
      </c>
      <c r="AS139" s="87">
        <v>1</v>
      </c>
      <c r="AT139" s="64"/>
      <c r="AU139" s="64"/>
      <c r="AV139" s="87">
        <v>1</v>
      </c>
      <c r="AW139" s="98">
        <v>1.7</v>
      </c>
      <c r="AX139" s="98">
        <v>2</v>
      </c>
      <c r="AY139" s="98">
        <v>3</v>
      </c>
      <c r="AZ139" s="98">
        <v>4</v>
      </c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5"/>
      <c r="BN139" s="66">
        <f t="shared" si="43"/>
        <v>0</v>
      </c>
    </row>
    <row r="140" spans="1:66">
      <c r="A140" s="45" t="s">
        <v>63</v>
      </c>
      <c r="C140" s="45" t="s">
        <v>177</v>
      </c>
      <c r="D140" s="123" t="s">
        <v>171</v>
      </c>
      <c r="E140" s="124" t="s">
        <v>178</v>
      </c>
      <c r="F140" s="58">
        <v>190144000</v>
      </c>
      <c r="G140" s="59">
        <f>F140*1.11</f>
        <v>211059840.00000003</v>
      </c>
      <c r="H140" s="78">
        <f>100*G140/$G$166</f>
        <v>0.61336774193548382</v>
      </c>
      <c r="I140" s="61">
        <v>18</v>
      </c>
      <c r="J140" s="62"/>
      <c r="K140" s="63"/>
      <c r="L140" s="62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122">
        <f>$H$140/$I$140*AG141</f>
        <v>1.7037992831541217E-3</v>
      </c>
      <c r="AH140" s="122">
        <f t="shared" ref="AH140:AS140" si="107">$H$140/$I$140*AH141</f>
        <v>1.7037992831541217E-3</v>
      </c>
      <c r="AI140" s="122">
        <f t="shared" si="107"/>
        <v>3.4075985663082433E-3</v>
      </c>
      <c r="AJ140" s="122">
        <f t="shared" si="107"/>
        <v>3.4075985663082433E-3</v>
      </c>
      <c r="AK140" s="122">
        <f t="shared" si="107"/>
        <v>8.5189964157706081E-3</v>
      </c>
      <c r="AL140" s="122">
        <f t="shared" si="107"/>
        <v>8.5189964157706081E-3</v>
      </c>
      <c r="AM140" s="122">
        <f t="shared" si="107"/>
        <v>1.7037992831541216E-2</v>
      </c>
      <c r="AN140" s="122">
        <f t="shared" si="107"/>
        <v>1.7037992831541216E-2</v>
      </c>
      <c r="AO140" s="122">
        <f t="shared" si="107"/>
        <v>2.5556989247311826E-2</v>
      </c>
      <c r="AP140" s="122">
        <f t="shared" si="107"/>
        <v>2.5556989247311826E-2</v>
      </c>
      <c r="AQ140" s="122">
        <f t="shared" si="107"/>
        <v>3.4075985663082432E-2</v>
      </c>
      <c r="AR140" s="122">
        <f t="shared" si="107"/>
        <v>3.4075985663082432E-2</v>
      </c>
      <c r="AS140" s="122">
        <f t="shared" si="107"/>
        <v>3.4075985663082432E-2</v>
      </c>
      <c r="AT140" s="96"/>
      <c r="AU140" s="96"/>
      <c r="AV140" s="122">
        <f>$H$140/$I$140*AV141</f>
        <v>3.4075985663082432E-2</v>
      </c>
      <c r="AW140" s="122">
        <f t="shared" ref="AW140" si="108">$H$140/$I$140*AW141</f>
        <v>5.7929175627240134E-2</v>
      </c>
      <c r="AX140" s="122">
        <f t="shared" ref="AX140" si="109">$H$140/$I$140*AX141</f>
        <v>6.8151971326164865E-2</v>
      </c>
      <c r="AY140" s="122">
        <f t="shared" ref="AY140" si="110">$H$140/$I$140*AY141</f>
        <v>0.1022279569892473</v>
      </c>
      <c r="AZ140" s="122">
        <f>$H$140/$I$140*AZ141</f>
        <v>0.13630394265232973</v>
      </c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5">
        <f t="shared" si="56"/>
        <v>0.61336774193548371</v>
      </c>
      <c r="BN140" s="66">
        <f t="shared" ref="BN140:BN166" si="111">BM140-H140</f>
        <v>0</v>
      </c>
    </row>
    <row r="141" spans="1:66" hidden="1">
      <c r="B141" s="77"/>
      <c r="C141" s="77" t="s">
        <v>21</v>
      </c>
      <c r="D141" s="97"/>
      <c r="E141" s="82"/>
      <c r="F141" s="58"/>
      <c r="G141" s="59"/>
      <c r="H141" s="78"/>
      <c r="I141" s="83">
        <f>SUM(M141:BH141)</f>
        <v>18</v>
      </c>
      <c r="J141" s="62"/>
      <c r="K141" s="63"/>
      <c r="L141" s="62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87">
        <v>0.05</v>
      </c>
      <c r="AH141" s="87">
        <v>0.05</v>
      </c>
      <c r="AI141" s="87">
        <v>0.1</v>
      </c>
      <c r="AJ141" s="87">
        <v>0.1</v>
      </c>
      <c r="AK141" s="87">
        <v>0.25</v>
      </c>
      <c r="AL141" s="87">
        <v>0.25</v>
      </c>
      <c r="AM141" s="87">
        <v>0.5</v>
      </c>
      <c r="AN141" s="87">
        <v>0.5</v>
      </c>
      <c r="AO141" s="87">
        <v>0.75</v>
      </c>
      <c r="AP141" s="87">
        <v>0.75</v>
      </c>
      <c r="AQ141" s="87">
        <v>1</v>
      </c>
      <c r="AR141" s="87">
        <v>1</v>
      </c>
      <c r="AS141" s="87">
        <v>1</v>
      </c>
      <c r="AT141" s="64"/>
      <c r="AU141" s="64"/>
      <c r="AV141" s="87">
        <v>1</v>
      </c>
      <c r="AW141" s="98">
        <v>1.7</v>
      </c>
      <c r="AX141" s="98">
        <v>2</v>
      </c>
      <c r="AY141" s="98">
        <v>3</v>
      </c>
      <c r="AZ141" s="98">
        <v>4</v>
      </c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5"/>
      <c r="BN141" s="66">
        <f t="shared" si="111"/>
        <v>0</v>
      </c>
    </row>
    <row r="142" spans="1:66">
      <c r="A142" s="45" t="s">
        <v>61</v>
      </c>
      <c r="B142" s="77">
        <f>H141-BM141</f>
        <v>0</v>
      </c>
      <c r="C142" s="77" t="s">
        <v>20</v>
      </c>
      <c r="D142" s="97" t="s">
        <v>179</v>
      </c>
      <c r="E142" s="82" t="s">
        <v>180</v>
      </c>
      <c r="F142" s="58">
        <v>129073625</v>
      </c>
      <c r="G142" s="59">
        <f>F142*1.11</f>
        <v>143271723.75</v>
      </c>
      <c r="H142" s="78">
        <f>100*G142/$G$166</f>
        <v>0.41636653225806441</v>
      </c>
      <c r="I142" s="61">
        <v>18</v>
      </c>
      <c r="J142" s="62"/>
      <c r="K142" s="63"/>
      <c r="L142" s="62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122">
        <f>$H$142/$I$142*AG143</f>
        <v>1.1565737007168456E-3</v>
      </c>
      <c r="AH142" s="122">
        <f t="shared" ref="AH142:AS142" si="112">$H$142/$I$142*AH143</f>
        <v>1.1565737007168456E-3</v>
      </c>
      <c r="AI142" s="122">
        <f t="shared" si="112"/>
        <v>2.3131474014336912E-3</v>
      </c>
      <c r="AJ142" s="122">
        <f t="shared" si="112"/>
        <v>2.3131474014336912E-3</v>
      </c>
      <c r="AK142" s="122">
        <f t="shared" si="112"/>
        <v>5.7828685035842282E-3</v>
      </c>
      <c r="AL142" s="122">
        <f t="shared" si="112"/>
        <v>5.7828685035842282E-3</v>
      </c>
      <c r="AM142" s="122">
        <f t="shared" si="112"/>
        <v>1.1565737007168456E-2</v>
      </c>
      <c r="AN142" s="122">
        <f t="shared" si="112"/>
        <v>1.1565737007168456E-2</v>
      </c>
      <c r="AO142" s="122">
        <f t="shared" si="112"/>
        <v>1.7348605510752686E-2</v>
      </c>
      <c r="AP142" s="122">
        <f t="shared" si="112"/>
        <v>1.7348605510752686E-2</v>
      </c>
      <c r="AQ142" s="122">
        <f t="shared" si="112"/>
        <v>2.3131474014336913E-2</v>
      </c>
      <c r="AR142" s="122">
        <f t="shared" si="112"/>
        <v>2.3131474014336913E-2</v>
      </c>
      <c r="AS142" s="122">
        <f t="shared" si="112"/>
        <v>2.3131474014336913E-2</v>
      </c>
      <c r="AT142" s="64"/>
      <c r="AU142" s="64"/>
      <c r="AV142" s="122">
        <f t="shared" ref="AV142" si="113">$H$142/$I$142*AV143</f>
        <v>2.3131474014336913E-2</v>
      </c>
      <c r="AW142" s="122">
        <f t="shared" ref="AW142" si="114">$H$142/$I$142*AW143</f>
        <v>3.9323505824372752E-2</v>
      </c>
      <c r="AX142" s="122">
        <f t="shared" ref="AX142" si="115">$H$142/$I$142*AX143</f>
        <v>4.6262948028673825E-2</v>
      </c>
      <c r="AY142" s="122">
        <f t="shared" ref="AY142" si="116">$H$142/$I$142*AY143</f>
        <v>6.9394422043010745E-2</v>
      </c>
      <c r="AZ142" s="122">
        <f t="shared" ref="AZ142" si="117">$H$142/$I$142*AZ143</f>
        <v>9.2525896057347651E-2</v>
      </c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5">
        <f t="shared" si="56"/>
        <v>0.41636653225806441</v>
      </c>
      <c r="BN142" s="66">
        <f t="shared" si="111"/>
        <v>0</v>
      </c>
    </row>
    <row r="143" spans="1:66" hidden="1">
      <c r="B143" s="77"/>
      <c r="C143" s="77" t="s">
        <v>21</v>
      </c>
      <c r="D143" s="97"/>
      <c r="E143" s="82"/>
      <c r="F143" s="58"/>
      <c r="G143" s="59"/>
      <c r="H143" s="78"/>
      <c r="I143" s="83">
        <f>SUM(M143:BH143)</f>
        <v>18</v>
      </c>
      <c r="J143" s="62"/>
      <c r="K143" s="63"/>
      <c r="L143" s="62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87">
        <v>0.05</v>
      </c>
      <c r="AH143" s="87">
        <v>0.05</v>
      </c>
      <c r="AI143" s="87">
        <v>0.1</v>
      </c>
      <c r="AJ143" s="87">
        <v>0.1</v>
      </c>
      <c r="AK143" s="87">
        <v>0.25</v>
      </c>
      <c r="AL143" s="87">
        <v>0.25</v>
      </c>
      <c r="AM143" s="87">
        <v>0.5</v>
      </c>
      <c r="AN143" s="87">
        <v>0.5</v>
      </c>
      <c r="AO143" s="87">
        <v>0.75</v>
      </c>
      <c r="AP143" s="87">
        <v>0.75</v>
      </c>
      <c r="AQ143" s="87">
        <v>1</v>
      </c>
      <c r="AR143" s="87">
        <v>1</v>
      </c>
      <c r="AS143" s="87">
        <v>1</v>
      </c>
      <c r="AT143" s="64"/>
      <c r="AU143" s="64"/>
      <c r="AV143" s="87">
        <v>1</v>
      </c>
      <c r="AW143" s="98">
        <v>1.7</v>
      </c>
      <c r="AX143" s="98">
        <v>2</v>
      </c>
      <c r="AY143" s="98">
        <v>3</v>
      </c>
      <c r="AZ143" s="98">
        <v>4</v>
      </c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5"/>
      <c r="BN143" s="66">
        <f t="shared" si="111"/>
        <v>0</v>
      </c>
    </row>
    <row r="144" spans="1:66">
      <c r="A144" s="45" t="s">
        <v>62</v>
      </c>
      <c r="B144" s="77">
        <f>H142-BM142</f>
        <v>0</v>
      </c>
      <c r="C144" s="77" t="s">
        <v>20</v>
      </c>
      <c r="D144" s="123" t="s">
        <v>181</v>
      </c>
      <c r="E144" s="124" t="s">
        <v>182</v>
      </c>
      <c r="F144" s="58">
        <v>135598152</v>
      </c>
      <c r="G144" s="59">
        <f>F144*1.11</f>
        <v>150513948.72</v>
      </c>
      <c r="H144" s="78">
        <f>100*G144/$G$166</f>
        <v>0.43741339354838699</v>
      </c>
      <c r="I144" s="61">
        <v>13</v>
      </c>
      <c r="J144" s="62"/>
      <c r="K144" s="63"/>
      <c r="L144" s="62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122">
        <f>$H$144/$I$144*AL145</f>
        <v>1.6823592059553348E-3</v>
      </c>
      <c r="AM144" s="122">
        <f t="shared" ref="AM144:AS144" si="118">$H$144/$I$144*AM145</f>
        <v>1.6823592059553348E-3</v>
      </c>
      <c r="AN144" s="122">
        <f t="shared" si="118"/>
        <v>3.3647184119106697E-3</v>
      </c>
      <c r="AO144" s="122">
        <f t="shared" si="118"/>
        <v>3.3647184119106697E-3</v>
      </c>
      <c r="AP144" s="122">
        <f t="shared" si="118"/>
        <v>8.4117960297766733E-3</v>
      </c>
      <c r="AQ144" s="122">
        <f t="shared" si="118"/>
        <v>8.4117960297766733E-3</v>
      </c>
      <c r="AR144" s="122">
        <f t="shared" si="118"/>
        <v>1.6823592059553347E-2</v>
      </c>
      <c r="AS144" s="122">
        <f t="shared" si="118"/>
        <v>1.6823592059553347E-2</v>
      </c>
      <c r="AT144" s="64"/>
      <c r="AU144" s="64"/>
      <c r="AV144" s="122">
        <f t="shared" ref="AV144" si="119">$H$144/$I$144*AV145</f>
        <v>2.523538808933002E-2</v>
      </c>
      <c r="AW144" s="122">
        <f t="shared" ref="AW144" si="120">$H$144/$I$144*AW145</f>
        <v>5.047077617866004E-2</v>
      </c>
      <c r="AX144" s="122">
        <f t="shared" ref="AX144" si="121">$H$144/$I$144*AX145</f>
        <v>6.5612009032258056E-2</v>
      </c>
      <c r="AY144" s="122">
        <f t="shared" ref="AY144" si="122">$H$144/$I$144*AY145</f>
        <v>0.10094155235732008</v>
      </c>
      <c r="AZ144" s="122">
        <f t="shared" ref="AZ144" si="123">$H$144/$I$144*AZ145</f>
        <v>0.13458873647642677</v>
      </c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103"/>
      <c r="BM144" s="65">
        <f t="shared" si="56"/>
        <v>0.43741339354838704</v>
      </c>
      <c r="BN144" s="66">
        <f t="shared" si="111"/>
        <v>0</v>
      </c>
    </row>
    <row r="145" spans="1:66" hidden="1">
      <c r="B145" s="77"/>
      <c r="C145" s="77" t="s">
        <v>21</v>
      </c>
      <c r="D145" s="97"/>
      <c r="E145" s="82"/>
      <c r="F145" s="58"/>
      <c r="G145" s="59"/>
      <c r="H145" s="78"/>
      <c r="I145" s="83">
        <f>SUM(M145:BH145)</f>
        <v>13</v>
      </c>
      <c r="J145" s="62"/>
      <c r="K145" s="63"/>
      <c r="L145" s="62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87">
        <v>0.05</v>
      </c>
      <c r="AM145" s="87">
        <v>0.05</v>
      </c>
      <c r="AN145" s="87">
        <v>0.1</v>
      </c>
      <c r="AO145" s="87">
        <v>0.1</v>
      </c>
      <c r="AP145" s="87">
        <v>0.25</v>
      </c>
      <c r="AQ145" s="87">
        <v>0.25</v>
      </c>
      <c r="AR145" s="87">
        <v>0.5</v>
      </c>
      <c r="AS145" s="87">
        <v>0.5</v>
      </c>
      <c r="AT145" s="64"/>
      <c r="AU145" s="64"/>
      <c r="AV145" s="87">
        <v>0.75</v>
      </c>
      <c r="AW145" s="87">
        <v>1.5</v>
      </c>
      <c r="AX145" s="87">
        <v>1.95</v>
      </c>
      <c r="AY145" s="98">
        <v>3</v>
      </c>
      <c r="AZ145" s="98">
        <v>4</v>
      </c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5"/>
      <c r="BN145" s="66">
        <f t="shared" si="111"/>
        <v>0</v>
      </c>
    </row>
    <row r="146" spans="1:66">
      <c r="A146" s="45" t="s">
        <v>63</v>
      </c>
      <c r="C146" s="45" t="s">
        <v>20</v>
      </c>
      <c r="D146" s="123" t="s">
        <v>183</v>
      </c>
      <c r="E146" s="124" t="s">
        <v>184</v>
      </c>
      <c r="F146" s="58">
        <v>236522799.39999998</v>
      </c>
      <c r="G146" s="59">
        <f>F146*1.11</f>
        <v>262540307.33399999</v>
      </c>
      <c r="H146" s="78">
        <f>100*G146/$G$166</f>
        <v>0.76297677225806426</v>
      </c>
      <c r="I146" s="61">
        <v>15</v>
      </c>
      <c r="J146" s="62"/>
      <c r="K146" s="63"/>
      <c r="L146" s="62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122">
        <f>$H$146/$I$146*AN147</f>
        <v>2.5432559075268812E-3</v>
      </c>
      <c r="AO146" s="122">
        <f t="shared" ref="AO146:AS146" si="124">$H$146/$I$146*AO147</f>
        <v>2.5432559075268812E-3</v>
      </c>
      <c r="AP146" s="122">
        <f t="shared" si="124"/>
        <v>5.0865118150537625E-3</v>
      </c>
      <c r="AQ146" s="122">
        <f t="shared" si="124"/>
        <v>5.0865118150537625E-3</v>
      </c>
      <c r="AR146" s="122">
        <f t="shared" si="124"/>
        <v>1.2716279537634404E-2</v>
      </c>
      <c r="AS146" s="122">
        <f t="shared" si="124"/>
        <v>1.2716279537634404E-2</v>
      </c>
      <c r="AT146" s="64"/>
      <c r="AU146" s="64"/>
      <c r="AV146" s="122">
        <f t="shared" ref="AV146" si="125">$H$146/$I$146*AV147</f>
        <v>2.5432559075268809E-2</v>
      </c>
      <c r="AW146" s="122">
        <f t="shared" ref="AW146" si="126">$H$146/$I$146*AW147</f>
        <v>2.5432559075268809E-2</v>
      </c>
      <c r="AX146" s="122">
        <f t="shared" ref="AX146" si="127">$H$146/$I$146*AX147</f>
        <v>3.8148838612903212E-2</v>
      </c>
      <c r="AY146" s="122">
        <f t="shared" ref="AY146" si="128">$H$146/$I$146*AY147</f>
        <v>5.0865118150537618E-2</v>
      </c>
      <c r="AZ146" s="122">
        <f t="shared" ref="AZ146" si="129">$H$146/$I$146*AZ147</f>
        <v>5.0865118150537618E-2</v>
      </c>
      <c r="BA146" s="122">
        <f t="shared" ref="BA146" si="130">$H$146/$I$146*BA147</f>
        <v>0.17548465761935478</v>
      </c>
      <c r="BB146" s="122">
        <f t="shared" ref="BB146" si="131">$H$146/$I$146*BB147</f>
        <v>0.15259535445161285</v>
      </c>
      <c r="BC146" s="122">
        <f t="shared" ref="BC146" si="132">$H$146/$I$146*BC147</f>
        <v>0.20346047260215047</v>
      </c>
      <c r="BD146" s="122">
        <f t="shared" ref="BD146" si="133">$H$146/$I$146*BD147</f>
        <v>0</v>
      </c>
      <c r="BE146" s="63"/>
      <c r="BF146" s="63"/>
      <c r="BG146" s="63"/>
      <c r="BH146" s="63"/>
      <c r="BI146" s="63"/>
      <c r="BJ146" s="63"/>
      <c r="BK146" s="63"/>
      <c r="BL146" s="63"/>
      <c r="BM146" s="65">
        <f t="shared" si="56"/>
        <v>0.76297677225806437</v>
      </c>
      <c r="BN146" s="66">
        <f t="shared" si="111"/>
        <v>0</v>
      </c>
    </row>
    <row r="147" spans="1:66" hidden="1">
      <c r="C147" s="45" t="s">
        <v>21</v>
      </c>
      <c r="D147" s="97"/>
      <c r="E147" s="82"/>
      <c r="F147" s="58"/>
      <c r="G147" s="59"/>
      <c r="H147" s="78"/>
      <c r="I147" s="83">
        <f>SUM(M147:BH147)</f>
        <v>15</v>
      </c>
      <c r="J147" s="62"/>
      <c r="K147" s="63"/>
      <c r="L147" s="62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87">
        <v>0.05</v>
      </c>
      <c r="AO147" s="87">
        <v>0.05</v>
      </c>
      <c r="AP147" s="87">
        <v>0.1</v>
      </c>
      <c r="AQ147" s="87">
        <v>0.1</v>
      </c>
      <c r="AR147" s="87">
        <v>0.25</v>
      </c>
      <c r="AS147" s="87">
        <v>0.25</v>
      </c>
      <c r="AT147" s="96"/>
      <c r="AU147" s="96"/>
      <c r="AV147" s="87">
        <v>0.5</v>
      </c>
      <c r="AW147" s="87">
        <v>0.5</v>
      </c>
      <c r="AX147" s="87">
        <v>0.75</v>
      </c>
      <c r="AY147" s="87">
        <v>1</v>
      </c>
      <c r="AZ147" s="87">
        <v>1</v>
      </c>
      <c r="BA147" s="87">
        <v>3.45</v>
      </c>
      <c r="BB147" s="98">
        <v>3</v>
      </c>
      <c r="BC147" s="98">
        <v>4</v>
      </c>
      <c r="BD147" s="98">
        <v>0</v>
      </c>
      <c r="BE147" s="63"/>
      <c r="BF147" s="99"/>
      <c r="BG147" s="63"/>
      <c r="BH147" s="99"/>
      <c r="BI147" s="63"/>
      <c r="BJ147" s="63"/>
      <c r="BK147" s="63"/>
      <c r="BL147" s="63"/>
      <c r="BM147" s="65"/>
      <c r="BN147" s="66">
        <f t="shared" si="111"/>
        <v>0</v>
      </c>
    </row>
    <row r="148" spans="1:66">
      <c r="A148" s="45" t="s">
        <v>63</v>
      </c>
      <c r="C148" s="45" t="s">
        <v>20</v>
      </c>
      <c r="D148" s="123" t="s">
        <v>185</v>
      </c>
      <c r="E148" s="124" t="s">
        <v>186</v>
      </c>
      <c r="F148" s="58">
        <v>100746900</v>
      </c>
      <c r="G148" s="59">
        <f>F148*1.11</f>
        <v>111829059.00000001</v>
      </c>
      <c r="H148" s="78">
        <f>100*G148/$G$166</f>
        <v>0.32499</v>
      </c>
      <c r="I148" s="61">
        <v>16</v>
      </c>
      <c r="J148" s="62"/>
      <c r="K148" s="63"/>
      <c r="L148" s="62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122">
        <f>$H$148/$I$148*AN149</f>
        <v>0</v>
      </c>
      <c r="AO148" s="122">
        <f t="shared" ref="AO148:AS148" si="134">$H$148/$I$148*AO149</f>
        <v>0</v>
      </c>
      <c r="AP148" s="122">
        <f t="shared" si="134"/>
        <v>1.01559375E-3</v>
      </c>
      <c r="AQ148" s="122">
        <f t="shared" si="134"/>
        <v>1.01559375E-3</v>
      </c>
      <c r="AR148" s="122">
        <f t="shared" si="134"/>
        <v>2.0311875E-3</v>
      </c>
      <c r="AS148" s="122">
        <f t="shared" si="134"/>
        <v>2.0311875E-3</v>
      </c>
      <c r="AT148" s="64"/>
      <c r="AU148" s="64"/>
      <c r="AV148" s="122">
        <f>$H$148/$I$148*AV149</f>
        <v>1.01559375E-2</v>
      </c>
      <c r="AW148" s="122">
        <f t="shared" ref="AW148:BD148" si="135">$H$148/$I$148*AW149</f>
        <v>1.01559375E-2</v>
      </c>
      <c r="AX148" s="122">
        <f t="shared" si="135"/>
        <v>1.523390625E-2</v>
      </c>
      <c r="AY148" s="122">
        <f t="shared" si="135"/>
        <v>3.04678125E-2</v>
      </c>
      <c r="AZ148" s="122">
        <f t="shared" si="135"/>
        <v>3.04678125E-2</v>
      </c>
      <c r="BA148" s="122">
        <f t="shared" si="135"/>
        <v>5.0779687500000004E-2</v>
      </c>
      <c r="BB148" s="122">
        <f t="shared" si="135"/>
        <v>3.9608156249999998E-2</v>
      </c>
      <c r="BC148" s="122">
        <f t="shared" si="135"/>
        <v>6.0935625E-2</v>
      </c>
      <c r="BD148" s="122">
        <f t="shared" si="135"/>
        <v>7.1091562499999997E-2</v>
      </c>
      <c r="BE148" s="63"/>
      <c r="BF148" s="63"/>
      <c r="BG148" s="63"/>
      <c r="BH148" s="63"/>
      <c r="BI148" s="63"/>
      <c r="BJ148" s="63"/>
      <c r="BK148" s="63"/>
      <c r="BL148" s="63"/>
      <c r="BM148" s="65">
        <f t="shared" si="56"/>
        <v>0.32499</v>
      </c>
      <c r="BN148" s="66">
        <f t="shared" si="111"/>
        <v>0</v>
      </c>
    </row>
    <row r="149" spans="1:66" hidden="1">
      <c r="C149" s="45" t="s">
        <v>21</v>
      </c>
      <c r="D149" s="97"/>
      <c r="E149" s="82"/>
      <c r="F149" s="58"/>
      <c r="G149" s="59"/>
      <c r="H149" s="78"/>
      <c r="I149" s="83">
        <f>SUM(M149:BH149)</f>
        <v>16</v>
      </c>
      <c r="J149" s="62"/>
      <c r="K149" s="63"/>
      <c r="L149" s="62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87">
        <v>0.05</v>
      </c>
      <c r="AQ149" s="87">
        <v>0.05</v>
      </c>
      <c r="AR149" s="87">
        <v>0.1</v>
      </c>
      <c r="AS149" s="87">
        <v>0.1</v>
      </c>
      <c r="AT149" s="64"/>
      <c r="AU149" s="64"/>
      <c r="AV149" s="87">
        <v>0.5</v>
      </c>
      <c r="AW149" s="87">
        <v>0.5</v>
      </c>
      <c r="AX149" s="87">
        <v>0.75</v>
      </c>
      <c r="AY149" s="87">
        <v>1.5</v>
      </c>
      <c r="AZ149" s="87">
        <v>1.5</v>
      </c>
      <c r="BA149" s="87">
        <v>2.5</v>
      </c>
      <c r="BB149" s="87">
        <v>1.95</v>
      </c>
      <c r="BC149" s="98">
        <v>3</v>
      </c>
      <c r="BD149" s="98">
        <v>3.5</v>
      </c>
      <c r="BE149" s="99"/>
      <c r="BF149" s="99"/>
      <c r="BG149" s="98"/>
      <c r="BH149" s="99"/>
      <c r="BI149" s="63"/>
      <c r="BJ149" s="63"/>
      <c r="BK149" s="63"/>
      <c r="BL149" s="63"/>
      <c r="BM149" s="65"/>
      <c r="BN149" s="66">
        <f t="shared" si="111"/>
        <v>0</v>
      </c>
    </row>
    <row r="150" spans="1:66">
      <c r="A150" s="45" t="s">
        <v>63</v>
      </c>
      <c r="C150" s="45" t="s">
        <v>20</v>
      </c>
      <c r="D150" s="123" t="s">
        <v>187</v>
      </c>
      <c r="E150" s="124" t="s">
        <v>188</v>
      </c>
      <c r="F150" s="58">
        <v>437858168</v>
      </c>
      <c r="G150" s="59">
        <f>F150*1.11</f>
        <v>486022566.48000002</v>
      </c>
      <c r="H150" s="78">
        <f>100*G150/$G$166</f>
        <v>1.4124457032258062</v>
      </c>
      <c r="I150" s="61">
        <v>4</v>
      </c>
      <c r="J150" s="62"/>
      <c r="K150" s="63"/>
      <c r="L150" s="62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4"/>
      <c r="AU150" s="64"/>
      <c r="AV150" s="63"/>
      <c r="AW150" s="63"/>
      <c r="AX150" s="63"/>
      <c r="AY150" s="63"/>
      <c r="AZ150" s="63"/>
      <c r="BA150" s="122">
        <f>$H$150/$I$150*BA151</f>
        <v>1.7655571290322577E-2</v>
      </c>
      <c r="BB150" s="122">
        <f t="shared" ref="BB150:BD150" si="136">$H$150/$I$150*BB151</f>
        <v>0.31780028322580639</v>
      </c>
      <c r="BC150" s="122">
        <f t="shared" si="136"/>
        <v>0.56497828129032246</v>
      </c>
      <c r="BD150" s="122">
        <f t="shared" si="136"/>
        <v>0.51201156741935472</v>
      </c>
      <c r="BE150" s="63"/>
      <c r="BF150" s="63"/>
      <c r="BG150" s="63"/>
      <c r="BH150" s="63"/>
      <c r="BI150" s="63"/>
      <c r="BJ150" s="63"/>
      <c r="BK150" s="63"/>
      <c r="BL150" s="63"/>
      <c r="BM150" s="65">
        <f t="shared" si="56"/>
        <v>1.412445703225806</v>
      </c>
      <c r="BN150" s="66">
        <f t="shared" si="111"/>
        <v>0</v>
      </c>
    </row>
    <row r="151" spans="1:66" hidden="1">
      <c r="C151" s="45" t="s">
        <v>21</v>
      </c>
      <c r="D151" s="97"/>
      <c r="E151" s="82"/>
      <c r="F151" s="58"/>
      <c r="G151" s="59"/>
      <c r="H151" s="78"/>
      <c r="I151" s="83">
        <f>SUM(M151:BH151)</f>
        <v>4</v>
      </c>
      <c r="J151" s="62"/>
      <c r="K151" s="63"/>
      <c r="L151" s="62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4"/>
      <c r="AU151" s="64"/>
      <c r="AV151" s="63"/>
      <c r="AW151" s="63"/>
      <c r="AX151" s="63"/>
      <c r="AY151" s="63"/>
      <c r="AZ151" s="63"/>
      <c r="BA151" s="87">
        <v>0.05</v>
      </c>
      <c r="BB151" s="87">
        <v>0.9</v>
      </c>
      <c r="BC151" s="87">
        <v>1.6</v>
      </c>
      <c r="BD151" s="87">
        <v>1.45</v>
      </c>
      <c r="BE151" s="87"/>
      <c r="BF151" s="87"/>
      <c r="BG151" s="87"/>
      <c r="BH151" s="87"/>
      <c r="BI151" s="63"/>
      <c r="BJ151" s="63"/>
      <c r="BK151" s="63"/>
      <c r="BL151" s="63"/>
      <c r="BM151" s="65"/>
      <c r="BN151" s="66">
        <f t="shared" si="111"/>
        <v>0</v>
      </c>
    </row>
    <row r="152" spans="1:66">
      <c r="A152" s="45" t="s">
        <v>63</v>
      </c>
      <c r="C152" s="45" t="s">
        <v>20</v>
      </c>
      <c r="D152" s="123" t="s">
        <v>189</v>
      </c>
      <c r="E152" s="124" t="s">
        <v>190</v>
      </c>
      <c r="F152" s="58">
        <v>390320399</v>
      </c>
      <c r="G152" s="59">
        <f>F152*1.11</f>
        <v>433255642.89000005</v>
      </c>
      <c r="H152" s="78">
        <f>100*G152/$G$166</f>
        <v>1.2590980612903224</v>
      </c>
      <c r="I152" s="61">
        <v>9</v>
      </c>
      <c r="J152" s="62"/>
      <c r="K152" s="63"/>
      <c r="L152" s="62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122">
        <f>$H$152/$I$152*AM153</f>
        <v>6.9949892293906801E-3</v>
      </c>
      <c r="AN152" s="122">
        <f t="shared" ref="AN152:AS152" si="137">$H$152/$I$152*AN153</f>
        <v>1.398997845878136E-2</v>
      </c>
      <c r="AO152" s="122">
        <f t="shared" si="137"/>
        <v>2.098496768817204E-2</v>
      </c>
      <c r="AP152" s="122">
        <f t="shared" si="137"/>
        <v>2.7979956917562721E-2</v>
      </c>
      <c r="AQ152" s="122">
        <f t="shared" si="137"/>
        <v>6.9949892293906801E-2</v>
      </c>
      <c r="AR152" s="122">
        <f t="shared" si="137"/>
        <v>0.1049248384408602</v>
      </c>
      <c r="AS152" s="122">
        <f t="shared" si="137"/>
        <v>0.1398997845878136</v>
      </c>
      <c r="AT152" s="64"/>
      <c r="AU152" s="64"/>
      <c r="AV152" s="122">
        <f t="shared" ref="AV152:AW152" si="138">$H$152/$I$152*AV153</f>
        <v>0.27979956917562721</v>
      </c>
      <c r="AW152" s="122">
        <f t="shared" si="138"/>
        <v>0.59457408449820781</v>
      </c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5">
        <f t="shared" si="56"/>
        <v>1.2590980612903224</v>
      </c>
      <c r="BN152" s="66">
        <f t="shared" si="111"/>
        <v>0</v>
      </c>
    </row>
    <row r="153" spans="1:66" hidden="1">
      <c r="C153" s="45" t="s">
        <v>21</v>
      </c>
      <c r="D153" s="97"/>
      <c r="E153" s="82"/>
      <c r="F153" s="58"/>
      <c r="G153" s="59"/>
      <c r="H153" s="78"/>
      <c r="I153" s="83">
        <f>SUM(M153:BH153)</f>
        <v>9</v>
      </c>
      <c r="J153" s="62"/>
      <c r="K153" s="63"/>
      <c r="L153" s="62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87">
        <v>0.05</v>
      </c>
      <c r="AN153" s="87">
        <v>0.1</v>
      </c>
      <c r="AO153" s="87">
        <v>0.15</v>
      </c>
      <c r="AP153" s="98">
        <v>0.2</v>
      </c>
      <c r="AQ153" s="98">
        <v>0.5</v>
      </c>
      <c r="AR153" s="98">
        <v>0.75</v>
      </c>
      <c r="AS153" s="98">
        <v>1</v>
      </c>
      <c r="AT153" s="96"/>
      <c r="AU153" s="96"/>
      <c r="AV153" s="98">
        <v>2</v>
      </c>
      <c r="AW153" s="98">
        <v>4.25</v>
      </c>
      <c r="AX153" s="63"/>
      <c r="AY153" s="63"/>
      <c r="AZ153" s="63"/>
      <c r="BA153" s="63"/>
      <c r="BB153" s="63"/>
      <c r="BC153" s="63"/>
      <c r="BD153" s="63"/>
      <c r="BE153" s="99"/>
      <c r="BF153" s="63"/>
      <c r="BG153" s="99"/>
      <c r="BH153" s="99"/>
      <c r="BI153" s="63"/>
      <c r="BJ153" s="63"/>
      <c r="BK153" s="63"/>
      <c r="BL153" s="63"/>
      <c r="BM153" s="65"/>
      <c r="BN153" s="66">
        <f t="shared" si="111"/>
        <v>0</v>
      </c>
    </row>
    <row r="154" spans="1:66" hidden="1">
      <c r="D154" s="97"/>
      <c r="E154" s="82"/>
      <c r="F154" s="58"/>
      <c r="G154" s="59"/>
      <c r="H154" s="78"/>
      <c r="I154" s="61"/>
      <c r="J154" s="62"/>
      <c r="K154" s="63"/>
      <c r="L154" s="62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4"/>
      <c r="AU154" s="64"/>
      <c r="AV154" s="63"/>
      <c r="AW154" s="63"/>
      <c r="AX154" s="63"/>
      <c r="AY154" s="63"/>
      <c r="AZ154" s="63"/>
      <c r="BA154" s="63"/>
      <c r="BB154" s="63"/>
      <c r="BC154" s="63"/>
      <c r="BD154" s="63"/>
      <c r="BE154" s="99"/>
      <c r="BF154" s="63"/>
      <c r="BG154" s="99"/>
      <c r="BH154" s="99"/>
      <c r="BI154" s="63"/>
      <c r="BJ154" s="63"/>
      <c r="BK154" s="63"/>
      <c r="BL154" s="63"/>
      <c r="BM154" s="65"/>
      <c r="BN154" s="66">
        <f t="shared" si="111"/>
        <v>0</v>
      </c>
    </row>
    <row r="155" spans="1:66" s="88" customFormat="1" hidden="1">
      <c r="A155" s="88">
        <v>2.8</v>
      </c>
      <c r="B155" s="113"/>
      <c r="C155" s="113"/>
      <c r="D155" s="89" t="s">
        <v>199</v>
      </c>
      <c r="E155" s="57" t="s">
        <v>200</v>
      </c>
      <c r="F155" s="58"/>
      <c r="G155" s="59"/>
      <c r="H155" s="78"/>
      <c r="I155" s="93"/>
      <c r="J155" s="94"/>
      <c r="K155" s="95"/>
      <c r="L155" s="94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6"/>
      <c r="AU155" s="96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114"/>
      <c r="BG155" s="114"/>
      <c r="BH155" s="95"/>
      <c r="BI155" s="95"/>
      <c r="BJ155" s="95"/>
      <c r="BK155" s="95"/>
      <c r="BL155" s="95"/>
      <c r="BM155" s="65"/>
      <c r="BN155" s="66">
        <f t="shared" si="111"/>
        <v>0</v>
      </c>
    </row>
    <row r="156" spans="1:66">
      <c r="A156" s="45" t="s">
        <v>61</v>
      </c>
      <c r="B156" s="77">
        <f>H155-BM155</f>
        <v>0</v>
      </c>
      <c r="C156" s="77" t="s">
        <v>20</v>
      </c>
      <c r="D156" s="97" t="s">
        <v>162</v>
      </c>
      <c r="E156" s="82" t="s">
        <v>193</v>
      </c>
      <c r="F156" s="58">
        <v>49481600</v>
      </c>
      <c r="G156" s="59">
        <f>F156*1.11</f>
        <v>54924576.000000007</v>
      </c>
      <c r="H156" s="78">
        <f>100*G156/$G$166</f>
        <v>0.15961806451612903</v>
      </c>
      <c r="I156" s="61">
        <v>8</v>
      </c>
      <c r="J156" s="62"/>
      <c r="K156" s="63"/>
      <c r="L156" s="62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122">
        <f>$H$156/$I$156*AG157</f>
        <v>0</v>
      </c>
      <c r="AH156" s="122">
        <f t="shared" ref="AH156:AN156" si="139">$H$156/$I$156*AH157</f>
        <v>0</v>
      </c>
      <c r="AI156" s="122">
        <f t="shared" si="139"/>
        <v>0</v>
      </c>
      <c r="AJ156" s="122">
        <f t="shared" si="139"/>
        <v>1.1971354838709676E-2</v>
      </c>
      <c r="AK156" s="122">
        <f t="shared" si="139"/>
        <v>2.1947483870967743E-2</v>
      </c>
      <c r="AL156" s="122">
        <f t="shared" si="139"/>
        <v>2.3942709677419353E-2</v>
      </c>
      <c r="AM156" s="122">
        <f t="shared" si="139"/>
        <v>4.1899741935483875E-2</v>
      </c>
      <c r="AN156" s="122">
        <f t="shared" si="139"/>
        <v>5.9856774193548387E-2</v>
      </c>
      <c r="AO156" s="95"/>
      <c r="AP156" s="95"/>
      <c r="AQ156" s="95"/>
      <c r="AR156" s="95"/>
      <c r="AS156" s="95"/>
      <c r="AT156" s="64"/>
      <c r="AU156" s="64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5">
        <f t="shared" si="56"/>
        <v>0.15961806451612903</v>
      </c>
      <c r="BN156" s="66">
        <f t="shared" si="111"/>
        <v>0</v>
      </c>
    </row>
    <row r="157" spans="1:66" hidden="1">
      <c r="B157" s="77"/>
      <c r="C157" s="77" t="s">
        <v>21</v>
      </c>
      <c r="D157" s="97"/>
      <c r="E157" s="82"/>
      <c r="F157" s="58"/>
      <c r="G157" s="59"/>
      <c r="H157" s="78"/>
      <c r="I157" s="83">
        <f>SUM(M157:BH157)</f>
        <v>8</v>
      </c>
      <c r="J157" s="62"/>
      <c r="K157" s="63"/>
      <c r="L157" s="62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87">
        <v>0</v>
      </c>
      <c r="AH157" s="87">
        <v>0</v>
      </c>
      <c r="AI157" s="87">
        <v>0</v>
      </c>
      <c r="AJ157" s="98">
        <v>0.6</v>
      </c>
      <c r="AK157" s="98">
        <v>1.1000000000000001</v>
      </c>
      <c r="AL157" s="98">
        <v>1.2</v>
      </c>
      <c r="AM157" s="98">
        <v>2.1</v>
      </c>
      <c r="AN157" s="98">
        <v>3</v>
      </c>
      <c r="AO157" s="63"/>
      <c r="AP157" s="63"/>
      <c r="AQ157" s="63"/>
      <c r="AR157" s="63"/>
      <c r="AS157" s="63"/>
      <c r="AT157" s="64"/>
      <c r="AU157" s="64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5"/>
      <c r="BN157" s="66">
        <f t="shared" si="111"/>
        <v>0</v>
      </c>
    </row>
    <row r="158" spans="1:66">
      <c r="A158" s="45" t="s">
        <v>62</v>
      </c>
      <c r="B158" s="77">
        <f>H156-BM156</f>
        <v>0</v>
      </c>
      <c r="C158" s="77" t="s">
        <v>20</v>
      </c>
      <c r="D158" s="123" t="s">
        <v>164</v>
      </c>
      <c r="E158" s="124" t="s">
        <v>194</v>
      </c>
      <c r="F158" s="58">
        <v>482847200</v>
      </c>
      <c r="G158" s="59">
        <f>F158*1.11</f>
        <v>535960392.00000006</v>
      </c>
      <c r="H158" s="78">
        <f>100*G158/$G$166</f>
        <v>1.5575716129032258</v>
      </c>
      <c r="I158" s="61">
        <v>26</v>
      </c>
      <c r="J158" s="62"/>
      <c r="K158" s="63"/>
      <c r="L158" s="62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122">
        <f>$H$158/$I$158*AD159</f>
        <v>2.9953300248138958E-3</v>
      </c>
      <c r="AE158" s="122">
        <f t="shared" ref="AE158:AS158" si="140">$H$158/$I$158*AE159</f>
        <v>2.9953300248138958E-3</v>
      </c>
      <c r="AF158" s="122">
        <f t="shared" si="140"/>
        <v>5.9906600496277915E-3</v>
      </c>
      <c r="AG158" s="122">
        <f t="shared" si="140"/>
        <v>0</v>
      </c>
      <c r="AH158" s="122">
        <f t="shared" si="140"/>
        <v>0</v>
      </c>
      <c r="AI158" s="122">
        <f t="shared" si="140"/>
        <v>0</v>
      </c>
      <c r="AJ158" s="122">
        <f t="shared" si="140"/>
        <v>4.1934620347394536E-2</v>
      </c>
      <c r="AK158" s="122">
        <f t="shared" si="140"/>
        <v>4.1934620347394536E-2</v>
      </c>
      <c r="AL158" s="122">
        <f t="shared" si="140"/>
        <v>5.6911270471464014E-2</v>
      </c>
      <c r="AM158" s="122">
        <f t="shared" si="140"/>
        <v>4.4929950372208434E-2</v>
      </c>
      <c r="AN158" s="122">
        <f t="shared" si="140"/>
        <v>5.9906600496277912E-2</v>
      </c>
      <c r="AO158" s="122">
        <f t="shared" si="140"/>
        <v>5.9906600496277912E-2</v>
      </c>
      <c r="AP158" s="122">
        <f t="shared" si="140"/>
        <v>5.9906600496277912E-2</v>
      </c>
      <c r="AQ158" s="122">
        <f t="shared" si="140"/>
        <v>5.9906600496277912E-2</v>
      </c>
      <c r="AR158" s="122">
        <f t="shared" si="140"/>
        <v>5.9906600496277912E-2</v>
      </c>
      <c r="AS158" s="122">
        <f t="shared" si="140"/>
        <v>5.9906600496277912E-2</v>
      </c>
      <c r="AT158" s="64"/>
      <c r="AU158" s="64"/>
      <c r="AV158" s="122">
        <f t="shared" ref="AV158" si="141">$H$158/$I$158*AV159</f>
        <v>5.9906600496277912E-2</v>
      </c>
      <c r="AW158" s="122">
        <f t="shared" ref="AW158" si="142">$H$158/$I$158*AW159</f>
        <v>5.9906600496277912E-2</v>
      </c>
      <c r="AX158" s="122">
        <f t="shared" ref="AX158" si="143">$H$158/$I$158*AX159</f>
        <v>5.9906600496277912E-2</v>
      </c>
      <c r="AY158" s="122">
        <f t="shared" ref="AY158" si="144">$H$158/$I$158*AY159</f>
        <v>5.9906600496277912E-2</v>
      </c>
      <c r="AZ158" s="122">
        <f t="shared" ref="AZ158" si="145">$H$158/$I$158*AZ159</f>
        <v>5.9906600496277912E-2</v>
      </c>
      <c r="BA158" s="122">
        <f t="shared" ref="BA158" si="146">$H$158/$I$158*BA159</f>
        <v>5.9906600496277912E-2</v>
      </c>
      <c r="BB158" s="122">
        <f t="shared" ref="BB158" si="147">$H$158/$I$158*BB159</f>
        <v>0</v>
      </c>
      <c r="BC158" s="122">
        <f t="shared" ref="BC158" si="148">$H$158/$I$158*BC159</f>
        <v>0.22165442183622827</v>
      </c>
      <c r="BD158" s="122">
        <f t="shared" ref="BD158" si="149">$H$158/$I$158*BD159</f>
        <v>0.17971980148883374</v>
      </c>
      <c r="BE158" s="122">
        <f t="shared" ref="BE158" si="150">$H$158/$I$158*BE159</f>
        <v>0.23962640198511165</v>
      </c>
      <c r="BF158" s="63"/>
      <c r="BG158" s="63"/>
      <c r="BH158" s="63"/>
      <c r="BI158" s="63"/>
      <c r="BJ158" s="63"/>
      <c r="BK158" s="63"/>
      <c r="BL158" s="103"/>
      <c r="BM158" s="65">
        <f t="shared" si="56"/>
        <v>1.5575716129032258</v>
      </c>
      <c r="BN158" s="66">
        <f t="shared" si="111"/>
        <v>0</v>
      </c>
    </row>
    <row r="159" spans="1:66" hidden="1">
      <c r="B159" s="77"/>
      <c r="C159" s="77" t="s">
        <v>21</v>
      </c>
      <c r="D159" s="97"/>
      <c r="E159" s="82"/>
      <c r="F159" s="58"/>
      <c r="G159" s="59"/>
      <c r="H159" s="78"/>
      <c r="I159" s="83">
        <f>SUM(W159:BE159)</f>
        <v>26</v>
      </c>
      <c r="J159" s="62"/>
      <c r="K159" s="63"/>
      <c r="L159" s="62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87">
        <v>0.05</v>
      </c>
      <c r="AE159" s="87">
        <v>0.05</v>
      </c>
      <c r="AF159" s="87">
        <v>0.1</v>
      </c>
      <c r="AG159" s="87">
        <v>0</v>
      </c>
      <c r="AH159" s="87">
        <v>0</v>
      </c>
      <c r="AI159" s="87">
        <v>0</v>
      </c>
      <c r="AJ159" s="87">
        <v>0.7</v>
      </c>
      <c r="AK159" s="87">
        <v>0.7</v>
      </c>
      <c r="AL159" s="87">
        <v>0.95</v>
      </c>
      <c r="AM159" s="87">
        <v>0.75</v>
      </c>
      <c r="AN159" s="87">
        <v>1</v>
      </c>
      <c r="AO159" s="98">
        <v>1</v>
      </c>
      <c r="AP159" s="98">
        <v>1</v>
      </c>
      <c r="AQ159" s="98">
        <v>1</v>
      </c>
      <c r="AR159" s="98">
        <v>1</v>
      </c>
      <c r="AS159" s="98">
        <v>1</v>
      </c>
      <c r="AT159" s="64"/>
      <c r="AU159" s="64"/>
      <c r="AV159" s="98">
        <v>1</v>
      </c>
      <c r="AW159" s="98">
        <v>1</v>
      </c>
      <c r="AX159" s="98">
        <v>1</v>
      </c>
      <c r="AY159" s="98">
        <v>1</v>
      </c>
      <c r="AZ159" s="98">
        <v>1</v>
      </c>
      <c r="BA159" s="98">
        <v>1</v>
      </c>
      <c r="BB159" s="98">
        <v>0</v>
      </c>
      <c r="BC159" s="98">
        <v>3.7</v>
      </c>
      <c r="BD159" s="98">
        <v>3</v>
      </c>
      <c r="BE159" s="98">
        <v>4</v>
      </c>
      <c r="BF159" s="63"/>
      <c r="BG159" s="63"/>
      <c r="BH159" s="63"/>
      <c r="BI159" s="63"/>
      <c r="BJ159" s="63"/>
      <c r="BK159" s="63"/>
      <c r="BL159" s="63"/>
      <c r="BM159" s="65"/>
      <c r="BN159" s="66">
        <f t="shared" si="111"/>
        <v>0</v>
      </c>
    </row>
    <row r="160" spans="1:66">
      <c r="A160" s="45" t="s">
        <v>61</v>
      </c>
      <c r="B160" s="77" t="e">
        <f>#REF!-#REF!</f>
        <v>#REF!</v>
      </c>
      <c r="C160" s="77" t="s">
        <v>20</v>
      </c>
      <c r="D160" s="89" t="s">
        <v>201</v>
      </c>
      <c r="E160" s="57" t="s">
        <v>202</v>
      </c>
      <c r="F160" s="58">
        <v>578627170.1881001</v>
      </c>
      <c r="G160" s="59">
        <f>F160*1.11</f>
        <v>642276158.90879118</v>
      </c>
      <c r="H160" s="78">
        <f>100*G160/$G$166</f>
        <v>1.8665392586712906</v>
      </c>
      <c r="I160" s="61">
        <v>14</v>
      </c>
      <c r="J160" s="62"/>
      <c r="K160" s="63"/>
      <c r="L160" s="62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122">
        <f>$H$160/$I$160*AM161</f>
        <v>6.6662116381117527E-3</v>
      </c>
      <c r="AN160" s="122">
        <f t="shared" ref="AN160:AS160" si="151">$H$160/$I$160*AN161</f>
        <v>6.6662116381117527E-3</v>
      </c>
      <c r="AO160" s="122">
        <f t="shared" si="151"/>
        <v>1.3332423276223505E-2</v>
      </c>
      <c r="AP160" s="122">
        <f t="shared" si="151"/>
        <v>1.3332423276223505E-2</v>
      </c>
      <c r="AQ160" s="122">
        <f t="shared" si="151"/>
        <v>3.333105819055876E-2</v>
      </c>
      <c r="AR160" s="122">
        <f t="shared" si="151"/>
        <v>3.333105819055876E-2</v>
      </c>
      <c r="AS160" s="122">
        <f t="shared" si="151"/>
        <v>6.666211638111752E-2</v>
      </c>
      <c r="AT160" s="64"/>
      <c r="AU160" s="64"/>
      <c r="AV160" s="122">
        <f t="shared" ref="AV160" si="152">$H$160/$I$160*AV161</f>
        <v>9.999317457167628E-2</v>
      </c>
      <c r="AW160" s="122">
        <f t="shared" ref="AW160" si="153">$H$160/$I$160*AW161</f>
        <v>9.999317457167628E-2</v>
      </c>
      <c r="AX160" s="122">
        <f t="shared" ref="AX160" si="154">$H$160/$I$160*AX161</f>
        <v>0.13332423276223504</v>
      </c>
      <c r="AY160" s="122">
        <f t="shared" ref="AY160" si="155">$H$160/$I$160*AY161</f>
        <v>0.22665119569579956</v>
      </c>
      <c r="AZ160" s="122">
        <f t="shared" ref="AZ160" si="156">$H$160/$I$160*AZ161</f>
        <v>0.3333105819055876</v>
      </c>
      <c r="BA160" s="122">
        <f t="shared" ref="BA160" si="157">$H$160/$I$160*BA161</f>
        <v>0.46663481466782264</v>
      </c>
      <c r="BB160" s="122">
        <f t="shared" ref="BB160" si="158">$H$160/$I$160*BB161</f>
        <v>0.3333105819055876</v>
      </c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5">
        <f t="shared" si="56"/>
        <v>1.8665392586712906</v>
      </c>
      <c r="BN160" s="66">
        <f t="shared" si="111"/>
        <v>0</v>
      </c>
    </row>
    <row r="161" spans="1:66" hidden="1">
      <c r="B161" s="77"/>
      <c r="C161" s="77" t="s">
        <v>21</v>
      </c>
      <c r="D161" s="97"/>
      <c r="E161" s="82"/>
      <c r="F161" s="58"/>
      <c r="G161" s="59"/>
      <c r="H161" s="78"/>
      <c r="I161" s="83">
        <f>SUM(W161:BB161)</f>
        <v>14</v>
      </c>
      <c r="J161" s="62"/>
      <c r="K161" s="63"/>
      <c r="L161" s="62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87">
        <v>0.05</v>
      </c>
      <c r="AN161" s="87">
        <v>0.05</v>
      </c>
      <c r="AO161" s="87">
        <v>0.1</v>
      </c>
      <c r="AP161" s="87">
        <v>0.1</v>
      </c>
      <c r="AQ161" s="87">
        <v>0.25</v>
      </c>
      <c r="AR161" s="87">
        <v>0.25</v>
      </c>
      <c r="AS161" s="87">
        <v>0.5</v>
      </c>
      <c r="AT161" s="64"/>
      <c r="AU161" s="64"/>
      <c r="AV161" s="87">
        <v>0.75</v>
      </c>
      <c r="AW161" s="87">
        <v>0.75</v>
      </c>
      <c r="AX161" s="87">
        <v>1</v>
      </c>
      <c r="AY161" s="98">
        <v>1.7</v>
      </c>
      <c r="AZ161" s="98">
        <v>2.5</v>
      </c>
      <c r="BA161" s="98">
        <v>3.5</v>
      </c>
      <c r="BB161" s="98">
        <v>2.5</v>
      </c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5"/>
      <c r="BN161" s="66">
        <f t="shared" si="111"/>
        <v>0</v>
      </c>
    </row>
    <row r="162" spans="1:66">
      <c r="A162" s="45" t="s">
        <v>62</v>
      </c>
      <c r="B162" s="77">
        <f>H160-BM160</f>
        <v>0</v>
      </c>
      <c r="C162" s="77" t="s">
        <v>20</v>
      </c>
      <c r="D162" s="89" t="s">
        <v>203</v>
      </c>
      <c r="E162" s="57" t="s">
        <v>204</v>
      </c>
      <c r="F162" s="58">
        <v>534506926.4000001</v>
      </c>
      <c r="G162" s="59">
        <f>F162*1.11</f>
        <v>593302688.30400014</v>
      </c>
      <c r="H162" s="78">
        <f>100*G162/$G$166</f>
        <v>1.7242158916129033</v>
      </c>
      <c r="I162" s="61">
        <v>18</v>
      </c>
      <c r="J162" s="62"/>
      <c r="K162" s="63"/>
      <c r="L162" s="62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122">
        <f>$H$162/$I$162*AE163</f>
        <v>4.7894885878136204E-3</v>
      </c>
      <c r="AF162" s="122">
        <f t="shared" ref="AF162:AS162" si="159">$H$162/$I$162*AF163</f>
        <v>1.436846576344086E-2</v>
      </c>
      <c r="AG162" s="122">
        <f t="shared" si="159"/>
        <v>0</v>
      </c>
      <c r="AH162" s="122">
        <f t="shared" si="159"/>
        <v>9.5789771756272409E-3</v>
      </c>
      <c r="AI162" s="122">
        <f t="shared" si="159"/>
        <v>2.39474429390681E-2</v>
      </c>
      <c r="AJ162" s="122">
        <f t="shared" si="159"/>
        <v>2.39474429390681E-2</v>
      </c>
      <c r="AK162" s="122">
        <f t="shared" si="159"/>
        <v>4.7894885878136201E-2</v>
      </c>
      <c r="AL162" s="122">
        <f t="shared" si="159"/>
        <v>4.7894885878136201E-2</v>
      </c>
      <c r="AM162" s="122">
        <f t="shared" si="159"/>
        <v>7.1842328817204301E-2</v>
      </c>
      <c r="AN162" s="122">
        <f t="shared" si="159"/>
        <v>7.1842328817204301E-2</v>
      </c>
      <c r="AO162" s="122">
        <f t="shared" si="159"/>
        <v>9.5789771756272402E-2</v>
      </c>
      <c r="AP162" s="122">
        <f t="shared" si="159"/>
        <v>9.5789771756272402E-2</v>
      </c>
      <c r="AQ162" s="122">
        <f t="shared" si="159"/>
        <v>9.5789771756272402E-2</v>
      </c>
      <c r="AR162" s="122">
        <f t="shared" si="159"/>
        <v>9.5789771756272402E-2</v>
      </c>
      <c r="AS162" s="122">
        <f t="shared" si="159"/>
        <v>0.16284261198566308</v>
      </c>
      <c r="AT162" s="64"/>
      <c r="AU162" s="64"/>
      <c r="AV162" s="122">
        <f t="shared" ref="AV162:AX162" si="160">$H$162/$I$162*AV163</f>
        <v>0.1915795435125448</v>
      </c>
      <c r="AW162" s="122">
        <f t="shared" si="160"/>
        <v>0.2873693152688172</v>
      </c>
      <c r="AX162" s="122">
        <f t="shared" si="160"/>
        <v>0.38315908702508961</v>
      </c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103"/>
      <c r="BM162" s="65">
        <f t="shared" si="56"/>
        <v>1.7242158916129031</v>
      </c>
      <c r="BN162" s="66">
        <f t="shared" si="111"/>
        <v>0</v>
      </c>
    </row>
    <row r="163" spans="1:66" hidden="1">
      <c r="B163" s="77"/>
      <c r="C163" s="77" t="s">
        <v>21</v>
      </c>
      <c r="D163" s="97"/>
      <c r="E163" s="82"/>
      <c r="F163" s="58"/>
      <c r="G163" s="59"/>
      <c r="H163" s="60"/>
      <c r="I163" s="83">
        <f>SUM(W163:BB163)</f>
        <v>18</v>
      </c>
      <c r="J163" s="62"/>
      <c r="K163" s="63"/>
      <c r="L163" s="62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87">
        <v>0.05</v>
      </c>
      <c r="AF163" s="87">
        <v>0.15</v>
      </c>
      <c r="AG163" s="87">
        <v>0</v>
      </c>
      <c r="AH163" s="87">
        <v>0.1</v>
      </c>
      <c r="AI163" s="87">
        <v>0.25</v>
      </c>
      <c r="AJ163" s="87">
        <v>0.25</v>
      </c>
      <c r="AK163" s="87">
        <v>0.5</v>
      </c>
      <c r="AL163" s="87">
        <v>0.5</v>
      </c>
      <c r="AM163" s="87">
        <v>0.75</v>
      </c>
      <c r="AN163" s="87">
        <v>0.75</v>
      </c>
      <c r="AO163" s="87">
        <v>1</v>
      </c>
      <c r="AP163" s="98">
        <v>1</v>
      </c>
      <c r="AQ163" s="98">
        <v>1</v>
      </c>
      <c r="AR163" s="98">
        <v>1</v>
      </c>
      <c r="AS163" s="98">
        <v>1.7</v>
      </c>
      <c r="AT163" s="64"/>
      <c r="AU163" s="64"/>
      <c r="AV163" s="98">
        <v>2</v>
      </c>
      <c r="AW163" s="98">
        <v>3</v>
      </c>
      <c r="AX163" s="98">
        <v>4</v>
      </c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5"/>
      <c r="BN163" s="66">
        <f t="shared" si="111"/>
        <v>0</v>
      </c>
    </row>
    <row r="164" spans="1:66" hidden="1">
      <c r="C164" s="77" t="s">
        <v>21</v>
      </c>
      <c r="D164" s="81"/>
      <c r="E164" s="82"/>
      <c r="F164" s="58"/>
      <c r="G164" s="59"/>
      <c r="H164" s="60"/>
      <c r="I164" s="61"/>
      <c r="J164" s="62"/>
      <c r="K164" s="63"/>
      <c r="L164" s="62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10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4"/>
      <c r="AU164" s="64"/>
      <c r="AV164" s="63"/>
      <c r="AW164" s="103"/>
      <c r="AX164" s="63"/>
      <c r="AY164" s="63"/>
      <c r="AZ164" s="63"/>
      <c r="BA164" s="63"/>
      <c r="BB164" s="63"/>
      <c r="BC164" s="63"/>
      <c r="BD164" s="99"/>
      <c r="BE164" s="63"/>
      <c r="BF164" s="63"/>
      <c r="BG164" s="63"/>
      <c r="BH164" s="63"/>
      <c r="BI164" s="63"/>
      <c r="BJ164" s="63"/>
      <c r="BK164" s="63"/>
      <c r="BL164" s="63"/>
      <c r="BM164" s="65"/>
      <c r="BN164" s="66">
        <f t="shared" si="111"/>
        <v>0</v>
      </c>
    </row>
    <row r="165" spans="1:66" hidden="1">
      <c r="B165" s="77"/>
      <c r="C165" s="77"/>
      <c r="D165" s="97"/>
      <c r="E165" s="82"/>
      <c r="F165" s="58"/>
      <c r="G165" s="59"/>
      <c r="H165" s="78"/>
      <c r="I165" s="61"/>
      <c r="J165" s="62"/>
      <c r="K165" s="63"/>
      <c r="L165" s="62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4"/>
      <c r="AU165" s="64"/>
      <c r="AV165" s="63"/>
      <c r="AW165" s="63"/>
      <c r="AX165" s="63"/>
      <c r="AY165" s="63"/>
      <c r="AZ165" s="63"/>
      <c r="BA165" s="63"/>
      <c r="BB165" s="63"/>
      <c r="BC165" s="63"/>
      <c r="BD165" s="99"/>
      <c r="BE165" s="99"/>
      <c r="BF165" s="99"/>
      <c r="BG165" s="63"/>
      <c r="BH165" s="63"/>
      <c r="BI165" s="63"/>
      <c r="BJ165" s="63"/>
      <c r="BK165" s="63"/>
      <c r="BL165" s="63"/>
      <c r="BM165" s="65"/>
      <c r="BN165" s="66">
        <f t="shared" si="111"/>
        <v>0</v>
      </c>
    </row>
    <row r="166" spans="1:66">
      <c r="B166" s="77"/>
      <c r="C166" s="77"/>
      <c r="D166" s="129"/>
      <c r="E166" s="130"/>
      <c r="F166" s="48">
        <f>SUM(F14:F165)</f>
        <v>30999999999.999996</v>
      </c>
      <c r="G166" s="131">
        <f>SUM(G14:G165)</f>
        <v>34410000000.000008</v>
      </c>
      <c r="H166" s="132">
        <f>SUM(H14:H165)</f>
        <v>99.999999999999972</v>
      </c>
      <c r="I166" s="133"/>
      <c r="J166" s="134"/>
      <c r="K166" s="135"/>
      <c r="L166" s="134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  <c r="AO166" s="135"/>
      <c r="AP166" s="135"/>
      <c r="AQ166" s="135"/>
      <c r="AR166" s="135"/>
      <c r="AS166" s="135"/>
      <c r="AT166" s="136"/>
      <c r="AU166" s="136"/>
      <c r="AV166" s="135"/>
      <c r="AW166" s="135"/>
      <c r="AX166" s="135"/>
      <c r="AY166" s="135"/>
      <c r="AZ166" s="135"/>
      <c r="BA166" s="135"/>
      <c r="BB166" s="135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M166" s="65"/>
      <c r="BN166" s="66">
        <f t="shared" si="111"/>
        <v>-99.999999999999972</v>
      </c>
    </row>
    <row r="167" spans="1:66">
      <c r="B167" s="77" t="e">
        <f>#REF!-#REF!</f>
        <v>#REF!</v>
      </c>
      <c r="C167" s="77" t="s">
        <v>20</v>
      </c>
      <c r="E167" s="88" t="s">
        <v>22</v>
      </c>
      <c r="I167" s="45">
        <v>0</v>
      </c>
      <c r="J167" s="137">
        <f>J162+J160+J158+J156+J152+J150+J148+J146+J144+J142+J140+J138+J136+J133+J131+J129+J127+J125+J123+J121+J117+J114+J112+J108+J106+J104+J102+J100+J98+J96+J94+J92+J89+J87+J85+J83+J81+J79+J77+J73+J70+J68+J66+J63+J61+J59+J57+J55+J52+J50+J46+J44+J42+J40+J37+J35+J33+J31+J29+J27+J23+J20+J12</f>
        <v>2.1958598493160707E-3</v>
      </c>
      <c r="K167" s="137">
        <f>K162+K160+K158+K156+K152+K150+K148+K146+K144+K142+K140+K138+K136+K133+K131+K129+K127+K125+K123+K121+K117+K114+K112+K108+K106+K104+K102+K100+K98+K96+K94+K92+K89+K87+K85+K83+K81+K79+K77+K73+K70+K68+K66+K63+K61+K59+K57+K55+K52+K50+K46+K44+K42+K40+K37+K35+K33+K31+K29+K27+K23+K20+K12</f>
        <v>2.1958598493160707E-3</v>
      </c>
      <c r="L167" s="137">
        <f>L162+L160+L158+L156+L152+L150+L148+L146+L144+L142+L140+L138+L136+L133+L131+L129+L127+L125+L123+L121+L117+L114+L112+L108+L106+L104+L102+L100+L98+L96+L94+L92+L89+L87+L85+L83+L81+L79+L77+L73+L70+L68+L66+L63+L61+L59+L57+L55+L52+L50+L46+L44+L42+L40+L37+L35+L33+L31+L29+L27+L23+L20+L12</f>
        <v>2.1958598493160707E-3</v>
      </c>
      <c r="M167" s="137">
        <f>M162+M160+M158+M156+M152+M150+M148+M146+M144+M142+M140+M138+M136+M133+M131+M129+M127+M125+M123+M121+M117+M114+M112+M108+M106+M104+M102+M100+M98+M96+M94+M92+M89+M87+M85+M83+M81+M79+M77+M73+M70+M68+M66+M63+M61+M59+M57+M55+M52+M50+M46+M44+M42+M40+M37+M35+M33+M31+M29+M27+M23+M20+M12</f>
        <v>3.0769977643945543E-2</v>
      </c>
      <c r="N167" s="137">
        <f>N162+N160+N158+N156+N152+N150+N148+N146+N144+N142+N140+N138+N136+N133+N131+N129+N127+N125+N123+N121+N117+N114+N112+N108+N106+N104+N102+N100+N98+N96+N94+N92+N89+N87+N85+N83+N81+N79+N77+N73+N70+N68+N66+N63+N61+N59+N57+N55+N52+N50+N46+N44+N42+N40+N37+N35+N33+N31+N29+N27+N23+N20+N12</f>
        <v>4.2128324593364894E-2</v>
      </c>
      <c r="O167" s="137">
        <f>O162+O160+O158+O156+O152+O150+O148+O146+O144+O142+O140+O138+O136+O133+O131+O129+O127+O125+O123+O121+O117+O114+O112+O108+O106+O104+O102+O100+O98+O96+O94+O92+O89+O87+O85+O83+O81+O79+O77+O73+O70+O68+O66+O63+O61+O59+O57+O55+O52+O50+O46+O44+O42+O40+O37+O35+O33+O31+O29+O27+O23+O20+O12</f>
        <v>0.13434002050979363</v>
      </c>
      <c r="P167" s="137">
        <f>P162+P160+P158+P156+P152+P150+P148+P146+P144+P142+P140+P138+P136+P133+P131+P129+P127+P125+P123+P121+P117+P114+P112+P108+P106+P104+P102+P100+P98+P96+P94+P92+P89+P87+P85+P83+P81+P79+P77+P73+P70+P68+P66+P63+P61+P59+P57+P55+P52+P50+P46+P44+P42+P40+P37+P35+P33+P31+P29+P27+P23+P20+P12</f>
        <v>0.45672259033705376</v>
      </c>
      <c r="Q167" s="137">
        <f>Q162+Q160+Q158+Q156+Q152+Q150+Q148+Q146+Q144+Q142+Q140+Q138+Q136+Q133+Q131+Q129+Q127+Q125+Q123+Q121+Q117+Q114+Q112+Q108+Q106+Q104+Q102+Q100+Q98+Q96+Q94+Q92+Q89+Q87+Q85+Q83+Q81+Q79+Q77+Q73+Q70+Q68+Q66+Q63+Q61+Q59+Q57+Q55+Q52+Q50+Q46+Q44+Q42+Q40+Q37+Q35+Q33+Q31+Q29+Q27+Q23+Q20+Q12</f>
        <v>1.1217838209885995</v>
      </c>
      <c r="R167" s="137">
        <f>R162+R160+R158+R156+R152+R150+R148+R146+R144+R142+R140+R138+R136+R133+R131+R129+R127+R125+R123+R121+R117+R114+R112+R108+R106+R104+R102+R100+R98+R96+R94+R92+R89+R87+R85+R83+R81+R79+R77+R73+R70+R68+R66+R63+R61+R59+R57+R55+R52+R50+R46+R44+R42+R40+R37+R35+R33+R31+R29+R27+R23+R20+R12</f>
        <v>1.005273878901676</v>
      </c>
      <c r="S167" s="137">
        <f>S162+S160+S158+S156+S152+S150+S148+S146+S144+S142+S140+S138+S136+S133+S131+S129+S127+S125+S123+S121+S117+S114+S112+S108+S106+S104+S102+S100+S98+S96+S94+S92+S89+S87+S85+S83+S81+S79+S77+S73+S70+S68+S66+S63+S61+S59+S57+S55+S52+S50+S46+S44+S42+S40+S37+S35+S33+S31+S29+S27+S23+S20+S12</f>
        <v>1.6106052143750507</v>
      </c>
      <c r="T167" s="137">
        <f>T162+T160+T158+T156+T152+T150+T148+T146+T144+T142+T140+T138+T136+T133+T131+T129+T127+T125+T123+T121+T117+T114+T112+T108+T106+T104+T102+T100+T98+T96+T94+T92+T89+T87+T85+T83+T81+T79+T77+T73+T70+T68+T66+T63+T61+T59+T57+T55+T52+T50+T46+T44+T42+T40+T37+T35+T33+T31+T29+T27+T23+T20+T12</f>
        <v>1.6396773328217371</v>
      </c>
      <c r="U167" s="137">
        <f>U162+U160+U158+U156+U152+U150+U148+U146+U144+U142+U140+U138+U136+U133+U131+U129+U127+U125+U123+U121+U117+U114+U112+U108+U106+U104+U102+U100+U98+U96+U94+U92+U89+U87+U85+U83+U81+U79+U77+U73+U70+U68+U66+U63+U61+U59+U57+U55+U52+U50+U46+U44+U42+U40+U37+U35+U33+U31+U29+U27+U23+U20+U12</f>
        <v>1.2728425882538621</v>
      </c>
      <c r="V167" s="137">
        <f>V162+V160+V158+V156+V152+V150+V148+V146+V144+V142+V140+V138+V136+V133+V131+V129+V127+V125+V123+V121+V117+V114+V112+V108+V106+V104+V102+V100+V98+V96+V94+V92+V89+V87+V85+V83+V81+V79+V77+V73+V70+V68+V66+V63+V61+V59+V57+V55+V52+V50+V46+V44+V42+V40+V37+V35+V33+V31+V29+V27+V23+V20+V12</f>
        <v>1.7502426606232859</v>
      </c>
      <c r="W167" s="137">
        <f>W162+W160+W158+W156+W152+W150+W148+W146+W144+W142+W140+W138+W136+W133+W131+W129+W127+W125+W123+W121+W117+W114+W112+W108+W106+W104+W102+W100+W98+W96+W94+W92+W89+W87+W85+W83+W81+W79+W77+W73+W70+W68+W66+W63+W61+W59+W57+W55+W52+W50+W46+W44+W42+W40+W37+W35+W33+W31+W29+W27+W23+W20+W12</f>
        <v>2.9434770632104157</v>
      </c>
      <c r="X167" s="137">
        <f>X162+X160+X158+X156+X152+X150+X148+X146+X144+X142+X140+X138+X136+X133+X131+X129+X127+X125+X123+X121+X117+X114+X112+X108+X106+X104+X102+X100+X98+X96+X94+X92+X89+X87+X85+X83+X81+X79+X77+X73+X70+X68+X66+X63+X61+X59+X57+X55+X52+X50+X46+X44+X42+X40+X37+X35+X33+X31+X29+X27+X23+X20+X12</f>
        <v>3.3796720215163973</v>
      </c>
      <c r="Y167" s="137">
        <f>Y162+Y160+Y158+Y156+Y152+Y150+Y148+Y146+Y144+Y142+Y140+Y138+Y136+Y133+Y131+Y129+Y127+Y125+Y123+Y121+Y117+Y114+Y112+Y108+Y106+Y104+Y102+Y100+Y98+Y96+Y94+Y92+Y89+Y87+Y85+Y83+Y81+Y79+Y77+Y73+Y70+Y68+Y66+Y63+Y61+Y59+Y57+Y55+Y52+Y50+Y46+Y44+Y42+Y40+Y37+Y35+Y33+Y31+Y29+Y27+Y23+Y20+Y12</f>
        <v>3.4362338513991326</v>
      </c>
      <c r="Z167" s="137">
        <f>Z162+Z160+Z158+Z156+Z152+Z150+Z148+Z146+Z144+Z142+Z140+Z138+Z136+Z133+Z131+Z129+Z127+Z125+Z123+Z121+Z117+Z114+Z112+Z108+Z106+Z104+Z102+Z100+Z98+Z96+Z94+Z92+Z89+Z87+Z85+Z83+Z81+Z79+Z77+Z73+Z70+Z68+Z66+Z63+Z61+Z59+Z57+Z55+Z52+Z50+Z46+Z44+Z42+Z40+Z37+Z35+Z33+Z31+Z29+Z27+Z23+Z20+Z12</f>
        <v>3.6121343900641865</v>
      </c>
      <c r="AA167" s="137">
        <f>AA162+AA160+AA158+AA156+AA152+AA150+AA148+AA146+AA144+AA142+AA140+AA138+AA136+AA133+AA131+AA129+AA127+AA125+AA123+AA121+AA117+AA114+AA112+AA108+AA106+AA104+AA102+AA100+AA98+AA96+AA94+AA92+AA89+AA87+AA85+AA83+AA81+AA79+AA77+AA73+AA70+AA68+AA66+AA63+AA61+AA59+AA57+AA55+AA52+AA50+AA46+AA44+AA42+AA40+AA37+AA35+AA33+AA31+AA29+AA27+AA23+AA20+AA12</f>
        <v>3.3794425292180654</v>
      </c>
      <c r="AB167" s="137">
        <f>AB162+AB160+AB158+AB156+AB152+AB150+AB148+AB146+AB144+AB142+AB140+AB138+AB136+AB133+AB131+AB129+AB127+AB125+AB123+AB121+AB117+AB114+AB112+AB108+AB106+AB104+AB102+AB100+AB98+AB96+AB94+AB92+AB89+AB87+AB85+AB83+AB81+AB79+AB77+AB73+AB70+AB68+AB66+AB63+AB61+AB59+AB57+AB55+AB52+AB50+AB46+AB44+AB42+AB40+AB37+AB35+AB33+AB31+AB29+AB27+AB23+AB20+AB12</f>
        <v>2.6374682488808694</v>
      </c>
      <c r="AC167" s="137">
        <f>AC162+AC160+AC158+AC156+AC152+AC150+AC148+AC146+AC144+AC142+AC140+AC138+AC136+AC133+AC131+AC129+AC127+AC125+AC123+AC121+AC117+AC114+AC112+AC108+AC106+AC104+AC102+AC100+AC98+AC96+AC94+AC92+AC89+AC87+AC85+AC83+AC81+AC79+AC77+AC73+AC70+AC68+AC66+AC63+AC61+AC59+AC57+AC55+AC52+AC50+AC46+AC44+AC42+AC40+AC37+AC35+AC33+AC31+AC29+AC27+AC23+AC20+AC12</f>
        <v>2.0320048253033907</v>
      </c>
      <c r="AD167" s="137">
        <f>AD162+AD160+AD158+AD156+AD152+AD150+AD148+AD146+AD144+AD142+AD140+AD138+AD136+AD133+AD131+AD129+AD127+AD125+AD123+AD121+AD117+AD114+AD112+AD108+AD106+AD104+AD102+AD100+AD98+AD96+AD94+AD92+AD89+AD87+AD85+AD83+AD81+AD79+AD77+AD73+AD70+AD68+AD66+AD63+AD61+AD59+AD57+AD55+AD52+AD50+AD46+AD44+AD42+AD40+AD37+AD35+AD33+AD31+AD29+AD27+AD23+AD20+AD12</f>
        <v>2.2795941012833061</v>
      </c>
      <c r="AE167" s="137">
        <f>AE162+AE160+AE158+AE156+AE152+AE150+AE148+AE146+AE144+AE142+AE140+AE138+AE136+AE133+AE131+AE129+AE127+AE125+AE123+AE121+AE117+AE114+AE112+AE108+AE106+AE104+AE102+AE100+AE98+AE96+AE94+AE92+AE89+AE87+AE85+AE83+AE81+AE79+AE77+AE73+AE70+AE68+AE66+AE63+AE61+AE59+AE57+AE55+AE52+AE50+AE46+AE44+AE42+AE40+AE37+AE35+AE33+AE31+AE29+AE27+AE23+AE20+AE12</f>
        <v>2.7485485966645808</v>
      </c>
      <c r="AF167" s="137">
        <f>AF162+AF160+AF158+AF156+AF152+AF150+AF148+AF146+AF144+AF142+AF140+AF138+AF136+AF133+AF131+AF129+AF127+AF125+AF123+AF121+AF117+AF114+AF112+AF108+AF106+AF104+AF102+AF100+AF98+AF96+AF94+AF92+AF89+AF87+AF85+AF83+AF81+AF79+AF77+AF73+AF70+AF68+AF66+AF63+AF61+AF59+AF57+AF55+AF52+AF50+AF46+AF44+AF42+AF40+AF37+AF35+AF33+AF31+AF29+AF27+AF23+AF20+AF12</f>
        <v>2.4517743951481901</v>
      </c>
      <c r="AG167" s="137">
        <f>AG162+AG160+AG158+AG156+AG152+AG150+AG148+AG146+AG144+AG142+AG140+AG138+AG136+AG133+AG131+AG129+AG127+AG125+AG123+AG121+AG117+AG114+AG112+AG108+AG106+AG104+AG102+AG100+AG98+AG96+AG94+AG92+AG89+AG87+AG85+AG83+AG81+AG79+AG77+AG73+AG70+AG68+AG66+AG63+AG61+AG59+AG57+AG55+AG52+AG50+AG46+AG44+AG42+AG40+AG37+AG35+AG33+AG31+AG29+AG27+AG23+AG20+AG12</f>
        <v>3.1121675519429388</v>
      </c>
      <c r="AH167" s="137">
        <f>AH162+AH160+AH158+AH156+AH152+AH150+AH148+AH146+AH144+AH142+AH140+AH138+AH136+AH133+AH131+AH129+AH127+AH125+AH123+AH121+AH117+AH114+AH112+AH108+AH106+AH104+AH102+AH100+AH98+AH96+AH94+AH92+AH89+AH87+AH85+AH83+AH81+AH79+AH77+AH73+AH70+AH68+AH66+AH63+AH61+AH59+AH57+AH55+AH52+AH50+AH46+AH44+AH42+AH40+AH37+AH35+AH33+AH31+AH29+AH27+AH23+AH20+AH12</f>
        <v>3.6616952327934724</v>
      </c>
      <c r="AI167" s="137">
        <f>AI162+AI160+AI158+AI156+AI152+AI150+AI148+AI146+AI144+AI142+AI140+AI138+AI136+AI133+AI131+AI129+AI127+AI125+AI123+AI121+AI117+AI114+AI112+AI108+AI106+AI104+AI102+AI100+AI98+AI96+AI94+AI92+AI89+AI87+AI85+AI83+AI81+AI79+AI77+AI73+AI70+AI68+AI66+AI63+AI61+AI59+AI57+AI55+AI52+AI50+AI46+AI44+AI42+AI40+AI37+AI35+AI33+AI31+AI29+AI27+AI23+AI20+AI12</f>
        <v>4.2456008617644052</v>
      </c>
      <c r="AJ167" s="137">
        <f>AJ162+AJ160+AJ158+AJ156+AJ152+AJ150+AJ148+AJ146+AJ144+AJ142+AJ140+AJ138+AJ136+AJ133+AJ131+AJ129+AJ127+AJ125+AJ123+AJ121+AJ117+AJ114+AJ112+AJ108+AJ106+AJ104+AJ102+AJ100+AJ98+AJ96+AJ94+AJ92+AJ89+AJ87+AJ85+AJ83+AJ81+AJ79+AJ77+AJ73+AJ70+AJ68+AJ66+AJ63+AJ61+AJ59+AJ57+AJ55+AJ52+AJ50+AJ46+AJ44+AJ42+AJ40+AJ37+AJ35+AJ33+AJ31+AJ29+AJ27+AJ23+AJ20+AJ12</f>
        <v>3.4714358205724212</v>
      </c>
      <c r="AK167" s="137">
        <f t="shared" ref="AK167:BH167" si="161">AK162+AK160+AK158+AK156+AK152+AK150+AK148+AK146+AK144+AK142+AK140+AK138+AK136+AK133+AK131+AK129+AK127+AK125+AK123+AK121+AK117+AK114+AK112+AK108+AK106+AK104+AK102+AK100+AK98+AK96+AK94+AK92+AK89+AK87+AK85+AK83+AK81+AK79+AK77+AK73+AK70+AK68+AK66+AK63+AK61+AK59+AK57+AK55+AK52+AK50+AK46+AK44+AK42+AK40+AK37+AK35+AK33+AK31+AK29+AK27+AK23+AK20+AK12</f>
        <v>3.3796869370871079</v>
      </c>
      <c r="AL167" s="137">
        <f t="shared" si="161"/>
        <v>3.667946361530658</v>
      </c>
      <c r="AM167" s="137">
        <f t="shared" si="161"/>
        <v>3.3058715693410536</v>
      </c>
      <c r="AN167" s="137">
        <f t="shared" si="161"/>
        <v>3.3885708516167781</v>
      </c>
      <c r="AO167" s="137">
        <f t="shared" si="161"/>
        <v>2.2044776843318683</v>
      </c>
      <c r="AP167" s="137">
        <f t="shared" si="161"/>
        <v>2.1135329795863491</v>
      </c>
      <c r="AQ167" s="137">
        <f t="shared" si="161"/>
        <v>2.4608918958153723</v>
      </c>
      <c r="AR167" s="137">
        <f t="shared" si="161"/>
        <v>2.6907419582187382</v>
      </c>
      <c r="AS167" s="137">
        <f t="shared" si="161"/>
        <v>2.7364781519346129</v>
      </c>
      <c r="AT167" s="137">
        <f t="shared" si="161"/>
        <v>0</v>
      </c>
      <c r="AU167" s="137">
        <f t="shared" si="161"/>
        <v>0</v>
      </c>
      <c r="AV167" s="137">
        <f t="shared" si="161"/>
        <v>1.7657249281405423</v>
      </c>
      <c r="AW167" s="137">
        <f t="shared" si="161"/>
        <v>2.6107015833587921</v>
      </c>
      <c r="AX167" s="137">
        <f t="shared" si="161"/>
        <v>2.6379138493062566</v>
      </c>
      <c r="AY167" s="137">
        <f t="shared" si="161"/>
        <v>2.6754881185723245</v>
      </c>
      <c r="AZ167" s="137">
        <f t="shared" si="161"/>
        <v>2.1832977151750814</v>
      </c>
      <c r="BA167" s="137">
        <f t="shared" si="161"/>
        <v>1.656733322728229</v>
      </c>
      <c r="BB167" s="137">
        <f t="shared" si="161"/>
        <v>1.7199340657329776</v>
      </c>
      <c r="BC167" s="137">
        <f t="shared" si="161"/>
        <v>2.2191079487111094</v>
      </c>
      <c r="BD167" s="137">
        <f t="shared" si="161"/>
        <v>1.6094093163096221</v>
      </c>
      <c r="BE167" s="137">
        <f t="shared" si="161"/>
        <v>0.88406353167569762</v>
      </c>
      <c r="BF167" s="137">
        <f t="shared" si="161"/>
        <v>0.64443712969058597</v>
      </c>
      <c r="BG167" s="137">
        <f t="shared" si="161"/>
        <v>0.66054805793285054</v>
      </c>
      <c r="BH167" s="137">
        <f t="shared" si="161"/>
        <v>0.32221856484529299</v>
      </c>
      <c r="BI167" s="137">
        <f>BI14+BI20+BI23+BI27+BI29+BI31+BI33+BI35+BI37+BI40+BI42+BI44+BI46+BI50+BI52+BI55+BI57+BI59+BI61+BI63+BI66+BI68+BI70</f>
        <v>0</v>
      </c>
      <c r="BJ167" s="137">
        <f>BJ14+BJ20+BJ23+BJ27+BJ29+BJ31+BJ33+BJ35+BJ37+BJ40+BJ42+BJ44+BJ46+BJ50+BJ52+BJ55+BJ57+BJ59+BJ61+BJ63+BJ66+BJ68+BJ70</f>
        <v>0</v>
      </c>
      <c r="BK167" s="137">
        <f>BK14+BK20+BK23+BK27+BK29+BK31+BK33+BK35+BK37+BK40+BK42+BK44+BK46+BK50+BK52+BK55+BK57+BK59+BK61+BK63+BK66+BK68+BK70</f>
        <v>0</v>
      </c>
      <c r="BL167" s="137">
        <f>BL14+BL20+BL23+BL27+BL29+BL31+BL33+BL35+BL37+BL40+BL42+BL44+BL46+BL50+BL52+BL55+BL57+BL59+BL61+BL63+BL66+BL68+BL70</f>
        <v>0</v>
      </c>
      <c r="BM167" s="54">
        <f ca="1">SUMIF($C$14:$C$169,"A",BM13:BM165)</f>
        <v>0</v>
      </c>
    </row>
    <row r="168" spans="1:66">
      <c r="B168" s="77"/>
      <c r="C168" s="77" t="s">
        <v>21</v>
      </c>
      <c r="E168" s="88" t="s">
        <v>23</v>
      </c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7"/>
      <c r="BD168" s="137"/>
      <c r="BE168" s="137"/>
      <c r="BF168" s="137"/>
      <c r="BG168" s="137"/>
      <c r="BH168" s="137"/>
      <c r="BI168" s="137"/>
      <c r="BJ168" s="137"/>
      <c r="BK168" s="137"/>
      <c r="BL168" s="137"/>
    </row>
    <row r="169" spans="1:66">
      <c r="E169" s="88" t="s">
        <v>24</v>
      </c>
      <c r="H169" s="138">
        <v>0</v>
      </c>
      <c r="I169" s="45">
        <v>0</v>
      </c>
      <c r="J169" s="44">
        <f>J167</f>
        <v>2.1958598493160707E-3</v>
      </c>
      <c r="K169" s="44">
        <f>J169+K167</f>
        <v>4.3917196986321414E-3</v>
      </c>
      <c r="L169" s="44">
        <f t="shared" ref="L169:BH169" si="162">K169+L167</f>
        <v>6.5875795479482125E-3</v>
      </c>
      <c r="M169" s="44">
        <f t="shared" si="162"/>
        <v>3.7357557191893757E-2</v>
      </c>
      <c r="N169" s="44">
        <f t="shared" si="162"/>
        <v>7.9485881785258644E-2</v>
      </c>
      <c r="O169" s="44">
        <f t="shared" si="162"/>
        <v>0.21382590229505227</v>
      </c>
      <c r="P169" s="44">
        <f t="shared" si="162"/>
        <v>0.67054849263210603</v>
      </c>
      <c r="Q169" s="44">
        <f t="shared" si="162"/>
        <v>1.7923323136207054</v>
      </c>
      <c r="R169" s="44">
        <f t="shared" si="162"/>
        <v>2.7976061925223812</v>
      </c>
      <c r="S169" s="44">
        <f t="shared" si="162"/>
        <v>4.4082114068974318</v>
      </c>
      <c r="T169" s="44">
        <f t="shared" si="162"/>
        <v>6.047888739719169</v>
      </c>
      <c r="U169" s="44">
        <f t="shared" si="162"/>
        <v>7.3207313279730313</v>
      </c>
      <c r="V169" s="44">
        <f t="shared" si="162"/>
        <v>9.0709739885963181</v>
      </c>
      <c r="W169" s="44">
        <f t="shared" si="162"/>
        <v>12.014451051806734</v>
      </c>
      <c r="X169" s="44">
        <f t="shared" si="162"/>
        <v>15.394123073323131</v>
      </c>
      <c r="Y169" s="44">
        <f t="shared" si="162"/>
        <v>18.830356924722263</v>
      </c>
      <c r="Z169" s="44">
        <f t="shared" si="162"/>
        <v>22.442491314786452</v>
      </c>
      <c r="AA169" s="44">
        <f t="shared" si="162"/>
        <v>25.821933844004516</v>
      </c>
      <c r="AB169" s="44">
        <f t="shared" si="162"/>
        <v>28.459402092885384</v>
      </c>
      <c r="AC169" s="44">
        <f t="shared" si="162"/>
        <v>30.491406918188773</v>
      </c>
      <c r="AD169" s="44">
        <f t="shared" si="162"/>
        <v>32.771001019472081</v>
      </c>
      <c r="AE169" s="44">
        <f t="shared" si="162"/>
        <v>35.519549616136665</v>
      </c>
      <c r="AF169" s="44">
        <f t="shared" si="162"/>
        <v>37.971324011284857</v>
      </c>
      <c r="AG169" s="44">
        <f t="shared" si="162"/>
        <v>41.083491563227795</v>
      </c>
      <c r="AH169" s="44">
        <f t="shared" si="162"/>
        <v>44.745186796021265</v>
      </c>
      <c r="AI169" s="44">
        <f t="shared" si="162"/>
        <v>48.990787657785674</v>
      </c>
      <c r="AJ169" s="44">
        <f t="shared" si="162"/>
        <v>52.462223478358098</v>
      </c>
      <c r="AK169" s="44">
        <f t="shared" si="162"/>
        <v>55.841910415445206</v>
      </c>
      <c r="AL169" s="44">
        <f t="shared" si="162"/>
        <v>59.509856776975866</v>
      </c>
      <c r="AM169" s="44">
        <f t="shared" si="162"/>
        <v>62.815728346316916</v>
      </c>
      <c r="AN169" s="44">
        <f t="shared" si="162"/>
        <v>66.204299197933693</v>
      </c>
      <c r="AO169" s="44">
        <f t="shared" si="162"/>
        <v>68.408776882265556</v>
      </c>
      <c r="AP169" s="44">
        <f t="shared" si="162"/>
        <v>70.522309861851909</v>
      </c>
      <c r="AQ169" s="44">
        <f t="shared" si="162"/>
        <v>72.983201757667274</v>
      </c>
      <c r="AR169" s="44">
        <f t="shared" si="162"/>
        <v>75.673943715886011</v>
      </c>
      <c r="AS169" s="44">
        <f t="shared" si="162"/>
        <v>78.410421867820631</v>
      </c>
      <c r="AT169" s="44">
        <f t="shared" si="162"/>
        <v>78.410421867820631</v>
      </c>
      <c r="AU169" s="44">
        <f t="shared" si="162"/>
        <v>78.410421867820631</v>
      </c>
      <c r="AV169" s="44">
        <f t="shared" si="162"/>
        <v>80.176146795961174</v>
      </c>
      <c r="AW169" s="44">
        <f t="shared" si="162"/>
        <v>82.786848379319963</v>
      </c>
      <c r="AX169" s="44">
        <f t="shared" si="162"/>
        <v>85.424762228626221</v>
      </c>
      <c r="AY169" s="44">
        <f t="shared" si="162"/>
        <v>88.100250347198539</v>
      </c>
      <c r="AZ169" s="44">
        <f t="shared" si="162"/>
        <v>90.283548062373626</v>
      </c>
      <c r="BA169" s="44">
        <f t="shared" si="162"/>
        <v>91.940281385101855</v>
      </c>
      <c r="BB169" s="44">
        <f t="shared" si="162"/>
        <v>93.660215450834826</v>
      </c>
      <c r="BC169" s="44">
        <f t="shared" si="162"/>
        <v>95.879323399545939</v>
      </c>
      <c r="BD169" s="44">
        <f t="shared" si="162"/>
        <v>97.488732715855562</v>
      </c>
      <c r="BE169" s="44">
        <f t="shared" si="162"/>
        <v>98.372796247531255</v>
      </c>
      <c r="BF169" s="44">
        <f t="shared" si="162"/>
        <v>99.017233377221842</v>
      </c>
      <c r="BG169" s="44">
        <f t="shared" si="162"/>
        <v>99.677781435154699</v>
      </c>
      <c r="BH169" s="44">
        <f t="shared" si="162"/>
        <v>99.999999999999986</v>
      </c>
      <c r="BI169" s="44">
        <f t="shared" ref="BI169" si="163">BH169+BI167</f>
        <v>99.999999999999986</v>
      </c>
      <c r="BJ169" s="44">
        <f t="shared" ref="BJ169" si="164">BI169+BJ167</f>
        <v>99.999999999999986</v>
      </c>
      <c r="BK169" s="44">
        <f t="shared" ref="BK169" si="165">BJ169+BK167</f>
        <v>99.999999999999986</v>
      </c>
      <c r="BL169" s="44">
        <f t="shared" ref="BL169" si="166">BK169+BL167</f>
        <v>99.999999999999986</v>
      </c>
    </row>
    <row r="170" spans="1:66">
      <c r="E170" s="88" t="s">
        <v>25</v>
      </c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5" t="e">
        <f>#REF!+BM168</f>
        <v>#REF!</v>
      </c>
    </row>
    <row r="171" spans="1:66">
      <c r="E171" s="45" t="s">
        <v>19</v>
      </c>
      <c r="X171" s="45" t="s">
        <v>157</v>
      </c>
      <c r="AH171" s="145"/>
      <c r="AI171" s="145"/>
      <c r="AJ171" s="145"/>
      <c r="AK171" s="139"/>
      <c r="AS171" s="145"/>
      <c r="AT171" s="145"/>
      <c r="AU171" s="145"/>
    </row>
    <row r="172" spans="1:66">
      <c r="I172" s="163"/>
    </row>
    <row r="173" spans="1:66"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  <c r="AL173" s="163"/>
      <c r="AM173" s="163"/>
      <c r="AN173" s="163"/>
      <c r="AO173" s="163"/>
      <c r="AP173" s="163"/>
      <c r="AQ173" s="163"/>
      <c r="AR173" s="163"/>
      <c r="AS173" s="163"/>
      <c r="AT173" s="163"/>
      <c r="AU173" s="163"/>
      <c r="AV173" s="163"/>
      <c r="AW173" s="163"/>
      <c r="AX173" s="163"/>
      <c r="AY173" s="163"/>
      <c r="AZ173" s="163"/>
      <c r="BA173" s="163"/>
      <c r="BB173" s="163"/>
      <c r="BC173" s="163"/>
      <c r="BD173" s="163"/>
      <c r="BE173" s="163"/>
      <c r="BF173" s="163"/>
      <c r="BG173" s="163"/>
      <c r="BH173" s="156"/>
      <c r="BI173" s="150"/>
    </row>
    <row r="174" spans="1:66">
      <c r="J174" s="139"/>
      <c r="K174" s="139"/>
      <c r="L174" s="139" t="s">
        <v>14</v>
      </c>
      <c r="M174" s="139"/>
      <c r="N174" s="139"/>
      <c r="O174" s="139"/>
      <c r="X174" s="139" t="s">
        <v>15</v>
      </c>
      <c r="Y174" s="139"/>
      <c r="Z174" s="139"/>
    </row>
    <row r="176" spans="1:66">
      <c r="J176" s="141"/>
      <c r="K176" s="141"/>
      <c r="L176" s="141"/>
      <c r="M176" s="141"/>
      <c r="N176" s="141"/>
      <c r="O176" s="141"/>
      <c r="P176" s="141"/>
      <c r="Q176" s="141"/>
      <c r="W176" s="140" t="s">
        <v>16</v>
      </c>
      <c r="X176" s="140"/>
      <c r="Y176" s="140"/>
      <c r="Z176" s="140"/>
      <c r="AA176" s="140"/>
    </row>
    <row r="178" spans="6:47">
      <c r="AH178" s="151"/>
      <c r="AI178" s="151"/>
      <c r="AJ178" s="151"/>
      <c r="AK178" s="142"/>
      <c r="AS178" s="151"/>
      <c r="AT178" s="151"/>
      <c r="AU178" s="151"/>
    </row>
    <row r="179" spans="6:47">
      <c r="AH179" s="150"/>
      <c r="AI179" s="150"/>
      <c r="AS179" s="150"/>
      <c r="AT179" s="150"/>
      <c r="AU179" s="150"/>
    </row>
    <row r="181" spans="6:47">
      <c r="J181" s="142"/>
      <c r="K181" s="143" t="s">
        <v>156</v>
      </c>
      <c r="L181" s="142"/>
      <c r="M181" s="142"/>
      <c r="N181" s="142"/>
      <c r="O181" s="142"/>
      <c r="X181" s="142" t="s">
        <v>158</v>
      </c>
      <c r="Y181" s="142"/>
      <c r="Z181" s="142"/>
    </row>
    <row r="182" spans="6:47">
      <c r="J182" s="141"/>
      <c r="K182" s="141"/>
      <c r="L182" s="141" t="s">
        <v>18</v>
      </c>
      <c r="M182" s="141"/>
      <c r="N182" s="141"/>
      <c r="O182" s="141"/>
      <c r="X182" s="141" t="s">
        <v>17</v>
      </c>
      <c r="Y182" s="141"/>
      <c r="Z182" s="141"/>
    </row>
    <row r="183" spans="6:47">
      <c r="F183" s="48" t="e">
        <v>#NAME?</v>
      </c>
    </row>
  </sheetData>
  <autoFilter ref="A10:BO165" xr:uid="{76EF947B-DE73-4DF4-8E36-391660D11024}">
    <filterColumn colId="6">
      <customFilters>
        <customFilter operator="notEqual" val=" "/>
      </customFilters>
    </filterColumn>
  </autoFilter>
  <mergeCells count="31">
    <mergeCell ref="BH173:BI173"/>
    <mergeCell ref="D9:D10"/>
    <mergeCell ref="E9:E10"/>
    <mergeCell ref="H9:H10"/>
    <mergeCell ref="AE9:AH9"/>
    <mergeCell ref="N9:Q9"/>
    <mergeCell ref="AA9:AD9"/>
    <mergeCell ref="F9:F10"/>
    <mergeCell ref="G9:G10"/>
    <mergeCell ref="I9:I10"/>
    <mergeCell ref="R9:U9"/>
    <mergeCell ref="V9:Z9"/>
    <mergeCell ref="J9:M9"/>
    <mergeCell ref="AM9:AQ9"/>
    <mergeCell ref="BE9:BH9"/>
    <mergeCell ref="BI9:BL9"/>
    <mergeCell ref="D3:BL5"/>
    <mergeCell ref="D6:BL6"/>
    <mergeCell ref="D2:BL2"/>
    <mergeCell ref="AH7:AR7"/>
    <mergeCell ref="M7:W7"/>
    <mergeCell ref="AH179:AI179"/>
    <mergeCell ref="AH178:AJ178"/>
    <mergeCell ref="AS178:AU178"/>
    <mergeCell ref="AS179:AU179"/>
    <mergeCell ref="AH171:AJ171"/>
    <mergeCell ref="AS171:AU171"/>
    <mergeCell ref="AR9:AU9"/>
    <mergeCell ref="AV9:AZ9"/>
    <mergeCell ref="BA9:BD9"/>
    <mergeCell ref="AI9:AL9"/>
  </mergeCells>
  <pageMargins left="0.25" right="0.25" top="0.75" bottom="0.75" header="0.3" footer="0.3"/>
  <pageSetup paperSize="8" scale="54" fitToHeight="0" pageOrder="overThenDown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CC07-7902-4DDE-AA72-9DE094FE99AE}">
  <dimension ref="B3:CH345"/>
  <sheetViews>
    <sheetView topLeftCell="A196" zoomScale="115" zoomScaleNormal="115" workbookViewId="0">
      <selection activeCell="G296" sqref="G296:AS296"/>
    </sheetView>
  </sheetViews>
  <sheetFormatPr defaultRowHeight="15"/>
  <cols>
    <col min="1" max="5" width="9.140625" style="9"/>
    <col min="6" max="6" width="44.140625" style="9" customWidth="1"/>
    <col min="7" max="16384" width="9.140625" style="9"/>
  </cols>
  <sheetData>
    <row r="3" spans="2:19">
      <c r="B3" s="9">
        <v>10.800975921013018</v>
      </c>
      <c r="D3" s="9">
        <f>B3/76</f>
        <v>0.14211810422385551</v>
      </c>
      <c r="L3" s="162" t="s">
        <v>109</v>
      </c>
      <c r="M3" s="162"/>
      <c r="N3" s="162"/>
      <c r="Q3" s="162" t="s">
        <v>110</v>
      </c>
      <c r="R3" s="162"/>
      <c r="S3" s="162"/>
    </row>
    <row r="4" spans="2:19">
      <c r="C4" s="10">
        <v>0.02</v>
      </c>
      <c r="D4" s="9">
        <f t="shared" ref="D4:D32" si="0">C4*$D$3</f>
        <v>2.8423620844771104E-3</v>
      </c>
      <c r="J4" s="9">
        <v>50</v>
      </c>
      <c r="K4" s="9" t="s">
        <v>104</v>
      </c>
      <c r="L4" s="9">
        <v>2</v>
      </c>
      <c r="M4" s="9" t="s">
        <v>26</v>
      </c>
      <c r="N4" s="9">
        <v>2021</v>
      </c>
      <c r="O4" s="10">
        <v>1</v>
      </c>
      <c r="Q4" s="9">
        <v>20</v>
      </c>
      <c r="R4" s="9" t="s">
        <v>6</v>
      </c>
      <c r="S4" s="9">
        <v>2021</v>
      </c>
    </row>
    <row r="5" spans="2:19">
      <c r="C5" s="10">
        <v>0.05</v>
      </c>
      <c r="D5" s="9">
        <f t="shared" si="0"/>
        <v>7.105905211192776E-3</v>
      </c>
      <c r="J5" s="9">
        <v>40</v>
      </c>
      <c r="K5" s="9" t="s">
        <v>106</v>
      </c>
      <c r="L5" s="9">
        <v>2</v>
      </c>
      <c r="M5" s="9" t="s">
        <v>7</v>
      </c>
      <c r="N5" s="9">
        <v>2021</v>
      </c>
      <c r="O5" s="10">
        <v>1.8</v>
      </c>
      <c r="Q5" s="9">
        <v>17</v>
      </c>
      <c r="R5" s="9" t="s">
        <v>5</v>
      </c>
      <c r="S5" s="9">
        <v>2022</v>
      </c>
    </row>
    <row r="6" spans="2:19">
      <c r="C6" s="11">
        <v>7.4999999999999997E-2</v>
      </c>
      <c r="D6" s="9">
        <f t="shared" si="0"/>
        <v>1.0658857816789163E-2</v>
      </c>
      <c r="J6" s="9">
        <v>15</v>
      </c>
      <c r="K6" s="9" t="s">
        <v>103</v>
      </c>
      <c r="L6" s="9">
        <v>4</v>
      </c>
      <c r="M6" s="9" t="s">
        <v>26</v>
      </c>
      <c r="N6" s="9">
        <v>2021</v>
      </c>
      <c r="O6" s="10">
        <v>2</v>
      </c>
      <c r="Q6" s="9">
        <v>10</v>
      </c>
      <c r="R6" s="9" t="s">
        <v>5</v>
      </c>
      <c r="S6" s="9">
        <v>2022</v>
      </c>
    </row>
    <row r="7" spans="2:19">
      <c r="C7" s="10">
        <v>0.1</v>
      </c>
      <c r="D7" s="9">
        <f t="shared" si="0"/>
        <v>1.4211810422385552E-2</v>
      </c>
      <c r="J7" s="9">
        <v>20</v>
      </c>
      <c r="K7" s="9" t="s">
        <v>105</v>
      </c>
      <c r="L7" s="9">
        <v>1</v>
      </c>
      <c r="M7" s="9" t="s">
        <v>8</v>
      </c>
      <c r="N7" s="9">
        <v>2022</v>
      </c>
      <c r="O7" s="10">
        <v>0.75</v>
      </c>
      <c r="Q7" s="9">
        <v>23</v>
      </c>
      <c r="R7" s="9" t="s">
        <v>8</v>
      </c>
      <c r="S7" s="9">
        <v>2022</v>
      </c>
    </row>
    <row r="8" spans="2:19">
      <c r="C8" s="11">
        <f>C7+5%</f>
        <v>0.15000000000000002</v>
      </c>
      <c r="D8" s="9">
        <f t="shared" si="0"/>
        <v>2.131771563357833E-2</v>
      </c>
    </row>
    <row r="9" spans="2:19">
      <c r="C9" s="11">
        <f t="shared" ref="C9:C40" si="1">C8+5%</f>
        <v>0.2</v>
      </c>
      <c r="D9" s="9">
        <f t="shared" si="0"/>
        <v>2.8423620844771104E-2</v>
      </c>
    </row>
    <row r="10" spans="2:19">
      <c r="C10" s="11">
        <f t="shared" si="1"/>
        <v>0.25</v>
      </c>
      <c r="D10" s="9">
        <f t="shared" si="0"/>
        <v>3.5529526055963878E-2</v>
      </c>
      <c r="M10" s="9">
        <v>0.13019868097246773</v>
      </c>
    </row>
    <row r="11" spans="2:19">
      <c r="C11" s="11">
        <f t="shared" si="1"/>
        <v>0.3</v>
      </c>
      <c r="D11" s="9">
        <f t="shared" si="0"/>
        <v>4.2635431267156652E-2</v>
      </c>
    </row>
    <row r="12" spans="2:19">
      <c r="C12" s="11">
        <f t="shared" si="1"/>
        <v>0.35</v>
      </c>
      <c r="D12" s="9">
        <f t="shared" si="0"/>
        <v>4.9741336478349427E-2</v>
      </c>
    </row>
    <row r="13" spans="2:19">
      <c r="C13" s="11">
        <f t="shared" si="1"/>
        <v>0.39999999999999997</v>
      </c>
      <c r="D13" s="9">
        <f t="shared" si="0"/>
        <v>5.6847241689542201E-2</v>
      </c>
    </row>
    <row r="14" spans="2:19">
      <c r="C14" s="11">
        <f t="shared" si="1"/>
        <v>0.44999999999999996</v>
      </c>
      <c r="D14" s="9">
        <f t="shared" si="0"/>
        <v>6.3953146900734975E-2</v>
      </c>
    </row>
    <row r="15" spans="2:19">
      <c r="C15" s="11">
        <f t="shared" si="1"/>
        <v>0.49999999999999994</v>
      </c>
      <c r="D15" s="9">
        <f t="shared" si="0"/>
        <v>7.1059052111927742E-2</v>
      </c>
    </row>
    <row r="16" spans="2:19">
      <c r="C16" s="11">
        <f t="shared" si="1"/>
        <v>0.54999999999999993</v>
      </c>
      <c r="D16" s="9">
        <f t="shared" si="0"/>
        <v>7.8164957323120524E-2</v>
      </c>
    </row>
    <row r="17" spans="3:83">
      <c r="C17" s="11">
        <f t="shared" si="1"/>
        <v>0.6</v>
      </c>
      <c r="D17" s="9">
        <f t="shared" si="0"/>
        <v>8.5270862534313305E-2</v>
      </c>
    </row>
    <row r="18" spans="3:83">
      <c r="C18" s="11">
        <f t="shared" si="1"/>
        <v>0.65</v>
      </c>
      <c r="D18" s="9">
        <f t="shared" si="0"/>
        <v>9.2376767745506086E-2</v>
      </c>
    </row>
    <row r="19" spans="3:83">
      <c r="C19" s="11">
        <f t="shared" si="1"/>
        <v>0.70000000000000007</v>
      </c>
      <c r="D19" s="9">
        <f t="shared" si="0"/>
        <v>9.9482672956698867E-2</v>
      </c>
    </row>
    <row r="20" spans="3:83">
      <c r="C20" s="11">
        <f t="shared" si="1"/>
        <v>0.75000000000000011</v>
      </c>
      <c r="D20" s="9">
        <f t="shared" si="0"/>
        <v>0.10658857816789165</v>
      </c>
    </row>
    <row r="21" spans="3:83">
      <c r="C21" s="11">
        <f t="shared" si="1"/>
        <v>0.80000000000000016</v>
      </c>
      <c r="D21" s="9">
        <f t="shared" si="0"/>
        <v>0.11369448337908443</v>
      </c>
    </row>
    <row r="22" spans="3:83">
      <c r="C22" s="11">
        <f t="shared" si="1"/>
        <v>0.8500000000000002</v>
      </c>
      <c r="D22" s="9">
        <f t="shared" si="0"/>
        <v>0.12080038859027721</v>
      </c>
    </row>
    <row r="23" spans="3:83">
      <c r="C23" s="11">
        <f t="shared" si="1"/>
        <v>0.90000000000000024</v>
      </c>
      <c r="D23" s="9">
        <f t="shared" si="0"/>
        <v>0.12790629380147001</v>
      </c>
    </row>
    <row r="24" spans="3:83">
      <c r="C24" s="11">
        <f t="shared" si="1"/>
        <v>0.95000000000000029</v>
      </c>
      <c r="D24" s="9">
        <f t="shared" si="0"/>
        <v>0.13501219901266279</v>
      </c>
    </row>
    <row r="25" spans="3:83">
      <c r="C25" s="11">
        <f t="shared" si="1"/>
        <v>1.0000000000000002</v>
      </c>
      <c r="D25" s="9">
        <f t="shared" si="0"/>
        <v>0.14211810422385554</v>
      </c>
    </row>
    <row r="26" spans="3:83">
      <c r="C26" s="11">
        <f t="shared" si="1"/>
        <v>1.0500000000000003</v>
      </c>
      <c r="D26" s="9">
        <f t="shared" si="0"/>
        <v>0.14922400943504832</v>
      </c>
    </row>
    <row r="27" spans="3:83">
      <c r="C27" s="11">
        <f t="shared" si="1"/>
        <v>1.1000000000000003</v>
      </c>
      <c r="D27" s="9">
        <f t="shared" si="0"/>
        <v>0.1563299146462411</v>
      </c>
    </row>
    <row r="28" spans="3:83">
      <c r="C28" s="11">
        <f t="shared" si="1"/>
        <v>1.1500000000000004</v>
      </c>
      <c r="D28" s="9">
        <f t="shared" si="0"/>
        <v>0.16343581985743388</v>
      </c>
      <c r="AI28" s="9">
        <f>AH34+AI34</f>
        <v>0</v>
      </c>
    </row>
    <row r="29" spans="3:83">
      <c r="C29" s="11">
        <f t="shared" si="1"/>
        <v>1.2000000000000004</v>
      </c>
      <c r="D29" s="9">
        <f t="shared" si="0"/>
        <v>0.17054172506862667</v>
      </c>
      <c r="CC29" s="9">
        <f>CC34/3</f>
        <v>0</v>
      </c>
    </row>
    <row r="30" spans="3:83">
      <c r="C30" s="11">
        <f t="shared" si="1"/>
        <v>1.2500000000000004</v>
      </c>
      <c r="D30" s="9">
        <f t="shared" si="0"/>
        <v>0.17764763027981945</v>
      </c>
      <c r="E30" s="9" t="s">
        <v>111</v>
      </c>
      <c r="G30" s="22">
        <v>1</v>
      </c>
      <c r="H30" s="23">
        <f>G30+1</f>
        <v>2</v>
      </c>
      <c r="I30" s="23">
        <f t="shared" ref="I30:BT30" si="2">H30+1</f>
        <v>3</v>
      </c>
      <c r="J30" s="23">
        <f t="shared" si="2"/>
        <v>4</v>
      </c>
      <c r="K30" s="23">
        <f t="shared" si="2"/>
        <v>5</v>
      </c>
      <c r="L30" s="23">
        <f t="shared" si="2"/>
        <v>6</v>
      </c>
      <c r="M30" s="23">
        <f t="shared" si="2"/>
        <v>7</v>
      </c>
      <c r="N30" s="23">
        <f t="shared" si="2"/>
        <v>8</v>
      </c>
      <c r="O30" s="23">
        <f t="shared" si="2"/>
        <v>9</v>
      </c>
      <c r="P30" s="23">
        <f t="shared" si="2"/>
        <v>10</v>
      </c>
      <c r="Q30" s="23">
        <f t="shared" si="2"/>
        <v>11</v>
      </c>
      <c r="R30" s="23">
        <f t="shared" si="2"/>
        <v>12</v>
      </c>
      <c r="S30" s="23">
        <f t="shared" si="2"/>
        <v>13</v>
      </c>
      <c r="T30" s="23">
        <f t="shared" si="2"/>
        <v>14</v>
      </c>
      <c r="U30" s="23">
        <f t="shared" si="2"/>
        <v>15</v>
      </c>
      <c r="V30" s="23">
        <f t="shared" si="2"/>
        <v>16</v>
      </c>
      <c r="W30" s="23">
        <f t="shared" si="2"/>
        <v>17</v>
      </c>
      <c r="X30" s="23">
        <f t="shared" si="2"/>
        <v>18</v>
      </c>
      <c r="Y30" s="23">
        <f t="shared" si="2"/>
        <v>19</v>
      </c>
      <c r="Z30" s="23">
        <f t="shared" si="2"/>
        <v>20</v>
      </c>
      <c r="AA30" s="23">
        <f t="shared" si="2"/>
        <v>21</v>
      </c>
      <c r="AB30" s="23">
        <f t="shared" si="2"/>
        <v>22</v>
      </c>
      <c r="AC30" s="23">
        <f t="shared" si="2"/>
        <v>23</v>
      </c>
      <c r="AD30" s="23">
        <f t="shared" si="2"/>
        <v>24</v>
      </c>
      <c r="AE30" s="23">
        <f t="shared" si="2"/>
        <v>25</v>
      </c>
      <c r="AF30" s="23">
        <f t="shared" si="2"/>
        <v>26</v>
      </c>
      <c r="AG30" s="23">
        <f t="shared" si="2"/>
        <v>27</v>
      </c>
      <c r="AH30" s="23">
        <f t="shared" si="2"/>
        <v>28</v>
      </c>
      <c r="AI30" s="23">
        <f t="shared" si="2"/>
        <v>29</v>
      </c>
      <c r="AJ30" s="23">
        <f t="shared" si="2"/>
        <v>30</v>
      </c>
      <c r="AK30" s="23">
        <f t="shared" si="2"/>
        <v>31</v>
      </c>
      <c r="AL30" s="23">
        <f t="shared" si="2"/>
        <v>32</v>
      </c>
      <c r="AM30" s="23">
        <f t="shared" si="2"/>
        <v>33</v>
      </c>
      <c r="AN30" s="23">
        <f t="shared" si="2"/>
        <v>34</v>
      </c>
      <c r="AO30" s="23">
        <f t="shared" si="2"/>
        <v>35</v>
      </c>
      <c r="AP30" s="23">
        <f t="shared" si="2"/>
        <v>36</v>
      </c>
      <c r="AQ30" s="23">
        <f t="shared" si="2"/>
        <v>37</v>
      </c>
      <c r="AR30" s="23">
        <f t="shared" si="2"/>
        <v>38</v>
      </c>
      <c r="AS30" s="23">
        <f t="shared" si="2"/>
        <v>39</v>
      </c>
      <c r="AT30" s="23">
        <f t="shared" si="2"/>
        <v>40</v>
      </c>
      <c r="AU30" s="23">
        <f t="shared" si="2"/>
        <v>41</v>
      </c>
      <c r="AV30" s="23">
        <f>AU30+1</f>
        <v>42</v>
      </c>
      <c r="AW30" s="23">
        <f t="shared" si="2"/>
        <v>43</v>
      </c>
      <c r="AX30" s="23">
        <f t="shared" si="2"/>
        <v>44</v>
      </c>
      <c r="AY30" s="23">
        <f t="shared" si="2"/>
        <v>45</v>
      </c>
      <c r="AZ30" s="23">
        <f t="shared" si="2"/>
        <v>46</v>
      </c>
      <c r="BA30" s="23">
        <f t="shared" si="2"/>
        <v>47</v>
      </c>
      <c r="BB30" s="23">
        <f t="shared" si="2"/>
        <v>48</v>
      </c>
      <c r="BC30" s="23">
        <f t="shared" si="2"/>
        <v>49</v>
      </c>
      <c r="BD30" s="23">
        <f t="shared" si="2"/>
        <v>50</v>
      </c>
      <c r="BE30" s="23">
        <f t="shared" si="2"/>
        <v>51</v>
      </c>
      <c r="BF30" s="23">
        <f t="shared" si="2"/>
        <v>52</v>
      </c>
      <c r="BG30" s="23">
        <f t="shared" si="2"/>
        <v>53</v>
      </c>
      <c r="BH30" s="23">
        <f t="shared" si="2"/>
        <v>54</v>
      </c>
      <c r="BI30" s="23">
        <f t="shared" si="2"/>
        <v>55</v>
      </c>
      <c r="BJ30" s="23">
        <f t="shared" si="2"/>
        <v>56</v>
      </c>
      <c r="BK30" s="23">
        <f t="shared" si="2"/>
        <v>57</v>
      </c>
      <c r="BL30" s="23">
        <f t="shared" si="2"/>
        <v>58</v>
      </c>
      <c r="BM30" s="23">
        <f t="shared" si="2"/>
        <v>59</v>
      </c>
      <c r="BN30" s="23">
        <f t="shared" si="2"/>
        <v>60</v>
      </c>
      <c r="BO30" s="23">
        <f t="shared" si="2"/>
        <v>61</v>
      </c>
      <c r="BP30" s="23">
        <f t="shared" si="2"/>
        <v>62</v>
      </c>
      <c r="BQ30" s="23">
        <f>BP30+1</f>
        <v>63</v>
      </c>
      <c r="BR30" s="23">
        <f t="shared" si="2"/>
        <v>64</v>
      </c>
      <c r="BS30" s="23">
        <f t="shared" si="2"/>
        <v>65</v>
      </c>
      <c r="BT30" s="23">
        <f t="shared" si="2"/>
        <v>66</v>
      </c>
      <c r="BU30" s="23">
        <f t="shared" ref="BU30:CD30" si="3">BT30+1</f>
        <v>67</v>
      </c>
      <c r="BV30" s="23">
        <f t="shared" si="3"/>
        <v>68</v>
      </c>
      <c r="BW30" s="23">
        <f t="shared" si="3"/>
        <v>69</v>
      </c>
      <c r="BX30" s="23">
        <f t="shared" si="3"/>
        <v>70</v>
      </c>
      <c r="BY30" s="23">
        <f t="shared" si="3"/>
        <v>71</v>
      </c>
      <c r="BZ30" s="23">
        <f t="shared" si="3"/>
        <v>72</v>
      </c>
      <c r="CA30" s="23">
        <f t="shared" si="3"/>
        <v>73</v>
      </c>
      <c r="CB30" s="23">
        <f t="shared" si="3"/>
        <v>74</v>
      </c>
      <c r="CC30" s="23">
        <f t="shared" si="3"/>
        <v>75</v>
      </c>
      <c r="CD30" s="24">
        <f t="shared" si="3"/>
        <v>76</v>
      </c>
      <c r="CE30" s="9">
        <v>77</v>
      </c>
    </row>
    <row r="31" spans="3:83">
      <c r="C31" s="11">
        <f t="shared" si="1"/>
        <v>1.3000000000000005</v>
      </c>
      <c r="D31" s="9">
        <f t="shared" si="0"/>
        <v>0.18475353549101223</v>
      </c>
      <c r="G31" s="22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4"/>
    </row>
    <row r="32" spans="3:83">
      <c r="C32" s="11">
        <f t="shared" si="1"/>
        <v>1.3500000000000005</v>
      </c>
      <c r="D32" s="9">
        <f t="shared" si="0"/>
        <v>0.19185944070220501</v>
      </c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20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20"/>
      <c r="BV32" s="20"/>
      <c r="BW32" s="19"/>
      <c r="BX32" s="19"/>
      <c r="BY32" s="19"/>
      <c r="BZ32" s="19"/>
      <c r="CA32" s="19"/>
      <c r="CB32" s="19"/>
      <c r="CC32" s="19"/>
      <c r="CD32" s="21"/>
    </row>
    <row r="33" spans="3:84">
      <c r="C33" s="11">
        <f t="shared" si="1"/>
        <v>1.4000000000000006</v>
      </c>
      <c r="D33" s="9">
        <f t="shared" ref="D33:D40" si="4">C33*$D$3</f>
        <v>0.19896534591339779</v>
      </c>
    </row>
    <row r="34" spans="3:84">
      <c r="C34" s="11">
        <f t="shared" si="1"/>
        <v>1.4500000000000006</v>
      </c>
      <c r="D34" s="9">
        <f t="shared" si="4"/>
        <v>0.20607125112459057</v>
      </c>
      <c r="G34" s="22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</row>
    <row r="35" spans="3:84">
      <c r="C35" s="11">
        <f t="shared" si="1"/>
        <v>1.5000000000000007</v>
      </c>
      <c r="D35" s="9">
        <f t="shared" si="4"/>
        <v>0.21317715633578335</v>
      </c>
      <c r="G35" s="22"/>
      <c r="H35" s="23"/>
      <c r="I35" s="23"/>
      <c r="J35" s="23"/>
      <c r="K35" s="23" t="s">
        <v>104</v>
      </c>
      <c r="L35" s="23"/>
      <c r="M35" s="23" t="s">
        <v>103</v>
      </c>
      <c r="N35" s="23"/>
      <c r="O35" s="23" t="s">
        <v>106</v>
      </c>
      <c r="P35" s="23"/>
      <c r="Q35" s="23"/>
      <c r="R35" s="23"/>
      <c r="S35" s="23" t="s">
        <v>105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 t="s">
        <v>107</v>
      </c>
      <c r="AY35" s="23" t="s">
        <v>102</v>
      </c>
      <c r="AZ35" s="23"/>
      <c r="BA35" s="23"/>
      <c r="BB35" s="23"/>
      <c r="BC35" s="23"/>
      <c r="BD35" s="23"/>
      <c r="BE35" s="23"/>
      <c r="BF35" s="23"/>
      <c r="BG35" s="23" t="s">
        <v>101</v>
      </c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 t="s">
        <v>108</v>
      </c>
      <c r="BV35" s="23"/>
      <c r="BW35" s="23"/>
      <c r="BX35" s="23"/>
      <c r="BY35" s="23"/>
      <c r="BZ35" s="23"/>
      <c r="CA35" s="23"/>
      <c r="CB35" s="23"/>
      <c r="CC35" s="23"/>
      <c r="CD35" s="24"/>
    </row>
    <row r="36" spans="3:84">
      <c r="C36" s="11">
        <f t="shared" si="1"/>
        <v>1.5500000000000007</v>
      </c>
      <c r="D36" s="9">
        <f t="shared" si="4"/>
        <v>0.22028306154697613</v>
      </c>
      <c r="G36" s="2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4"/>
      <c r="CF36" s="9">
        <f>CF33-CF34</f>
        <v>0</v>
      </c>
    </row>
    <row r="37" spans="3:84">
      <c r="C37" s="11">
        <f>C36+5%</f>
        <v>1.6000000000000008</v>
      </c>
      <c r="D37" s="9">
        <f t="shared" si="4"/>
        <v>0.22738896675816891</v>
      </c>
      <c r="G37" s="22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4"/>
    </row>
    <row r="38" spans="3:84">
      <c r="C38" s="11">
        <f t="shared" si="1"/>
        <v>1.6500000000000008</v>
      </c>
      <c r="D38" s="9">
        <f t="shared" si="4"/>
        <v>0.2344948719693617</v>
      </c>
      <c r="G38" s="2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4"/>
      <c r="CF38" s="9">
        <f>CF36+CD34</f>
        <v>0</v>
      </c>
    </row>
    <row r="39" spans="3:84">
      <c r="C39" s="11">
        <f t="shared" si="1"/>
        <v>1.7000000000000008</v>
      </c>
      <c r="D39" s="9">
        <f t="shared" si="4"/>
        <v>0.2416007771805545</v>
      </c>
      <c r="F39" s="9" t="e">
        <f>H42-F45</f>
        <v>#REF!</v>
      </c>
      <c r="G39" s="22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4"/>
    </row>
    <row r="40" spans="3:84">
      <c r="C40" s="11">
        <f t="shared" si="1"/>
        <v>1.7500000000000009</v>
      </c>
      <c r="D40" s="9">
        <f t="shared" si="4"/>
        <v>0.24870668239174729</v>
      </c>
      <c r="G40" s="22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4"/>
    </row>
    <row r="41" spans="3:84">
      <c r="G41" s="22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4"/>
    </row>
    <row r="42" spans="3:84">
      <c r="E42" s="9">
        <v>1</v>
      </c>
      <c r="F42" s="41" t="s">
        <v>112</v>
      </c>
      <c r="G42" s="22"/>
      <c r="H42" s="22" t="e">
        <f>'S-Curve'!#REF!</f>
        <v>#REF!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4"/>
    </row>
    <row r="43" spans="3:84">
      <c r="G43" s="22"/>
      <c r="H43" s="23" t="e">
        <f>H42/75</f>
        <v>#REF!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4"/>
      <c r="CF43" s="10">
        <f>SUM(G44:CE44)</f>
        <v>75</v>
      </c>
    </row>
    <row r="44" spans="3:84">
      <c r="G44" s="25">
        <v>0.02</v>
      </c>
      <c r="H44" s="25">
        <v>0.02</v>
      </c>
      <c r="I44" s="25">
        <v>0.02</v>
      </c>
      <c r="J44" s="25">
        <v>0.02</v>
      </c>
      <c r="K44" s="25">
        <v>0.05</v>
      </c>
      <c r="L44" s="25">
        <v>0.05</v>
      </c>
      <c r="M44" s="26">
        <v>0.05</v>
      </c>
      <c r="N44" s="26">
        <v>0.05</v>
      </c>
      <c r="O44" s="26">
        <v>0.25</v>
      </c>
      <c r="P44" s="26">
        <v>0.25</v>
      </c>
      <c r="Q44" s="26">
        <v>0.25</v>
      </c>
      <c r="R44" s="26">
        <v>0.25</v>
      </c>
      <c r="S44" s="26">
        <v>0.75</v>
      </c>
      <c r="T44" s="26">
        <v>0.75</v>
      </c>
      <c r="U44" s="26">
        <v>0.75</v>
      </c>
      <c r="V44" s="26">
        <v>0.75</v>
      </c>
      <c r="W44" s="26">
        <v>0.75</v>
      </c>
      <c r="X44" s="26">
        <v>1</v>
      </c>
      <c r="Y44" s="26">
        <v>1</v>
      </c>
      <c r="Z44" s="26">
        <v>1</v>
      </c>
      <c r="AA44" s="26">
        <v>1</v>
      </c>
      <c r="AB44" s="26">
        <v>1</v>
      </c>
      <c r="AC44" s="26">
        <v>1.6</v>
      </c>
      <c r="AD44" s="26">
        <v>1.6</v>
      </c>
      <c r="AE44" s="26">
        <v>1.6</v>
      </c>
      <c r="AF44" s="26">
        <v>1.6</v>
      </c>
      <c r="AG44" s="26">
        <v>1.6</v>
      </c>
      <c r="AH44" s="26">
        <v>1.6</v>
      </c>
      <c r="AI44" s="23"/>
      <c r="AJ44" s="23"/>
      <c r="AK44" s="26">
        <v>1</v>
      </c>
      <c r="AL44" s="26">
        <v>1</v>
      </c>
      <c r="AM44" s="26">
        <v>1</v>
      </c>
      <c r="AN44" s="26">
        <v>0.75</v>
      </c>
      <c r="AO44" s="26">
        <v>0.7</v>
      </c>
      <c r="AP44" s="26">
        <v>0.5</v>
      </c>
      <c r="AQ44" s="26">
        <v>0.5</v>
      </c>
      <c r="AR44" s="26">
        <v>0.5</v>
      </c>
      <c r="AS44" s="26">
        <v>0.5</v>
      </c>
      <c r="AT44" s="26">
        <v>0.5</v>
      </c>
      <c r="AU44" s="26">
        <v>0</v>
      </c>
      <c r="AV44" s="26">
        <v>2.5</v>
      </c>
      <c r="AW44" s="26">
        <v>2.4</v>
      </c>
      <c r="AX44" s="26">
        <v>2.4</v>
      </c>
      <c r="AY44" s="26">
        <v>2.4</v>
      </c>
      <c r="AZ44" s="26">
        <v>2.4</v>
      </c>
      <c r="BA44" s="26">
        <v>2.4</v>
      </c>
      <c r="BB44" s="26">
        <v>2.4</v>
      </c>
      <c r="BC44" s="26">
        <v>2.2999999999999998</v>
      </c>
      <c r="BD44" s="26">
        <v>2.2999999999999998</v>
      </c>
      <c r="BE44" s="26">
        <v>2.2999999999999998</v>
      </c>
      <c r="BF44" s="26">
        <v>1.65</v>
      </c>
      <c r="BG44" s="26">
        <v>1.6</v>
      </c>
      <c r="BH44" s="26">
        <v>1.6</v>
      </c>
      <c r="BI44" s="26">
        <v>1.45</v>
      </c>
      <c r="BJ44" s="26">
        <v>1.45</v>
      </c>
      <c r="BK44" s="26">
        <v>1.45</v>
      </c>
      <c r="BL44" s="26">
        <v>1.45</v>
      </c>
      <c r="BM44" s="26">
        <v>1.45</v>
      </c>
      <c r="BN44" s="26">
        <v>1.2</v>
      </c>
      <c r="BO44" s="26">
        <v>1</v>
      </c>
      <c r="BP44" s="26">
        <v>1</v>
      </c>
      <c r="BQ44" s="26">
        <v>1</v>
      </c>
      <c r="BR44" s="26">
        <v>1</v>
      </c>
      <c r="BS44" s="26">
        <v>1</v>
      </c>
      <c r="BT44" s="26">
        <v>1</v>
      </c>
      <c r="BU44" s="26">
        <v>1</v>
      </c>
      <c r="BV44" s="26">
        <v>1</v>
      </c>
      <c r="BW44" s="26">
        <v>0.75</v>
      </c>
      <c r="BX44" s="26">
        <v>0.5</v>
      </c>
      <c r="BY44" s="26">
        <v>0.5</v>
      </c>
      <c r="BZ44" s="26">
        <v>0.5</v>
      </c>
      <c r="CA44" s="26">
        <v>0.35</v>
      </c>
      <c r="CB44" s="26">
        <v>0.3</v>
      </c>
      <c r="CC44" s="26">
        <v>0.22</v>
      </c>
      <c r="CD44" s="40">
        <v>0.15</v>
      </c>
      <c r="CE44" s="10">
        <v>0.05</v>
      </c>
    </row>
    <row r="45" spans="3:84">
      <c r="F45" s="9" t="e">
        <f>SUM(G45:CE45)</f>
        <v>#REF!</v>
      </c>
      <c r="G45" s="22" t="e">
        <f>G44*$H$43</f>
        <v>#REF!</v>
      </c>
      <c r="H45" s="22" t="e">
        <f t="shared" ref="H45:BS45" si="5">H44*$H$43</f>
        <v>#REF!</v>
      </c>
      <c r="I45" s="22" t="e">
        <f t="shared" si="5"/>
        <v>#REF!</v>
      </c>
      <c r="J45" s="22" t="e">
        <f t="shared" si="5"/>
        <v>#REF!</v>
      </c>
      <c r="K45" s="22" t="e">
        <f t="shared" si="5"/>
        <v>#REF!</v>
      </c>
      <c r="L45" s="22" t="e">
        <f t="shared" si="5"/>
        <v>#REF!</v>
      </c>
      <c r="M45" s="22" t="e">
        <f t="shared" si="5"/>
        <v>#REF!</v>
      </c>
      <c r="N45" s="22" t="e">
        <f t="shared" si="5"/>
        <v>#REF!</v>
      </c>
      <c r="O45" s="22" t="e">
        <f t="shared" si="5"/>
        <v>#REF!</v>
      </c>
      <c r="P45" s="22" t="e">
        <f t="shared" si="5"/>
        <v>#REF!</v>
      </c>
      <c r="Q45" s="22" t="e">
        <f t="shared" si="5"/>
        <v>#REF!</v>
      </c>
      <c r="R45" s="22" t="e">
        <f t="shared" si="5"/>
        <v>#REF!</v>
      </c>
      <c r="S45" s="22" t="e">
        <f t="shared" si="5"/>
        <v>#REF!</v>
      </c>
      <c r="T45" s="22" t="e">
        <f t="shared" si="5"/>
        <v>#REF!</v>
      </c>
      <c r="U45" s="22" t="e">
        <f t="shared" si="5"/>
        <v>#REF!</v>
      </c>
      <c r="V45" s="22" t="e">
        <f t="shared" si="5"/>
        <v>#REF!</v>
      </c>
      <c r="W45" s="22" t="e">
        <f t="shared" si="5"/>
        <v>#REF!</v>
      </c>
      <c r="X45" s="22" t="e">
        <f t="shared" si="5"/>
        <v>#REF!</v>
      </c>
      <c r="Y45" s="22" t="e">
        <f t="shared" si="5"/>
        <v>#REF!</v>
      </c>
      <c r="Z45" s="22" t="e">
        <f t="shared" si="5"/>
        <v>#REF!</v>
      </c>
      <c r="AA45" s="22" t="e">
        <f t="shared" si="5"/>
        <v>#REF!</v>
      </c>
      <c r="AB45" s="22" t="e">
        <f t="shared" si="5"/>
        <v>#REF!</v>
      </c>
      <c r="AC45" s="22" t="e">
        <f t="shared" si="5"/>
        <v>#REF!</v>
      </c>
      <c r="AD45" s="22" t="e">
        <f t="shared" si="5"/>
        <v>#REF!</v>
      </c>
      <c r="AE45" s="22" t="e">
        <f t="shared" si="5"/>
        <v>#REF!</v>
      </c>
      <c r="AF45" s="22" t="e">
        <f t="shared" si="5"/>
        <v>#REF!</v>
      </c>
      <c r="AG45" s="22" t="e">
        <f t="shared" si="5"/>
        <v>#REF!</v>
      </c>
      <c r="AH45" s="22" t="e">
        <f t="shared" si="5"/>
        <v>#REF!</v>
      </c>
      <c r="AI45" s="22"/>
      <c r="AJ45" s="22"/>
      <c r="AK45" s="22" t="e">
        <f t="shared" si="5"/>
        <v>#REF!</v>
      </c>
      <c r="AL45" s="22" t="e">
        <f t="shared" si="5"/>
        <v>#REF!</v>
      </c>
      <c r="AM45" s="22" t="e">
        <f t="shared" si="5"/>
        <v>#REF!</v>
      </c>
      <c r="AN45" s="22" t="e">
        <f t="shared" si="5"/>
        <v>#REF!</v>
      </c>
      <c r="AO45" s="22" t="e">
        <f t="shared" si="5"/>
        <v>#REF!</v>
      </c>
      <c r="AP45" s="22" t="e">
        <f t="shared" si="5"/>
        <v>#REF!</v>
      </c>
      <c r="AQ45" s="22" t="e">
        <f t="shared" si="5"/>
        <v>#REF!</v>
      </c>
      <c r="AR45" s="22" t="e">
        <f t="shared" si="5"/>
        <v>#REF!</v>
      </c>
      <c r="AS45" s="22" t="e">
        <f t="shared" si="5"/>
        <v>#REF!</v>
      </c>
      <c r="AT45" s="22" t="e">
        <f t="shared" si="5"/>
        <v>#REF!</v>
      </c>
      <c r="AU45" s="22" t="e">
        <f t="shared" si="5"/>
        <v>#REF!</v>
      </c>
      <c r="AV45" s="22" t="e">
        <f t="shared" si="5"/>
        <v>#REF!</v>
      </c>
      <c r="AW45" s="22" t="e">
        <f t="shared" si="5"/>
        <v>#REF!</v>
      </c>
      <c r="AX45" s="22" t="e">
        <f t="shared" si="5"/>
        <v>#REF!</v>
      </c>
      <c r="AY45" s="22" t="e">
        <f t="shared" si="5"/>
        <v>#REF!</v>
      </c>
      <c r="AZ45" s="22" t="e">
        <f t="shared" si="5"/>
        <v>#REF!</v>
      </c>
      <c r="BA45" s="22" t="e">
        <f t="shared" si="5"/>
        <v>#REF!</v>
      </c>
      <c r="BB45" s="22" t="e">
        <f t="shared" si="5"/>
        <v>#REF!</v>
      </c>
      <c r="BC45" s="22" t="e">
        <f t="shared" si="5"/>
        <v>#REF!</v>
      </c>
      <c r="BD45" s="22" t="e">
        <f t="shared" si="5"/>
        <v>#REF!</v>
      </c>
      <c r="BE45" s="22" t="e">
        <f t="shared" si="5"/>
        <v>#REF!</v>
      </c>
      <c r="BF45" s="22" t="e">
        <f t="shared" si="5"/>
        <v>#REF!</v>
      </c>
      <c r="BG45" s="22" t="e">
        <f t="shared" si="5"/>
        <v>#REF!</v>
      </c>
      <c r="BH45" s="22" t="e">
        <f t="shared" si="5"/>
        <v>#REF!</v>
      </c>
      <c r="BI45" s="22" t="e">
        <f t="shared" si="5"/>
        <v>#REF!</v>
      </c>
      <c r="BJ45" s="22" t="e">
        <f t="shared" si="5"/>
        <v>#REF!</v>
      </c>
      <c r="BK45" s="22" t="e">
        <f t="shared" si="5"/>
        <v>#REF!</v>
      </c>
      <c r="BL45" s="22" t="e">
        <f t="shared" si="5"/>
        <v>#REF!</v>
      </c>
      <c r="BM45" s="22" t="e">
        <f t="shared" si="5"/>
        <v>#REF!</v>
      </c>
      <c r="BN45" s="22" t="e">
        <f t="shared" si="5"/>
        <v>#REF!</v>
      </c>
      <c r="BO45" s="22" t="e">
        <f t="shared" si="5"/>
        <v>#REF!</v>
      </c>
      <c r="BP45" s="22" t="e">
        <f t="shared" si="5"/>
        <v>#REF!</v>
      </c>
      <c r="BQ45" s="22" t="e">
        <f t="shared" si="5"/>
        <v>#REF!</v>
      </c>
      <c r="BR45" s="22" t="e">
        <f t="shared" si="5"/>
        <v>#REF!</v>
      </c>
      <c r="BS45" s="22" t="e">
        <f t="shared" si="5"/>
        <v>#REF!</v>
      </c>
      <c r="BT45" s="22" t="e">
        <f t="shared" ref="BT45:CE45" si="6">BT44*$H$43</f>
        <v>#REF!</v>
      </c>
      <c r="BU45" s="22" t="e">
        <f t="shared" si="6"/>
        <v>#REF!</v>
      </c>
      <c r="BV45" s="22" t="e">
        <f t="shared" si="6"/>
        <v>#REF!</v>
      </c>
      <c r="BW45" s="22" t="e">
        <f t="shared" si="6"/>
        <v>#REF!</v>
      </c>
      <c r="BX45" s="22" t="e">
        <f t="shared" si="6"/>
        <v>#REF!</v>
      </c>
      <c r="BY45" s="22" t="e">
        <f t="shared" si="6"/>
        <v>#REF!</v>
      </c>
      <c r="BZ45" s="22" t="e">
        <f t="shared" si="6"/>
        <v>#REF!</v>
      </c>
      <c r="CA45" s="22" t="e">
        <f t="shared" si="6"/>
        <v>#REF!</v>
      </c>
      <c r="CB45" s="22" t="e">
        <f t="shared" si="6"/>
        <v>#REF!</v>
      </c>
      <c r="CC45" s="22" t="e">
        <f t="shared" si="6"/>
        <v>#REF!</v>
      </c>
      <c r="CD45" s="22" t="e">
        <f t="shared" si="6"/>
        <v>#REF!</v>
      </c>
      <c r="CE45" s="22" t="e">
        <f t="shared" si="6"/>
        <v>#REF!</v>
      </c>
    </row>
    <row r="46" spans="3:84">
      <c r="G46" s="22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4"/>
    </row>
    <row r="47" spans="3:84">
      <c r="G47" s="22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4"/>
    </row>
    <row r="48" spans="3:84">
      <c r="G48" s="22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4"/>
    </row>
    <row r="49" spans="5:82">
      <c r="E49" s="9" t="s">
        <v>30</v>
      </c>
      <c r="F49" s="9" t="s">
        <v>113</v>
      </c>
      <c r="G49" s="22"/>
      <c r="H49" s="23">
        <f>'S-Curve'!H20</f>
        <v>4.2348245455755871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4"/>
    </row>
    <row r="50" spans="5:82">
      <c r="G50" s="22"/>
      <c r="H50" s="23">
        <f>H49/5</f>
        <v>0.84696490911511746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4"/>
    </row>
    <row r="51" spans="5:82">
      <c r="G51" s="25">
        <v>1.5</v>
      </c>
      <c r="H51" s="26">
        <v>1.75</v>
      </c>
      <c r="I51" s="26">
        <v>0.75</v>
      </c>
      <c r="J51" s="26">
        <v>0.5</v>
      </c>
      <c r="K51" s="26">
        <v>0.5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4"/>
    </row>
    <row r="52" spans="5:82">
      <c r="F52" s="9">
        <f>SUM(G52:K52)</f>
        <v>4.2348245455755871</v>
      </c>
      <c r="G52" s="22">
        <f>G51*$H$50</f>
        <v>1.2704473636726763</v>
      </c>
      <c r="H52" s="23">
        <f>H51*$H$50</f>
        <v>1.4821885909514556</v>
      </c>
      <c r="I52" s="23">
        <f>I51*$H$50</f>
        <v>0.63522368183633815</v>
      </c>
      <c r="J52" s="23">
        <f>J51*$H$50</f>
        <v>0.42348245455755873</v>
      </c>
      <c r="K52" s="23">
        <f>K51*$H$50</f>
        <v>0.42348245455755873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4"/>
    </row>
    <row r="53" spans="5:82">
      <c r="E53" s="9" t="s">
        <v>31</v>
      </c>
      <c r="F53" s="9" t="s">
        <v>114</v>
      </c>
      <c r="G53" s="25"/>
      <c r="H53" s="23">
        <f>'S-Curve'!H23</f>
        <v>1.2523778064516129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4"/>
    </row>
    <row r="54" spans="5:82">
      <c r="G54" s="25"/>
      <c r="H54" s="23">
        <f>H53/6</f>
        <v>0.20872963440860215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4"/>
    </row>
    <row r="55" spans="5:82">
      <c r="G55" s="25">
        <v>0.6</v>
      </c>
      <c r="H55" s="26">
        <v>0.6</v>
      </c>
      <c r="I55" s="26">
        <v>0.6</v>
      </c>
      <c r="J55" s="26">
        <v>1.2</v>
      </c>
      <c r="K55" s="39">
        <v>1.5</v>
      </c>
      <c r="L55" s="39">
        <v>1.5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4"/>
    </row>
    <row r="56" spans="5:82">
      <c r="F56" s="9">
        <f>SUM(G56:L56)</f>
        <v>1.2523778064516129</v>
      </c>
      <c r="G56" s="22">
        <f t="shared" ref="G56:L56" si="7">G55*$H$54</f>
        <v>0.12523778064516128</v>
      </c>
      <c r="H56" s="23">
        <f t="shared" si="7"/>
        <v>0.12523778064516128</v>
      </c>
      <c r="I56" s="23">
        <f t="shared" si="7"/>
        <v>0.12523778064516128</v>
      </c>
      <c r="J56" s="23">
        <f t="shared" si="7"/>
        <v>0.25047556129032256</v>
      </c>
      <c r="K56" s="23">
        <f t="shared" si="7"/>
        <v>0.31309445161290322</v>
      </c>
      <c r="L56" s="23">
        <f t="shared" si="7"/>
        <v>0.31309445161290322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4"/>
    </row>
    <row r="57" spans="5:82">
      <c r="E57" s="9" t="s">
        <v>32</v>
      </c>
      <c r="F57" s="9" t="s">
        <v>33</v>
      </c>
      <c r="G57" s="22"/>
      <c r="H57" s="23">
        <f>'S-Curve'!H27</f>
        <v>3.0151925378064477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4"/>
    </row>
    <row r="58" spans="5:82">
      <c r="G58" s="22"/>
      <c r="H58" s="12">
        <f>H57/4</f>
        <v>0.75379813445161192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4"/>
    </row>
    <row r="59" spans="5:82">
      <c r="G59" s="25">
        <v>0.5</v>
      </c>
      <c r="H59" s="26">
        <v>0.2</v>
      </c>
      <c r="I59" s="26">
        <v>1.5</v>
      </c>
      <c r="J59" s="39">
        <v>1.8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4"/>
    </row>
    <row r="60" spans="5:82">
      <c r="F60" s="9">
        <f>SUM(G60:J60)</f>
        <v>3.0151925378064477</v>
      </c>
      <c r="G60" s="12">
        <f>G59*$H$58</f>
        <v>0.37689906722580596</v>
      </c>
      <c r="H60" s="12">
        <f>H59*$H$58</f>
        <v>0.15075962689032241</v>
      </c>
      <c r="I60" s="12">
        <f>I59*$H$58</f>
        <v>1.1306972016774179</v>
      </c>
      <c r="J60" s="12">
        <f>J59*$H$58</f>
        <v>1.3568366420129014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4"/>
    </row>
    <row r="61" spans="5:82">
      <c r="E61" s="5" t="s">
        <v>34</v>
      </c>
      <c r="F61" s="15" t="s">
        <v>35</v>
      </c>
      <c r="G61" s="22"/>
      <c r="H61" s="23">
        <f>'S-Curve'!H29</f>
        <v>1.3130011483870965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4"/>
    </row>
    <row r="62" spans="5:82">
      <c r="G62" s="22"/>
      <c r="H62" s="23">
        <f>H61/10</f>
        <v>0.13130011483870965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4"/>
    </row>
    <row r="63" spans="5:82">
      <c r="G63" s="27">
        <v>0.25</v>
      </c>
      <c r="H63" s="28">
        <v>0.5</v>
      </c>
      <c r="I63" s="28">
        <v>1.05</v>
      </c>
      <c r="J63" s="28">
        <v>1</v>
      </c>
      <c r="K63" s="28">
        <v>1.1000000000000001</v>
      </c>
      <c r="L63" s="28">
        <v>1.2</v>
      </c>
      <c r="M63" s="28">
        <v>1.3</v>
      </c>
      <c r="N63" s="28">
        <v>1.3</v>
      </c>
      <c r="O63" s="28">
        <v>1.3</v>
      </c>
      <c r="P63" s="28">
        <v>1</v>
      </c>
      <c r="Q63" s="28"/>
      <c r="R63" s="28"/>
      <c r="S63" s="28"/>
      <c r="T63" s="28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4"/>
    </row>
    <row r="64" spans="5:82">
      <c r="F64" s="9">
        <f>SUM(G64:R64)</f>
        <v>1.3130011483870965</v>
      </c>
      <c r="G64" s="22">
        <f>G63*$H$62</f>
        <v>3.2825028709677413E-2</v>
      </c>
      <c r="H64" s="23">
        <f t="shared" ref="H64:P64" si="8">H63*$H$62</f>
        <v>6.5650057419354826E-2</v>
      </c>
      <c r="I64" s="23">
        <f t="shared" si="8"/>
        <v>0.13786512058064515</v>
      </c>
      <c r="J64" s="23">
        <f t="shared" si="8"/>
        <v>0.13130011483870965</v>
      </c>
      <c r="K64" s="23">
        <f t="shared" si="8"/>
        <v>0.14443012632258062</v>
      </c>
      <c r="L64" s="23">
        <f t="shared" si="8"/>
        <v>0.15756013780645159</v>
      </c>
      <c r="M64" s="23">
        <f t="shared" si="8"/>
        <v>0.17069014929032256</v>
      </c>
      <c r="N64" s="23">
        <f t="shared" si="8"/>
        <v>0.17069014929032256</v>
      </c>
      <c r="O64" s="23">
        <f t="shared" si="8"/>
        <v>0.17069014929032256</v>
      </c>
      <c r="P64" s="23">
        <f t="shared" si="8"/>
        <v>0.13130011483870965</v>
      </c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4"/>
    </row>
    <row r="65" spans="5:82">
      <c r="E65" s="9" t="s">
        <v>36</v>
      </c>
      <c r="F65" s="9" t="s">
        <v>12</v>
      </c>
      <c r="G65" s="22"/>
      <c r="H65" s="23">
        <f>'S-Curve'!H31</f>
        <v>0.94040838064516119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4"/>
    </row>
    <row r="66" spans="5:82">
      <c r="G66" s="22"/>
      <c r="H66" s="23">
        <f>H65/5</f>
        <v>0.18808167612903223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4"/>
    </row>
    <row r="67" spans="5:82">
      <c r="G67" s="27">
        <v>0.7</v>
      </c>
      <c r="H67" s="28">
        <v>1.3</v>
      </c>
      <c r="I67" s="26">
        <v>0.7</v>
      </c>
      <c r="J67" s="26">
        <v>1.3</v>
      </c>
      <c r="K67" s="39">
        <v>1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4"/>
    </row>
    <row r="68" spans="5:82">
      <c r="F68" s="9">
        <f>SUM(G68:R68)</f>
        <v>0.94040838064516108</v>
      </c>
      <c r="G68" s="22">
        <f>G67*$H$66</f>
        <v>0.13165717329032256</v>
      </c>
      <c r="H68" s="23">
        <f>H67*$H$66</f>
        <v>0.24450617896774191</v>
      </c>
      <c r="I68" s="23">
        <f>I67*$H$66</f>
        <v>0.13165717329032256</v>
      </c>
      <c r="J68" s="23">
        <f>J67*$H$66</f>
        <v>0.24450617896774191</v>
      </c>
      <c r="K68" s="23">
        <f>K67*$H$66</f>
        <v>0.18808167612903223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4"/>
    </row>
    <row r="69" spans="5:82">
      <c r="E69" s="5" t="s">
        <v>37</v>
      </c>
      <c r="F69" s="15" t="s">
        <v>38</v>
      </c>
      <c r="G69" s="22"/>
      <c r="H69" s="23">
        <f>'S-Curve'!H33</f>
        <v>9.2999999999999999E-2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4"/>
    </row>
    <row r="70" spans="5:82">
      <c r="G70" s="22"/>
      <c r="H70" s="23">
        <f>H69/20</f>
        <v>4.6499999999999996E-3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4"/>
    </row>
    <row r="71" spans="5:82">
      <c r="G71" s="28">
        <v>0.8</v>
      </c>
      <c r="H71" s="28">
        <v>1.2</v>
      </c>
      <c r="I71" s="28">
        <v>0.8</v>
      </c>
      <c r="J71" s="28">
        <v>1.2</v>
      </c>
      <c r="K71" s="28">
        <v>0.8</v>
      </c>
      <c r="L71" s="28">
        <v>1.2</v>
      </c>
      <c r="M71" s="28">
        <v>0.8</v>
      </c>
      <c r="N71" s="28">
        <v>1.2</v>
      </c>
      <c r="O71" s="28">
        <v>0.8</v>
      </c>
      <c r="P71" s="28">
        <v>1.2</v>
      </c>
      <c r="S71" s="28">
        <v>0.8</v>
      </c>
      <c r="T71" s="28">
        <v>1.2</v>
      </c>
      <c r="U71" s="28">
        <v>0.8</v>
      </c>
      <c r="V71" s="28">
        <v>1.2</v>
      </c>
      <c r="W71" s="28">
        <v>0.8</v>
      </c>
      <c r="X71" s="28">
        <v>1.2</v>
      </c>
      <c r="Y71" s="28">
        <v>0.8</v>
      </c>
      <c r="Z71" s="28">
        <v>1.2</v>
      </c>
      <c r="AA71" s="28">
        <v>0.8</v>
      </c>
      <c r="AB71" s="28">
        <v>1.2</v>
      </c>
      <c r="AC71" s="28"/>
      <c r="AD71" s="28"/>
      <c r="AE71" s="28"/>
      <c r="AF71" s="28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4"/>
    </row>
    <row r="72" spans="5:82">
      <c r="F72" s="9">
        <f>SUM(G72:AD72)</f>
        <v>9.3000000000000013E-2</v>
      </c>
      <c r="G72" s="23">
        <f t="shared" ref="G72:P72" si="9">G71*$H$70</f>
        <v>3.7199999999999998E-3</v>
      </c>
      <c r="H72" s="23">
        <f t="shared" si="9"/>
        <v>5.579999999999999E-3</v>
      </c>
      <c r="I72" s="23">
        <f t="shared" si="9"/>
        <v>3.7199999999999998E-3</v>
      </c>
      <c r="J72" s="23">
        <f t="shared" si="9"/>
        <v>5.579999999999999E-3</v>
      </c>
      <c r="K72" s="23">
        <f t="shared" si="9"/>
        <v>3.7199999999999998E-3</v>
      </c>
      <c r="L72" s="23">
        <f t="shared" si="9"/>
        <v>5.579999999999999E-3</v>
      </c>
      <c r="M72" s="23">
        <f t="shared" si="9"/>
        <v>3.7199999999999998E-3</v>
      </c>
      <c r="N72" s="23">
        <f t="shared" si="9"/>
        <v>5.579999999999999E-3</v>
      </c>
      <c r="O72" s="23">
        <f t="shared" si="9"/>
        <v>3.7199999999999998E-3</v>
      </c>
      <c r="P72" s="23">
        <f t="shared" si="9"/>
        <v>5.579999999999999E-3</v>
      </c>
      <c r="S72" s="23">
        <f>S71*$H$70</f>
        <v>3.7199999999999998E-3</v>
      </c>
      <c r="T72" s="23">
        <f>T71*$H$70</f>
        <v>5.579999999999999E-3</v>
      </c>
      <c r="U72" s="23">
        <f t="shared" ref="U72:AA72" si="10">U71*$H$70</f>
        <v>3.7199999999999998E-3</v>
      </c>
      <c r="V72" s="23">
        <f t="shared" si="10"/>
        <v>5.579999999999999E-3</v>
      </c>
      <c r="W72" s="23">
        <f t="shared" si="10"/>
        <v>3.7199999999999998E-3</v>
      </c>
      <c r="X72" s="23">
        <f t="shared" si="10"/>
        <v>5.579999999999999E-3</v>
      </c>
      <c r="Y72" s="23">
        <f t="shared" si="10"/>
        <v>3.7199999999999998E-3</v>
      </c>
      <c r="Z72" s="23">
        <f t="shared" si="10"/>
        <v>5.579999999999999E-3</v>
      </c>
      <c r="AA72" s="23">
        <f t="shared" si="10"/>
        <v>3.7199999999999998E-3</v>
      </c>
      <c r="AB72" s="23">
        <f t="shared" ref="AB72" si="11">AB71*$H$70</f>
        <v>5.579999999999999E-3</v>
      </c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4"/>
    </row>
    <row r="73" spans="5:82">
      <c r="E73" s="5" t="s">
        <v>39</v>
      </c>
      <c r="F73" s="15" t="s">
        <v>40</v>
      </c>
      <c r="G73" s="22"/>
      <c r="H73" s="23">
        <f>'S-Curve'!H35</f>
        <v>0.17184283096774192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4"/>
    </row>
    <row r="74" spans="5:82">
      <c r="G74" s="22"/>
      <c r="H74" s="23">
        <f>H73/2</f>
        <v>8.5921415483870958E-2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4"/>
    </row>
    <row r="75" spans="5:82">
      <c r="G75" s="27">
        <v>0.5</v>
      </c>
      <c r="H75" s="28">
        <v>1.5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3"/>
      <c r="V75" s="23"/>
      <c r="W75" s="28"/>
      <c r="X75" s="28"/>
      <c r="Y75" s="28"/>
      <c r="Z75" s="28"/>
      <c r="AA75" s="28"/>
      <c r="AB75" s="28"/>
      <c r="AC75" s="28"/>
      <c r="AD75" s="28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4"/>
    </row>
    <row r="76" spans="5:82">
      <c r="F76" s="9">
        <f>SUM(G76:AD76)</f>
        <v>0.17184283096774192</v>
      </c>
      <c r="G76" s="22">
        <f>G75*$H$74</f>
        <v>4.2960707741935479E-2</v>
      </c>
      <c r="H76" s="23">
        <f>H75*$H$74</f>
        <v>0.12888212322580644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4"/>
    </row>
    <row r="77" spans="5:82">
      <c r="E77" s="5" t="s">
        <v>41</v>
      </c>
      <c r="F77" s="16" t="s">
        <v>42</v>
      </c>
      <c r="G77" s="22"/>
      <c r="H77" s="23">
        <f>'S-Curve'!H37</f>
        <v>5.4296774193548378E-2</v>
      </c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4"/>
    </row>
    <row r="78" spans="5:82">
      <c r="G78" s="22"/>
      <c r="H78" s="23">
        <f>H77/17</f>
        <v>3.19392789373814E-3</v>
      </c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4"/>
    </row>
    <row r="79" spans="5:82">
      <c r="G79" s="27">
        <v>0.8</v>
      </c>
      <c r="H79" s="28">
        <v>1.2</v>
      </c>
      <c r="I79" s="28">
        <v>0.8</v>
      </c>
      <c r="J79" s="28">
        <v>1.2</v>
      </c>
      <c r="K79" s="28">
        <v>0.8</v>
      </c>
      <c r="L79" s="28">
        <v>1.2</v>
      </c>
      <c r="M79" s="28">
        <v>0.8</v>
      </c>
      <c r="N79" s="28">
        <v>1.2</v>
      </c>
      <c r="O79" s="28">
        <v>0.8</v>
      </c>
      <c r="P79" s="28">
        <v>1.2</v>
      </c>
      <c r="Q79" s="28">
        <v>0.8</v>
      </c>
      <c r="R79" s="28">
        <v>1.2</v>
      </c>
      <c r="S79" s="28">
        <v>0.8</v>
      </c>
      <c r="T79" s="28">
        <v>1.2</v>
      </c>
      <c r="U79" s="28">
        <v>0.8</v>
      </c>
      <c r="V79" s="28">
        <v>1.2</v>
      </c>
      <c r="W79" s="28">
        <v>1</v>
      </c>
      <c r="X79" s="28"/>
      <c r="Y79" s="28"/>
      <c r="Z79" s="28"/>
      <c r="AA79" s="23"/>
      <c r="AB79" s="23"/>
      <c r="AC79" s="28"/>
      <c r="AD79" s="28"/>
      <c r="AE79" s="28"/>
      <c r="AF79" s="28"/>
      <c r="AG79" s="28"/>
      <c r="AH79" s="28"/>
      <c r="AI79" s="28"/>
      <c r="AJ79" s="28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4"/>
    </row>
    <row r="80" spans="5:82">
      <c r="F80" s="9">
        <f>SUM(G80:AD80)</f>
        <v>5.4296774193548371E-2</v>
      </c>
      <c r="G80" s="22">
        <f>G79*$H$78</f>
        <v>2.5551423149905122E-3</v>
      </c>
      <c r="H80" s="23">
        <f t="shared" ref="H80:W80" si="12">H79*$H$78</f>
        <v>3.8327134724857677E-3</v>
      </c>
      <c r="I80" s="23">
        <f t="shared" si="12"/>
        <v>2.5551423149905122E-3</v>
      </c>
      <c r="J80" s="23">
        <f t="shared" si="12"/>
        <v>3.8327134724857677E-3</v>
      </c>
      <c r="K80" s="23">
        <f t="shared" si="12"/>
        <v>2.5551423149905122E-3</v>
      </c>
      <c r="L80" s="23">
        <f t="shared" si="12"/>
        <v>3.8327134724857677E-3</v>
      </c>
      <c r="M80" s="23">
        <f t="shared" si="12"/>
        <v>2.5551423149905122E-3</v>
      </c>
      <c r="N80" s="23">
        <f t="shared" si="12"/>
        <v>3.8327134724857677E-3</v>
      </c>
      <c r="O80" s="23">
        <f t="shared" si="12"/>
        <v>2.5551423149905122E-3</v>
      </c>
      <c r="P80" s="23">
        <f t="shared" si="12"/>
        <v>3.8327134724857677E-3</v>
      </c>
      <c r="Q80" s="23">
        <f t="shared" si="12"/>
        <v>2.5551423149905122E-3</v>
      </c>
      <c r="R80" s="23">
        <f t="shared" si="12"/>
        <v>3.8327134724857677E-3</v>
      </c>
      <c r="S80" s="23">
        <f t="shared" si="12"/>
        <v>2.5551423149905122E-3</v>
      </c>
      <c r="T80" s="23">
        <f t="shared" si="12"/>
        <v>3.8327134724857677E-3</v>
      </c>
      <c r="U80" s="23">
        <f t="shared" si="12"/>
        <v>2.5551423149905122E-3</v>
      </c>
      <c r="V80" s="23">
        <f t="shared" si="12"/>
        <v>3.8327134724857677E-3</v>
      </c>
      <c r="W80" s="23">
        <f t="shared" si="12"/>
        <v>3.19392789373814E-3</v>
      </c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4"/>
    </row>
    <row r="81" spans="5:82">
      <c r="E81" s="5" t="s">
        <v>43</v>
      </c>
      <c r="F81" s="15" t="s">
        <v>44</v>
      </c>
      <c r="G81" s="22"/>
      <c r="H81" s="23">
        <f>'S-Curve'!H40</f>
        <v>1.4102625225806451</v>
      </c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4"/>
    </row>
    <row r="82" spans="5:82">
      <c r="G82" s="22"/>
      <c r="H82" s="23">
        <f>H81/32</f>
        <v>4.407070383064516E-2</v>
      </c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4"/>
    </row>
    <row r="83" spans="5:82">
      <c r="G83" s="27">
        <v>0.8</v>
      </c>
      <c r="H83" s="28">
        <v>1.2</v>
      </c>
      <c r="I83" s="28">
        <v>0.8</v>
      </c>
      <c r="J83" s="28">
        <v>1.2</v>
      </c>
      <c r="K83" s="28">
        <v>0.8</v>
      </c>
      <c r="L83" s="28">
        <v>1.2</v>
      </c>
      <c r="M83" s="28">
        <v>0.8</v>
      </c>
      <c r="N83" s="28">
        <v>1.2</v>
      </c>
      <c r="O83" s="28">
        <v>0.8</v>
      </c>
      <c r="P83" s="28">
        <v>1.2</v>
      </c>
      <c r="Q83" s="28">
        <v>0.8</v>
      </c>
      <c r="R83" s="28">
        <v>1.2</v>
      </c>
      <c r="S83" s="28">
        <v>0.8</v>
      </c>
      <c r="T83" s="28">
        <v>1.2</v>
      </c>
      <c r="U83" s="28">
        <v>0.8</v>
      </c>
      <c r="V83" s="28">
        <v>1.2</v>
      </c>
      <c r="W83" s="28">
        <v>0.8</v>
      </c>
      <c r="Z83" s="28">
        <v>1.2</v>
      </c>
      <c r="AA83" s="28">
        <v>0.8</v>
      </c>
      <c r="AB83" s="28">
        <v>1.2</v>
      </c>
      <c r="AC83" s="28">
        <v>0.8</v>
      </c>
      <c r="AD83" s="28">
        <v>1.2</v>
      </c>
      <c r="AE83" s="28">
        <v>0.8</v>
      </c>
      <c r="AF83" s="28">
        <v>1.2</v>
      </c>
      <c r="AG83" s="28">
        <v>0.8</v>
      </c>
      <c r="AH83" s="28">
        <v>1.2</v>
      </c>
      <c r="AI83" s="28">
        <v>0.8</v>
      </c>
      <c r="AJ83" s="28">
        <v>0</v>
      </c>
      <c r="AK83" s="28">
        <v>2</v>
      </c>
      <c r="AL83" s="28">
        <v>1.2</v>
      </c>
      <c r="AM83" s="28">
        <v>0.8</v>
      </c>
      <c r="AN83" s="26">
        <v>1.2</v>
      </c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4"/>
    </row>
    <row r="84" spans="5:82">
      <c r="F84" s="9">
        <f>SUM(G84:AN84)</f>
        <v>1.4102625225806451</v>
      </c>
      <c r="G84" s="22">
        <f>G83*$H$82</f>
        <v>3.5256563064516126E-2</v>
      </c>
      <c r="H84" s="22">
        <f t="shared" ref="H84:AN84" si="13">H83*$H$82</f>
        <v>5.2884844596774193E-2</v>
      </c>
      <c r="I84" s="22">
        <f t="shared" si="13"/>
        <v>3.5256563064516126E-2</v>
      </c>
      <c r="J84" s="22">
        <f t="shared" si="13"/>
        <v>5.2884844596774193E-2</v>
      </c>
      <c r="K84" s="22">
        <f t="shared" si="13"/>
        <v>3.5256563064516126E-2</v>
      </c>
      <c r="L84" s="22">
        <f t="shared" si="13"/>
        <v>5.2884844596774193E-2</v>
      </c>
      <c r="M84" s="22">
        <f t="shared" si="13"/>
        <v>3.5256563064516126E-2</v>
      </c>
      <c r="N84" s="22">
        <f t="shared" si="13"/>
        <v>5.2884844596774193E-2</v>
      </c>
      <c r="O84" s="22">
        <f t="shared" si="13"/>
        <v>3.5256563064516126E-2</v>
      </c>
      <c r="P84" s="22">
        <f t="shared" si="13"/>
        <v>5.2884844596774193E-2</v>
      </c>
      <c r="Q84" s="22">
        <f t="shared" si="13"/>
        <v>3.5256563064516126E-2</v>
      </c>
      <c r="R84" s="22">
        <f t="shared" si="13"/>
        <v>5.2884844596774193E-2</v>
      </c>
      <c r="S84" s="22">
        <f t="shared" si="13"/>
        <v>3.5256563064516126E-2</v>
      </c>
      <c r="T84" s="22">
        <f t="shared" si="13"/>
        <v>5.2884844596774193E-2</v>
      </c>
      <c r="U84" s="22">
        <f t="shared" si="13"/>
        <v>3.5256563064516126E-2</v>
      </c>
      <c r="V84" s="22">
        <f t="shared" si="13"/>
        <v>5.2884844596774193E-2</v>
      </c>
      <c r="W84" s="22">
        <f t="shared" si="13"/>
        <v>3.5256563064516126E-2</v>
      </c>
      <c r="X84" s="22"/>
      <c r="Y84" s="22"/>
      <c r="Z84" s="22">
        <f t="shared" si="13"/>
        <v>5.2884844596774193E-2</v>
      </c>
      <c r="AA84" s="22">
        <f t="shared" si="13"/>
        <v>3.5256563064516126E-2</v>
      </c>
      <c r="AB84" s="22">
        <f t="shared" si="13"/>
        <v>5.2884844596774193E-2</v>
      </c>
      <c r="AC84" s="22">
        <f t="shared" si="13"/>
        <v>3.5256563064516126E-2</v>
      </c>
      <c r="AD84" s="22">
        <f t="shared" si="13"/>
        <v>5.2884844596774193E-2</v>
      </c>
      <c r="AE84" s="22">
        <f t="shared" si="13"/>
        <v>3.5256563064516126E-2</v>
      </c>
      <c r="AF84" s="22">
        <f t="shared" si="13"/>
        <v>5.2884844596774193E-2</v>
      </c>
      <c r="AG84" s="22">
        <f t="shared" si="13"/>
        <v>3.5256563064516126E-2</v>
      </c>
      <c r="AH84" s="22">
        <f t="shared" si="13"/>
        <v>5.2884844596774193E-2</v>
      </c>
      <c r="AI84" s="22">
        <f t="shared" si="13"/>
        <v>3.5256563064516126E-2</v>
      </c>
      <c r="AJ84" s="22">
        <f t="shared" si="13"/>
        <v>0</v>
      </c>
      <c r="AK84" s="22">
        <f t="shared" si="13"/>
        <v>8.8141407661290319E-2</v>
      </c>
      <c r="AL84" s="22">
        <f t="shared" si="13"/>
        <v>5.2884844596774193E-2</v>
      </c>
      <c r="AM84" s="22">
        <f t="shared" si="13"/>
        <v>3.5256563064516126E-2</v>
      </c>
      <c r="AN84" s="22">
        <f t="shared" si="13"/>
        <v>5.2884844596774193E-2</v>
      </c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4"/>
    </row>
    <row r="85" spans="5:82">
      <c r="E85" s="5" t="s">
        <v>45</v>
      </c>
      <c r="F85" s="15" t="s">
        <v>46</v>
      </c>
      <c r="G85" s="22"/>
      <c r="H85" s="23">
        <f>'S-Curve'!H42</f>
        <v>0.51574645161290322</v>
      </c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4"/>
    </row>
    <row r="86" spans="5:82">
      <c r="G86" s="22"/>
      <c r="H86" s="23">
        <f>H85/22</f>
        <v>2.3443020527859237E-2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4"/>
    </row>
    <row r="87" spans="5:82">
      <c r="G87" s="27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W87" s="28">
        <v>0.8</v>
      </c>
      <c r="X87" s="28">
        <v>1.2</v>
      </c>
      <c r="Y87" s="28">
        <v>0.8</v>
      </c>
      <c r="Z87" s="28">
        <v>1.2</v>
      </c>
      <c r="AA87" s="28">
        <v>0.8</v>
      </c>
      <c r="AB87" s="28">
        <v>1.2</v>
      </c>
      <c r="AC87" s="28">
        <v>0.8</v>
      </c>
      <c r="AD87" s="28">
        <v>1.2</v>
      </c>
      <c r="AE87" s="28">
        <v>0.8</v>
      </c>
      <c r="AF87" s="28">
        <v>1.2</v>
      </c>
      <c r="AG87" s="28">
        <v>0.8</v>
      </c>
      <c r="AH87" s="28">
        <v>1.2</v>
      </c>
      <c r="AI87" s="28">
        <v>0.8</v>
      </c>
      <c r="AJ87" s="28">
        <v>1.2</v>
      </c>
      <c r="AK87" s="28">
        <v>0.8</v>
      </c>
      <c r="AL87" s="28">
        <v>1.2</v>
      </c>
      <c r="AM87" s="28">
        <v>1</v>
      </c>
      <c r="AN87" s="43">
        <v>1</v>
      </c>
      <c r="AO87" s="43">
        <v>1</v>
      </c>
      <c r="AP87" s="43">
        <v>1</v>
      </c>
      <c r="AQ87" s="43">
        <v>1</v>
      </c>
      <c r="AR87" s="43">
        <v>1</v>
      </c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4"/>
    </row>
    <row r="88" spans="5:82">
      <c r="F88" s="9">
        <f>SUM(G88:AM88)</f>
        <v>0.39853134897360704</v>
      </c>
      <c r="G88" s="22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W88" s="23">
        <f>W87*$H$86</f>
        <v>1.8754416422287392E-2</v>
      </c>
      <c r="X88" s="23">
        <f>X87*$H$86</f>
        <v>2.8131624633431083E-2</v>
      </c>
      <c r="Y88" s="23">
        <f>Y87*$H$86</f>
        <v>1.8754416422287392E-2</v>
      </c>
      <c r="Z88" s="23">
        <f>Z87*$H$86</f>
        <v>2.8131624633431083E-2</v>
      </c>
      <c r="AA88" s="23">
        <f>AA87*$H$86</f>
        <v>1.8754416422287392E-2</v>
      </c>
      <c r="AB88" s="23">
        <f t="shared" ref="AB88:AR88" si="14">AB87*$H$86</f>
        <v>2.8131624633431083E-2</v>
      </c>
      <c r="AC88" s="23">
        <f t="shared" si="14"/>
        <v>1.8754416422287392E-2</v>
      </c>
      <c r="AD88" s="23">
        <f t="shared" si="14"/>
        <v>2.8131624633431083E-2</v>
      </c>
      <c r="AE88" s="23">
        <f t="shared" si="14"/>
        <v>1.8754416422287392E-2</v>
      </c>
      <c r="AF88" s="23">
        <f t="shared" si="14"/>
        <v>2.8131624633431083E-2</v>
      </c>
      <c r="AG88" s="23">
        <f t="shared" si="14"/>
        <v>1.8754416422287392E-2</v>
      </c>
      <c r="AH88" s="23">
        <f t="shared" si="14"/>
        <v>2.8131624633431083E-2</v>
      </c>
      <c r="AI88" s="23">
        <f t="shared" si="14"/>
        <v>1.8754416422287392E-2</v>
      </c>
      <c r="AJ88" s="23">
        <f t="shared" si="14"/>
        <v>2.8131624633431083E-2</v>
      </c>
      <c r="AK88" s="23">
        <f t="shared" si="14"/>
        <v>1.8754416422287392E-2</v>
      </c>
      <c r="AL88" s="23">
        <f t="shared" si="14"/>
        <v>2.8131624633431083E-2</v>
      </c>
      <c r="AM88" s="23">
        <f t="shared" si="14"/>
        <v>2.3443020527859237E-2</v>
      </c>
      <c r="AN88" s="23">
        <f t="shared" si="14"/>
        <v>2.3443020527859237E-2</v>
      </c>
      <c r="AO88" s="23">
        <f t="shared" si="14"/>
        <v>2.3443020527859237E-2</v>
      </c>
      <c r="AP88" s="23">
        <f t="shared" si="14"/>
        <v>2.3443020527859237E-2</v>
      </c>
      <c r="AQ88" s="23">
        <f t="shared" si="14"/>
        <v>2.3443020527859237E-2</v>
      </c>
      <c r="AR88" s="23">
        <f t="shared" si="14"/>
        <v>2.3443020527859237E-2</v>
      </c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4"/>
    </row>
    <row r="89" spans="5:82">
      <c r="E89" s="5" t="s">
        <v>48</v>
      </c>
      <c r="F89" s="15" t="s">
        <v>35</v>
      </c>
      <c r="G89" s="22"/>
      <c r="H89" s="23">
        <f>'S-Curve'!H50</f>
        <v>0.81005832038709658</v>
      </c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4"/>
    </row>
    <row r="90" spans="5:82">
      <c r="G90" s="22"/>
      <c r="H90" s="23">
        <f>H89/6</f>
        <v>0.13500972006451609</v>
      </c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4"/>
    </row>
    <row r="91" spans="5:82">
      <c r="G91" s="27">
        <v>0.6</v>
      </c>
      <c r="H91" s="28">
        <v>0.9</v>
      </c>
      <c r="I91" s="28">
        <v>0.9</v>
      </c>
      <c r="J91" s="28">
        <v>0.9</v>
      </c>
      <c r="K91" s="28">
        <v>1</v>
      </c>
      <c r="L91" s="28">
        <v>1.7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3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4"/>
    </row>
    <row r="92" spans="5:82">
      <c r="F92" s="9">
        <f>SUM(G92:AM92)</f>
        <v>0.81005832038709658</v>
      </c>
      <c r="G92" s="22">
        <f t="shared" ref="G92:L92" si="15">G91*$H$90</f>
        <v>8.1005832038709646E-2</v>
      </c>
      <c r="H92" s="23">
        <f t="shared" si="15"/>
        <v>0.12150874805806448</v>
      </c>
      <c r="I92" s="23">
        <f t="shared" si="15"/>
        <v>0.12150874805806448</v>
      </c>
      <c r="J92" s="23">
        <f t="shared" si="15"/>
        <v>0.12150874805806448</v>
      </c>
      <c r="K92" s="23">
        <f t="shared" si="15"/>
        <v>0.13500972006451609</v>
      </c>
      <c r="L92" s="23">
        <f t="shared" si="15"/>
        <v>0.22951652410967735</v>
      </c>
      <c r="M92" s="23"/>
      <c r="N92" s="23"/>
      <c r="O92" s="23"/>
      <c r="P92" s="23"/>
      <c r="Q92" s="23"/>
      <c r="R92" s="23"/>
      <c r="S92" s="23"/>
      <c r="T92" s="23"/>
      <c r="U92" s="23"/>
      <c r="V92" s="23">
        <f t="shared" ref="V92:AM92" si="16">V91*$H$86</f>
        <v>0</v>
      </c>
      <c r="W92" s="23">
        <f t="shared" si="16"/>
        <v>0</v>
      </c>
      <c r="X92" s="23">
        <f t="shared" si="16"/>
        <v>0</v>
      </c>
      <c r="Y92" s="23">
        <f t="shared" si="16"/>
        <v>0</v>
      </c>
      <c r="Z92" s="23">
        <f t="shared" si="16"/>
        <v>0</v>
      </c>
      <c r="AA92" s="23">
        <f t="shared" si="16"/>
        <v>0</v>
      </c>
      <c r="AB92" s="23">
        <f t="shared" si="16"/>
        <v>0</v>
      </c>
      <c r="AC92" s="23">
        <f t="shared" si="16"/>
        <v>0</v>
      </c>
      <c r="AD92" s="23">
        <f t="shared" si="16"/>
        <v>0</v>
      </c>
      <c r="AE92" s="23">
        <f t="shared" si="16"/>
        <v>0</v>
      </c>
      <c r="AF92" s="23">
        <f t="shared" si="16"/>
        <v>0</v>
      </c>
      <c r="AG92" s="23">
        <f t="shared" si="16"/>
        <v>0</v>
      </c>
      <c r="AH92" s="23">
        <f t="shared" si="16"/>
        <v>0</v>
      </c>
      <c r="AI92" s="23">
        <f t="shared" si="16"/>
        <v>0</v>
      </c>
      <c r="AJ92" s="23">
        <f t="shared" si="16"/>
        <v>0</v>
      </c>
      <c r="AK92" s="23">
        <f t="shared" si="16"/>
        <v>0</v>
      </c>
      <c r="AL92" s="23">
        <f t="shared" si="16"/>
        <v>0</v>
      </c>
      <c r="AM92" s="23">
        <f t="shared" si="16"/>
        <v>0</v>
      </c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4"/>
    </row>
    <row r="93" spans="5:82">
      <c r="E93" s="5" t="s">
        <v>49</v>
      </c>
      <c r="F93" s="15" t="s">
        <v>12</v>
      </c>
      <c r="G93" s="22"/>
      <c r="H93" s="23">
        <f>'S-Curve'!H52</f>
        <v>3.5889775548387095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4"/>
    </row>
    <row r="94" spans="5:82">
      <c r="G94" s="22"/>
      <c r="H94" s="23">
        <f>H93/3</f>
        <v>1.1963258516129032</v>
      </c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4"/>
    </row>
    <row r="95" spans="5:82">
      <c r="G95" s="27">
        <v>0.8</v>
      </c>
      <c r="H95" s="28">
        <v>1.2</v>
      </c>
      <c r="I95" s="28">
        <v>1</v>
      </c>
      <c r="J95" s="28"/>
      <c r="K95" s="28"/>
      <c r="L95" s="28"/>
      <c r="M95" s="28"/>
      <c r="N95" s="28"/>
      <c r="O95" s="28"/>
      <c r="P95" s="28"/>
      <c r="Q95" s="28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4"/>
    </row>
    <row r="96" spans="5:82">
      <c r="F96" s="9">
        <f>SUM(G96:AM96)</f>
        <v>3.5889775548387095</v>
      </c>
      <c r="G96" s="22">
        <f>G95*$H$94</f>
        <v>0.95706068129032262</v>
      </c>
      <c r="H96" s="23">
        <f>H95*$H$94</f>
        <v>1.4355910219354837</v>
      </c>
      <c r="I96" s="23">
        <f>I95*$H$94</f>
        <v>1.1963258516129032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4"/>
    </row>
    <row r="97" spans="5:82">
      <c r="E97" s="5" t="s">
        <v>50</v>
      </c>
      <c r="F97" s="15" t="s">
        <v>51</v>
      </c>
      <c r="G97" s="22"/>
      <c r="H97" s="23" t="e">
        <f>'S-Curve'!#REF!</f>
        <v>#REF!</v>
      </c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4"/>
    </row>
    <row r="98" spans="5:82">
      <c r="G98" s="22"/>
      <c r="H98" s="23" t="e">
        <f>H97/34</f>
        <v>#REF!</v>
      </c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4"/>
    </row>
    <row r="99" spans="5:82">
      <c r="G99" s="27">
        <v>0.8</v>
      </c>
      <c r="H99" s="28">
        <v>1.2</v>
      </c>
      <c r="I99" s="28">
        <v>0.8</v>
      </c>
      <c r="J99" s="28">
        <v>1.2</v>
      </c>
      <c r="L99" s="28"/>
      <c r="M99" s="28">
        <v>0.8</v>
      </c>
      <c r="N99" s="28">
        <v>1.2</v>
      </c>
      <c r="O99" s="28">
        <v>0.8</v>
      </c>
      <c r="P99" s="28">
        <v>1.2</v>
      </c>
      <c r="Q99" s="28">
        <v>0.8</v>
      </c>
      <c r="R99" s="28">
        <v>1.2</v>
      </c>
      <c r="S99" s="28">
        <v>0.8</v>
      </c>
      <c r="T99" s="28">
        <v>1.2</v>
      </c>
      <c r="U99" s="28">
        <v>1</v>
      </c>
      <c r="V99" s="28">
        <v>0</v>
      </c>
      <c r="W99" s="28">
        <v>0</v>
      </c>
      <c r="X99" s="28">
        <v>0.9</v>
      </c>
      <c r="Y99" s="28">
        <v>1.5</v>
      </c>
      <c r="Z99" s="28">
        <v>1.4</v>
      </c>
      <c r="AA99" s="28">
        <v>1.4</v>
      </c>
      <c r="AB99" s="28">
        <v>1.4</v>
      </c>
      <c r="AC99" s="28">
        <v>1</v>
      </c>
      <c r="AD99" s="28">
        <v>1.2</v>
      </c>
      <c r="AE99" s="28">
        <v>1</v>
      </c>
      <c r="AF99" s="28">
        <v>1.2</v>
      </c>
      <c r="AG99" s="28">
        <v>0.8</v>
      </c>
      <c r="AH99" s="28">
        <v>1.2</v>
      </c>
      <c r="AI99" s="28">
        <v>0.8</v>
      </c>
      <c r="AJ99" s="28">
        <v>1.2</v>
      </c>
      <c r="AK99" s="28">
        <v>0.8</v>
      </c>
      <c r="AL99" s="28">
        <v>1.2</v>
      </c>
      <c r="AM99" s="28">
        <v>0.8</v>
      </c>
      <c r="AN99" s="28">
        <v>1.2</v>
      </c>
      <c r="AO99" s="28">
        <v>0.8</v>
      </c>
      <c r="AP99" s="28">
        <v>1.2</v>
      </c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3"/>
      <c r="BZ99" s="23"/>
      <c r="CA99" s="23"/>
      <c r="CB99" s="23"/>
      <c r="CC99" s="23"/>
      <c r="CD99" s="24"/>
    </row>
    <row r="100" spans="5:82">
      <c r="F100" s="9" t="e">
        <f>SUM(G100:BN100)</f>
        <v>#REF!</v>
      </c>
      <c r="G100" s="22" t="e">
        <f>G99*$H$98</f>
        <v>#REF!</v>
      </c>
      <c r="H100" s="23" t="e">
        <f t="shared" ref="H100:AN100" si="17">H99*$H$98</f>
        <v>#REF!</v>
      </c>
      <c r="I100" s="23" t="e">
        <f t="shared" si="17"/>
        <v>#REF!</v>
      </c>
      <c r="J100" s="23" t="e">
        <f t="shared" si="17"/>
        <v>#REF!</v>
      </c>
      <c r="L100" s="23"/>
      <c r="M100" s="23" t="e">
        <f>M99*$H$98</f>
        <v>#REF!</v>
      </c>
      <c r="N100" s="23" t="e">
        <f t="shared" si="17"/>
        <v>#REF!</v>
      </c>
      <c r="O100" s="23" t="e">
        <f t="shared" si="17"/>
        <v>#REF!</v>
      </c>
      <c r="P100" s="23" t="e">
        <f t="shared" si="17"/>
        <v>#REF!</v>
      </c>
      <c r="Q100" s="23" t="e">
        <f t="shared" si="17"/>
        <v>#REF!</v>
      </c>
      <c r="R100" s="23" t="e">
        <f t="shared" si="17"/>
        <v>#REF!</v>
      </c>
      <c r="S100" s="23" t="e">
        <f t="shared" si="17"/>
        <v>#REF!</v>
      </c>
      <c r="T100" s="23" t="e">
        <f t="shared" si="17"/>
        <v>#REF!</v>
      </c>
      <c r="U100" s="23" t="e">
        <f t="shared" si="17"/>
        <v>#REF!</v>
      </c>
      <c r="V100" s="23" t="e">
        <f t="shared" si="17"/>
        <v>#REF!</v>
      </c>
      <c r="W100" s="23" t="e">
        <f t="shared" si="17"/>
        <v>#REF!</v>
      </c>
      <c r="X100" s="23" t="e">
        <f t="shared" si="17"/>
        <v>#REF!</v>
      </c>
      <c r="Y100" s="23" t="e">
        <f t="shared" si="17"/>
        <v>#REF!</v>
      </c>
      <c r="Z100" s="23" t="e">
        <f t="shared" si="17"/>
        <v>#REF!</v>
      </c>
      <c r="AA100" s="23" t="e">
        <f t="shared" si="17"/>
        <v>#REF!</v>
      </c>
      <c r="AB100" s="23" t="e">
        <f t="shared" si="17"/>
        <v>#REF!</v>
      </c>
      <c r="AC100" s="23" t="e">
        <f t="shared" si="17"/>
        <v>#REF!</v>
      </c>
      <c r="AD100" s="23" t="e">
        <f t="shared" si="17"/>
        <v>#REF!</v>
      </c>
      <c r="AE100" s="23" t="e">
        <f t="shared" si="17"/>
        <v>#REF!</v>
      </c>
      <c r="AF100" s="23" t="e">
        <f t="shared" si="17"/>
        <v>#REF!</v>
      </c>
      <c r="AG100" s="23" t="e">
        <f t="shared" si="17"/>
        <v>#REF!</v>
      </c>
      <c r="AH100" s="23" t="e">
        <f t="shared" si="17"/>
        <v>#REF!</v>
      </c>
      <c r="AI100" s="23" t="e">
        <f t="shared" si="17"/>
        <v>#REF!</v>
      </c>
      <c r="AJ100" s="23" t="e">
        <f t="shared" si="17"/>
        <v>#REF!</v>
      </c>
      <c r="AK100" s="23" t="e">
        <f t="shared" si="17"/>
        <v>#REF!</v>
      </c>
      <c r="AL100" s="23" t="e">
        <f t="shared" si="17"/>
        <v>#REF!</v>
      </c>
      <c r="AM100" s="23" t="e">
        <f t="shared" si="17"/>
        <v>#REF!</v>
      </c>
      <c r="AN100" s="23" t="e">
        <f t="shared" si="17"/>
        <v>#REF!</v>
      </c>
      <c r="AO100" s="23" t="e">
        <f>AO99*$H$98</f>
        <v>#REF!</v>
      </c>
      <c r="AP100" s="23" t="e">
        <f>AP99*$H$98</f>
        <v>#REF!</v>
      </c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4"/>
    </row>
    <row r="101" spans="5:82">
      <c r="E101" s="14" t="s">
        <v>53</v>
      </c>
      <c r="F101" s="15" t="s">
        <v>35</v>
      </c>
      <c r="G101" s="22"/>
      <c r="H101" s="23">
        <f>'S-Curve'!H55</f>
        <v>0.51102568645161273</v>
      </c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4"/>
    </row>
    <row r="102" spans="5:82">
      <c r="G102" s="22"/>
      <c r="H102" s="23">
        <f>H101/6</f>
        <v>8.5170947741935454E-2</v>
      </c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4"/>
    </row>
    <row r="103" spans="5:82">
      <c r="G103" s="27">
        <v>0.8</v>
      </c>
      <c r="H103" s="28">
        <v>1.2</v>
      </c>
      <c r="I103" s="28">
        <v>0.8</v>
      </c>
      <c r="J103" s="28">
        <v>1.2</v>
      </c>
      <c r="K103" s="28">
        <v>0.8</v>
      </c>
      <c r="L103" s="28">
        <v>1.2</v>
      </c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3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4"/>
    </row>
    <row r="104" spans="5:82">
      <c r="F104" s="9">
        <f>SUM(G104:AM104)</f>
        <v>0.51102568645161273</v>
      </c>
      <c r="G104" s="22">
        <f t="shared" ref="G104:L104" si="18">G103*$H$102</f>
        <v>6.8136758193548363E-2</v>
      </c>
      <c r="H104" s="23">
        <f t="shared" si="18"/>
        <v>0.10220513729032255</v>
      </c>
      <c r="I104" s="23">
        <f t="shared" si="18"/>
        <v>6.8136758193548363E-2</v>
      </c>
      <c r="J104" s="23">
        <f t="shared" si="18"/>
        <v>0.10220513729032255</v>
      </c>
      <c r="K104" s="23">
        <f t="shared" si="18"/>
        <v>6.8136758193548363E-2</v>
      </c>
      <c r="L104" s="23">
        <f t="shared" si="18"/>
        <v>0.10220513729032255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4"/>
    </row>
    <row r="105" spans="5:82">
      <c r="E105" s="14" t="s">
        <v>54</v>
      </c>
      <c r="F105" s="15" t="s">
        <v>12</v>
      </c>
      <c r="G105" s="22"/>
      <c r="H105" s="23">
        <f>'S-Curve'!H57</f>
        <v>0.28223269677419349</v>
      </c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4"/>
    </row>
    <row r="106" spans="5:82">
      <c r="G106" s="22"/>
      <c r="H106" s="23">
        <f>H105/3</f>
        <v>9.4077565591397835E-2</v>
      </c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4"/>
    </row>
    <row r="107" spans="5:82">
      <c r="G107" s="27">
        <v>0.8</v>
      </c>
      <c r="H107" s="28">
        <v>1.2</v>
      </c>
      <c r="I107" s="28">
        <v>1</v>
      </c>
      <c r="J107" s="28"/>
      <c r="K107" s="28"/>
      <c r="L107" s="28"/>
      <c r="M107" s="28"/>
      <c r="N107" s="28"/>
      <c r="O107" s="28"/>
      <c r="P107" s="28"/>
      <c r="Q107" s="28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4"/>
    </row>
    <row r="108" spans="5:82">
      <c r="F108" s="9">
        <f>SUM(G108:AM108)</f>
        <v>0.28223269677419349</v>
      </c>
      <c r="G108" s="22">
        <f>G107*$H$106</f>
        <v>7.5262052473118277E-2</v>
      </c>
      <c r="H108" s="23">
        <f>H107*$H$106</f>
        <v>0.11289307870967739</v>
      </c>
      <c r="I108" s="23">
        <f>I107*$H$106</f>
        <v>9.4077565591397835E-2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4"/>
    </row>
    <row r="109" spans="5:82">
      <c r="E109" s="14" t="s">
        <v>115</v>
      </c>
      <c r="F109" s="15" t="s">
        <v>51</v>
      </c>
      <c r="G109" s="22"/>
      <c r="H109" s="23">
        <f>'S-Curve'!H61</f>
        <v>1.7787096774193548E-2</v>
      </c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4"/>
    </row>
    <row r="110" spans="5:82">
      <c r="G110" s="22"/>
      <c r="H110" s="23">
        <f>H109/34</f>
        <v>5.2314990512333966E-4</v>
      </c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4"/>
    </row>
    <row r="111" spans="5:82">
      <c r="G111" s="27">
        <v>1</v>
      </c>
      <c r="H111" s="27">
        <v>1</v>
      </c>
      <c r="K111" s="27">
        <v>1</v>
      </c>
      <c r="L111" s="27">
        <v>1</v>
      </c>
      <c r="M111" s="27">
        <v>1</v>
      </c>
      <c r="N111" s="28">
        <v>1</v>
      </c>
      <c r="O111" s="28">
        <v>1</v>
      </c>
      <c r="P111" s="28">
        <v>1</v>
      </c>
      <c r="Q111" s="28">
        <v>1</v>
      </c>
      <c r="R111" s="28">
        <v>1</v>
      </c>
      <c r="S111" s="28">
        <v>1</v>
      </c>
      <c r="T111" s="28">
        <v>1</v>
      </c>
      <c r="U111" s="28">
        <v>1</v>
      </c>
      <c r="V111" s="28">
        <v>1</v>
      </c>
      <c r="W111" s="28">
        <v>1</v>
      </c>
      <c r="X111" s="2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1</v>
      </c>
      <c r="AI111" s="28">
        <v>1</v>
      </c>
      <c r="AJ111" s="28">
        <v>1</v>
      </c>
      <c r="AK111" s="28">
        <v>1</v>
      </c>
      <c r="AL111" s="28">
        <v>1</v>
      </c>
      <c r="AM111" s="28">
        <v>1</v>
      </c>
      <c r="AN111" s="28">
        <v>1</v>
      </c>
      <c r="AO111" s="28">
        <v>1</v>
      </c>
      <c r="AP111" s="28">
        <v>1</v>
      </c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4"/>
    </row>
    <row r="112" spans="5:82">
      <c r="F112" s="9">
        <f>SUM(G112:BN112)</f>
        <v>1.7787096774193545E-2</v>
      </c>
      <c r="G112" s="22">
        <f>G111*$H$110</f>
        <v>5.2314990512333966E-4</v>
      </c>
      <c r="H112" s="22">
        <f t="shared" ref="H112:AP112" si="19">H111*$H$110</f>
        <v>5.2314990512333966E-4</v>
      </c>
      <c r="K112" s="22">
        <f>K111*$H$110</f>
        <v>5.2314990512333966E-4</v>
      </c>
      <c r="L112" s="22">
        <f>L111*$H$110</f>
        <v>5.2314990512333966E-4</v>
      </c>
      <c r="M112" s="22">
        <f>M111*$H$110</f>
        <v>5.2314990512333966E-4</v>
      </c>
      <c r="N112" s="22">
        <f t="shared" si="19"/>
        <v>5.2314990512333966E-4</v>
      </c>
      <c r="O112" s="22">
        <f t="shared" si="19"/>
        <v>5.2314990512333966E-4</v>
      </c>
      <c r="P112" s="22">
        <f t="shared" si="19"/>
        <v>5.2314990512333966E-4</v>
      </c>
      <c r="Q112" s="22">
        <f t="shared" si="19"/>
        <v>5.2314990512333966E-4</v>
      </c>
      <c r="R112" s="22">
        <f t="shared" si="19"/>
        <v>5.2314990512333966E-4</v>
      </c>
      <c r="S112" s="22">
        <f t="shared" si="19"/>
        <v>5.2314990512333966E-4</v>
      </c>
      <c r="T112" s="22">
        <f t="shared" si="19"/>
        <v>5.2314990512333966E-4</v>
      </c>
      <c r="U112" s="22">
        <f t="shared" si="19"/>
        <v>5.2314990512333966E-4</v>
      </c>
      <c r="V112" s="22">
        <f t="shared" si="19"/>
        <v>5.2314990512333966E-4</v>
      </c>
      <c r="W112" s="22">
        <f t="shared" si="19"/>
        <v>5.2314990512333966E-4</v>
      </c>
      <c r="X112" s="22">
        <f t="shared" si="19"/>
        <v>5.2314990512333966E-4</v>
      </c>
      <c r="Y112" s="22">
        <f t="shared" si="19"/>
        <v>5.2314990512333966E-4</v>
      </c>
      <c r="Z112" s="22">
        <f t="shared" si="19"/>
        <v>5.2314990512333966E-4</v>
      </c>
      <c r="AA112" s="22">
        <f t="shared" si="19"/>
        <v>5.2314990512333966E-4</v>
      </c>
      <c r="AB112" s="22">
        <f t="shared" si="19"/>
        <v>5.2314990512333966E-4</v>
      </c>
      <c r="AC112" s="22">
        <f t="shared" si="19"/>
        <v>5.2314990512333966E-4</v>
      </c>
      <c r="AD112" s="22">
        <f t="shared" si="19"/>
        <v>5.2314990512333966E-4</v>
      </c>
      <c r="AE112" s="22">
        <f t="shared" si="19"/>
        <v>5.2314990512333966E-4</v>
      </c>
      <c r="AF112" s="22">
        <f t="shared" si="19"/>
        <v>5.2314990512333966E-4</v>
      </c>
      <c r="AG112" s="22">
        <f t="shared" si="19"/>
        <v>5.2314990512333966E-4</v>
      </c>
      <c r="AH112" s="22">
        <f t="shared" si="19"/>
        <v>5.2314990512333966E-4</v>
      </c>
      <c r="AI112" s="22">
        <f t="shared" si="19"/>
        <v>5.2314990512333966E-4</v>
      </c>
      <c r="AJ112" s="22">
        <f t="shared" si="19"/>
        <v>5.2314990512333966E-4</v>
      </c>
      <c r="AK112" s="22">
        <f t="shared" si="19"/>
        <v>5.2314990512333966E-4</v>
      </c>
      <c r="AL112" s="22">
        <f t="shared" si="19"/>
        <v>5.2314990512333966E-4</v>
      </c>
      <c r="AM112" s="22">
        <f t="shared" si="19"/>
        <v>5.2314990512333966E-4</v>
      </c>
      <c r="AN112" s="22">
        <f t="shared" si="19"/>
        <v>5.2314990512333966E-4</v>
      </c>
      <c r="AO112" s="22">
        <f t="shared" si="19"/>
        <v>5.2314990512333966E-4</v>
      </c>
      <c r="AP112" s="22">
        <f t="shared" si="19"/>
        <v>5.2314990512333966E-4</v>
      </c>
      <c r="AQ112" s="22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4"/>
    </row>
    <row r="113" spans="5:86">
      <c r="E113" s="14" t="s">
        <v>56</v>
      </c>
      <c r="F113" s="15" t="s">
        <v>33</v>
      </c>
      <c r="G113" s="22"/>
      <c r="H113" s="23">
        <f>'S-Curve'!H66</f>
        <v>0.11653580645161288</v>
      </c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4"/>
    </row>
    <row r="114" spans="5:86">
      <c r="G114" s="22"/>
      <c r="H114" s="23">
        <f>H113/32</f>
        <v>3.6417439516129024E-3</v>
      </c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4"/>
    </row>
    <row r="115" spans="5:86">
      <c r="G115" s="27">
        <v>1</v>
      </c>
      <c r="H115" s="27">
        <v>1</v>
      </c>
      <c r="I115" s="27">
        <v>1</v>
      </c>
      <c r="J115" s="27">
        <v>1</v>
      </c>
      <c r="K115" s="27">
        <v>1</v>
      </c>
      <c r="L115" s="27">
        <v>1</v>
      </c>
      <c r="M115" s="27">
        <v>1</v>
      </c>
      <c r="N115" s="27">
        <v>1</v>
      </c>
      <c r="O115" s="27">
        <v>1</v>
      </c>
      <c r="P115" s="27">
        <v>1</v>
      </c>
      <c r="Q115" s="27">
        <v>1</v>
      </c>
      <c r="R115" s="27">
        <v>1</v>
      </c>
      <c r="S115" s="27">
        <v>1</v>
      </c>
      <c r="V115" s="27">
        <v>1</v>
      </c>
      <c r="W115" s="27">
        <v>1</v>
      </c>
      <c r="X115" s="28">
        <v>1</v>
      </c>
      <c r="Y115" s="28">
        <v>1</v>
      </c>
      <c r="Z115" s="28">
        <v>1</v>
      </c>
      <c r="AA115" s="28">
        <v>1</v>
      </c>
      <c r="AB115" s="28">
        <v>1</v>
      </c>
      <c r="AC115" s="28">
        <v>1</v>
      </c>
      <c r="AD115" s="28">
        <v>1</v>
      </c>
      <c r="AE115" s="28">
        <v>1</v>
      </c>
      <c r="AF115" s="28">
        <v>1</v>
      </c>
      <c r="AG115" s="28">
        <v>1</v>
      </c>
      <c r="AH115" s="28">
        <v>1</v>
      </c>
      <c r="AI115" s="28">
        <v>1</v>
      </c>
      <c r="AJ115" s="28">
        <v>1</v>
      </c>
      <c r="AK115" s="28">
        <v>1</v>
      </c>
      <c r="AL115" s="28">
        <v>1</v>
      </c>
      <c r="AM115" s="28">
        <v>1</v>
      </c>
      <c r="AN115" s="28">
        <v>1</v>
      </c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4"/>
      <c r="CH115" s="13">
        <v>20</v>
      </c>
    </row>
    <row r="116" spans="5:86">
      <c r="F116" s="9">
        <f>SUM(G116:BN116)</f>
        <v>0.11653580645161288</v>
      </c>
      <c r="G116" s="22">
        <f>G115*$H$114</f>
        <v>3.6417439516129024E-3</v>
      </c>
      <c r="H116" s="22">
        <f t="shared" ref="H116:BS116" si="20">H115*$H$114</f>
        <v>3.6417439516129024E-3</v>
      </c>
      <c r="I116" s="22">
        <f t="shared" si="20"/>
        <v>3.6417439516129024E-3</v>
      </c>
      <c r="J116" s="22">
        <f t="shared" si="20"/>
        <v>3.6417439516129024E-3</v>
      </c>
      <c r="K116" s="22">
        <f t="shared" si="20"/>
        <v>3.6417439516129024E-3</v>
      </c>
      <c r="L116" s="22">
        <f t="shared" si="20"/>
        <v>3.6417439516129024E-3</v>
      </c>
      <c r="M116" s="22">
        <f t="shared" si="20"/>
        <v>3.6417439516129024E-3</v>
      </c>
      <c r="N116" s="22">
        <f t="shared" si="20"/>
        <v>3.6417439516129024E-3</v>
      </c>
      <c r="O116" s="22">
        <f t="shared" si="20"/>
        <v>3.6417439516129024E-3</v>
      </c>
      <c r="P116" s="22">
        <f t="shared" si="20"/>
        <v>3.6417439516129024E-3</v>
      </c>
      <c r="Q116" s="22">
        <f t="shared" si="20"/>
        <v>3.6417439516129024E-3</v>
      </c>
      <c r="R116" s="22">
        <f t="shared" si="20"/>
        <v>3.6417439516129024E-3</v>
      </c>
      <c r="S116" s="22">
        <f t="shared" si="20"/>
        <v>3.6417439516129024E-3</v>
      </c>
      <c r="V116" s="22">
        <f>V115*$H$114</f>
        <v>3.6417439516129024E-3</v>
      </c>
      <c r="W116" s="22">
        <f>W115*$H$114</f>
        <v>3.6417439516129024E-3</v>
      </c>
      <c r="X116" s="22">
        <f t="shared" si="20"/>
        <v>3.6417439516129024E-3</v>
      </c>
      <c r="Y116" s="22">
        <f t="shared" si="20"/>
        <v>3.6417439516129024E-3</v>
      </c>
      <c r="Z116" s="22">
        <f t="shared" si="20"/>
        <v>3.6417439516129024E-3</v>
      </c>
      <c r="AA116" s="22">
        <f t="shared" si="20"/>
        <v>3.6417439516129024E-3</v>
      </c>
      <c r="AB116" s="22">
        <f t="shared" si="20"/>
        <v>3.6417439516129024E-3</v>
      </c>
      <c r="AC116" s="22">
        <f t="shared" si="20"/>
        <v>3.6417439516129024E-3</v>
      </c>
      <c r="AD116" s="22">
        <f t="shared" si="20"/>
        <v>3.6417439516129024E-3</v>
      </c>
      <c r="AE116" s="22">
        <f t="shared" si="20"/>
        <v>3.6417439516129024E-3</v>
      </c>
      <c r="AF116" s="22">
        <f t="shared" si="20"/>
        <v>3.6417439516129024E-3</v>
      </c>
      <c r="AG116" s="22">
        <f t="shared" si="20"/>
        <v>3.6417439516129024E-3</v>
      </c>
      <c r="AH116" s="22">
        <f t="shared" si="20"/>
        <v>3.6417439516129024E-3</v>
      </c>
      <c r="AI116" s="22">
        <f t="shared" si="20"/>
        <v>3.6417439516129024E-3</v>
      </c>
      <c r="AJ116" s="22">
        <f t="shared" si="20"/>
        <v>3.6417439516129024E-3</v>
      </c>
      <c r="AK116" s="22">
        <f t="shared" si="20"/>
        <v>3.6417439516129024E-3</v>
      </c>
      <c r="AL116" s="22">
        <f t="shared" si="20"/>
        <v>3.6417439516129024E-3</v>
      </c>
      <c r="AM116" s="22">
        <f t="shared" si="20"/>
        <v>3.6417439516129024E-3</v>
      </c>
      <c r="AN116" s="22">
        <f t="shared" si="20"/>
        <v>3.6417439516129024E-3</v>
      </c>
      <c r="AO116" s="22"/>
      <c r="AP116" s="22"/>
      <c r="AQ116" s="22">
        <f t="shared" si="20"/>
        <v>0</v>
      </c>
      <c r="AR116" s="22">
        <f t="shared" si="20"/>
        <v>0</v>
      </c>
      <c r="AS116" s="22">
        <f t="shared" si="20"/>
        <v>0</v>
      </c>
      <c r="AT116" s="22">
        <f t="shared" si="20"/>
        <v>0</v>
      </c>
      <c r="AU116" s="22">
        <f t="shared" si="20"/>
        <v>0</v>
      </c>
      <c r="AV116" s="22">
        <f t="shared" si="20"/>
        <v>0</v>
      </c>
      <c r="AW116" s="22">
        <f t="shared" si="20"/>
        <v>0</v>
      </c>
      <c r="AX116" s="22">
        <f t="shared" si="20"/>
        <v>0</v>
      </c>
      <c r="AY116" s="22">
        <f t="shared" si="20"/>
        <v>0</v>
      </c>
      <c r="AZ116" s="22">
        <f t="shared" si="20"/>
        <v>0</v>
      </c>
      <c r="BA116" s="22">
        <f t="shared" si="20"/>
        <v>0</v>
      </c>
      <c r="BB116" s="22">
        <f t="shared" si="20"/>
        <v>0</v>
      </c>
      <c r="BC116" s="22">
        <f t="shared" si="20"/>
        <v>0</v>
      </c>
      <c r="BD116" s="22">
        <f t="shared" si="20"/>
        <v>0</v>
      </c>
      <c r="BE116" s="22">
        <f t="shared" si="20"/>
        <v>0</v>
      </c>
      <c r="BF116" s="22">
        <f t="shared" si="20"/>
        <v>0</v>
      </c>
      <c r="BG116" s="22">
        <f t="shared" si="20"/>
        <v>0</v>
      </c>
      <c r="BH116" s="22">
        <f t="shared" si="20"/>
        <v>0</v>
      </c>
      <c r="BI116" s="22">
        <f t="shared" si="20"/>
        <v>0</v>
      </c>
      <c r="BJ116" s="22">
        <f t="shared" si="20"/>
        <v>0</v>
      </c>
      <c r="BK116" s="22">
        <f t="shared" si="20"/>
        <v>0</v>
      </c>
      <c r="BL116" s="22">
        <f t="shared" si="20"/>
        <v>0</v>
      </c>
      <c r="BM116" s="22">
        <f t="shared" si="20"/>
        <v>0</v>
      </c>
      <c r="BN116" s="22">
        <f t="shared" si="20"/>
        <v>0</v>
      </c>
      <c r="BO116" s="22">
        <f t="shared" si="20"/>
        <v>0</v>
      </c>
      <c r="BP116" s="22">
        <f t="shared" si="20"/>
        <v>0</v>
      </c>
      <c r="BQ116" s="22">
        <f t="shared" si="20"/>
        <v>0</v>
      </c>
      <c r="BR116" s="22">
        <f t="shared" si="20"/>
        <v>0</v>
      </c>
      <c r="BS116" s="22">
        <f t="shared" si="20"/>
        <v>0</v>
      </c>
      <c r="BT116" s="22">
        <f t="shared" ref="BT116:CD116" si="21">BT115*$H$114</f>
        <v>0</v>
      </c>
      <c r="BU116" s="22">
        <f t="shared" si="21"/>
        <v>0</v>
      </c>
      <c r="BV116" s="22">
        <f t="shared" si="21"/>
        <v>0</v>
      </c>
      <c r="BW116" s="22">
        <f t="shared" si="21"/>
        <v>0</v>
      </c>
      <c r="BX116" s="22">
        <f t="shared" si="21"/>
        <v>0</v>
      </c>
      <c r="BY116" s="22">
        <f t="shared" si="21"/>
        <v>0</v>
      </c>
      <c r="BZ116" s="22">
        <f t="shared" si="21"/>
        <v>0</v>
      </c>
      <c r="CA116" s="22">
        <f t="shared" si="21"/>
        <v>0</v>
      </c>
      <c r="CB116" s="22">
        <f t="shared" si="21"/>
        <v>0</v>
      </c>
      <c r="CC116" s="22">
        <f t="shared" si="21"/>
        <v>0</v>
      </c>
      <c r="CD116" s="37">
        <f t="shared" si="21"/>
        <v>0</v>
      </c>
      <c r="CE116" s="13">
        <v>20</v>
      </c>
      <c r="CF116" s="13">
        <v>20</v>
      </c>
      <c r="CG116" s="13">
        <v>20</v>
      </c>
    </row>
    <row r="117" spans="5:86">
      <c r="E117" s="14" t="s">
        <v>57</v>
      </c>
      <c r="F117" s="15" t="s">
        <v>35</v>
      </c>
      <c r="G117" s="22"/>
      <c r="H117" s="23">
        <f>'S-Curve'!H68</f>
        <v>0.36726903225806451</v>
      </c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4"/>
    </row>
    <row r="118" spans="5:86">
      <c r="G118" s="22"/>
      <c r="H118" s="23">
        <f>H117/53</f>
        <v>6.9296043822276322E-3</v>
      </c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4"/>
    </row>
    <row r="119" spans="5:86">
      <c r="G119" s="27">
        <v>1</v>
      </c>
      <c r="H119" s="27">
        <v>1</v>
      </c>
      <c r="I119" s="27">
        <v>1</v>
      </c>
      <c r="J119" s="27">
        <v>1</v>
      </c>
      <c r="K119" s="27">
        <v>1</v>
      </c>
      <c r="L119" s="27">
        <v>1</v>
      </c>
      <c r="M119" s="27">
        <v>1</v>
      </c>
      <c r="N119" s="27">
        <v>1</v>
      </c>
      <c r="O119" s="27">
        <v>1</v>
      </c>
      <c r="P119" s="27">
        <v>1</v>
      </c>
      <c r="S119" s="27">
        <v>1</v>
      </c>
      <c r="T119" s="27">
        <v>1</v>
      </c>
      <c r="U119" s="27">
        <v>1</v>
      </c>
      <c r="V119" s="27">
        <v>1</v>
      </c>
      <c r="W119" s="28">
        <v>1</v>
      </c>
      <c r="X119" s="28">
        <v>1</v>
      </c>
      <c r="Y119" s="28">
        <v>1</v>
      </c>
      <c r="Z119" s="28">
        <v>1</v>
      </c>
      <c r="AA119" s="28">
        <v>1</v>
      </c>
      <c r="AB119" s="28">
        <v>1</v>
      </c>
      <c r="AC119" s="28">
        <v>1</v>
      </c>
      <c r="AD119" s="28">
        <v>1</v>
      </c>
      <c r="AE119" s="28">
        <v>1</v>
      </c>
      <c r="AF119" s="28">
        <v>1</v>
      </c>
      <c r="AG119" s="28">
        <v>1</v>
      </c>
      <c r="AH119" s="28">
        <v>1</v>
      </c>
      <c r="AI119" s="28">
        <v>1</v>
      </c>
      <c r="AJ119" s="28">
        <v>1</v>
      </c>
      <c r="AK119" s="28">
        <v>1</v>
      </c>
      <c r="AL119" s="28">
        <v>1</v>
      </c>
      <c r="AM119" s="28">
        <v>1</v>
      </c>
      <c r="AN119" s="28">
        <v>1</v>
      </c>
      <c r="AO119" s="28">
        <v>1</v>
      </c>
      <c r="AP119" s="28">
        <v>1</v>
      </c>
      <c r="AQ119" s="28">
        <v>1</v>
      </c>
      <c r="AR119" s="28">
        <v>1</v>
      </c>
      <c r="AS119" s="28">
        <v>1</v>
      </c>
      <c r="AT119" s="28">
        <v>1</v>
      </c>
      <c r="AU119" s="28">
        <v>1</v>
      </c>
      <c r="AV119" s="28">
        <v>1</v>
      </c>
      <c r="AW119" s="28">
        <v>1</v>
      </c>
      <c r="AX119" s="28">
        <v>1</v>
      </c>
      <c r="AY119" s="28">
        <v>1</v>
      </c>
      <c r="AZ119" s="28">
        <v>1</v>
      </c>
      <c r="BA119" s="28">
        <v>1</v>
      </c>
      <c r="BB119" s="28">
        <v>1</v>
      </c>
      <c r="BC119" s="28">
        <v>1</v>
      </c>
      <c r="BD119" s="28">
        <v>1</v>
      </c>
      <c r="BE119" s="28">
        <v>1</v>
      </c>
      <c r="BF119" s="28">
        <v>1</v>
      </c>
      <c r="BG119" s="28">
        <v>1</v>
      </c>
      <c r="BH119" s="28">
        <v>1</v>
      </c>
      <c r="BI119" s="28">
        <v>1</v>
      </c>
      <c r="BJ119" s="28"/>
      <c r="BK119" s="28"/>
      <c r="BL119" s="28"/>
      <c r="BM119" s="28"/>
      <c r="BN119" s="28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4"/>
    </row>
    <row r="120" spans="5:86">
      <c r="F120" s="9">
        <f>SUM(G120:BN120)</f>
        <v>0.36726903225806445</v>
      </c>
      <c r="G120" s="22">
        <f>G119*$H$118</f>
        <v>6.9296043822276322E-3</v>
      </c>
      <c r="H120" s="22">
        <f t="shared" ref="H120:BS120" si="22">H119*$H$118</f>
        <v>6.9296043822276322E-3</v>
      </c>
      <c r="I120" s="22">
        <f t="shared" si="22"/>
        <v>6.9296043822276322E-3</v>
      </c>
      <c r="J120" s="22">
        <f t="shared" si="22"/>
        <v>6.9296043822276322E-3</v>
      </c>
      <c r="K120" s="22">
        <f t="shared" si="22"/>
        <v>6.9296043822276322E-3</v>
      </c>
      <c r="L120" s="22">
        <f t="shared" si="22"/>
        <v>6.9296043822276322E-3</v>
      </c>
      <c r="M120" s="22">
        <f t="shared" si="22"/>
        <v>6.9296043822276322E-3</v>
      </c>
      <c r="N120" s="22">
        <f t="shared" si="22"/>
        <v>6.9296043822276322E-3</v>
      </c>
      <c r="O120" s="22">
        <f t="shared" si="22"/>
        <v>6.9296043822276322E-3</v>
      </c>
      <c r="P120" s="22">
        <f t="shared" si="22"/>
        <v>6.9296043822276322E-3</v>
      </c>
      <c r="S120" s="22">
        <f>S119*$H$118</f>
        <v>6.9296043822276322E-3</v>
      </c>
      <c r="T120" s="22">
        <f>T119*$H$118</f>
        <v>6.9296043822276322E-3</v>
      </c>
      <c r="U120" s="22">
        <f>U119*$H$118</f>
        <v>6.9296043822276322E-3</v>
      </c>
      <c r="V120" s="22">
        <f>V119*$H$118</f>
        <v>6.9296043822276322E-3</v>
      </c>
      <c r="W120" s="22">
        <f t="shared" si="22"/>
        <v>6.9296043822276322E-3</v>
      </c>
      <c r="X120" s="22">
        <f t="shared" si="22"/>
        <v>6.9296043822276322E-3</v>
      </c>
      <c r="Y120" s="22">
        <f t="shared" si="22"/>
        <v>6.9296043822276322E-3</v>
      </c>
      <c r="Z120" s="22">
        <f t="shared" si="22"/>
        <v>6.9296043822276322E-3</v>
      </c>
      <c r="AA120" s="22">
        <f t="shared" si="22"/>
        <v>6.9296043822276322E-3</v>
      </c>
      <c r="AB120" s="22">
        <f t="shared" si="22"/>
        <v>6.9296043822276322E-3</v>
      </c>
      <c r="AC120" s="22">
        <f t="shared" si="22"/>
        <v>6.9296043822276322E-3</v>
      </c>
      <c r="AD120" s="22">
        <f t="shared" si="22"/>
        <v>6.9296043822276322E-3</v>
      </c>
      <c r="AE120" s="22">
        <f t="shared" si="22"/>
        <v>6.9296043822276322E-3</v>
      </c>
      <c r="AF120" s="22">
        <f t="shared" si="22"/>
        <v>6.9296043822276322E-3</v>
      </c>
      <c r="AG120" s="22">
        <f t="shared" si="22"/>
        <v>6.9296043822276322E-3</v>
      </c>
      <c r="AH120" s="22">
        <f t="shared" si="22"/>
        <v>6.9296043822276322E-3</v>
      </c>
      <c r="AI120" s="22">
        <f t="shared" si="22"/>
        <v>6.9296043822276322E-3</v>
      </c>
      <c r="AJ120" s="22">
        <f t="shared" si="22"/>
        <v>6.9296043822276322E-3</v>
      </c>
      <c r="AK120" s="22">
        <f t="shared" si="22"/>
        <v>6.9296043822276322E-3</v>
      </c>
      <c r="AL120" s="22">
        <f t="shared" si="22"/>
        <v>6.9296043822276322E-3</v>
      </c>
      <c r="AM120" s="22">
        <f t="shared" si="22"/>
        <v>6.9296043822276322E-3</v>
      </c>
      <c r="AN120" s="22">
        <f t="shared" si="22"/>
        <v>6.9296043822276322E-3</v>
      </c>
      <c r="AO120" s="22">
        <f t="shared" si="22"/>
        <v>6.9296043822276322E-3</v>
      </c>
      <c r="AP120" s="22">
        <f t="shared" si="22"/>
        <v>6.9296043822276322E-3</v>
      </c>
      <c r="AQ120" s="22">
        <f t="shared" si="22"/>
        <v>6.9296043822276322E-3</v>
      </c>
      <c r="AR120" s="22">
        <f t="shared" si="22"/>
        <v>6.9296043822276322E-3</v>
      </c>
      <c r="AS120" s="22">
        <f t="shared" si="22"/>
        <v>6.9296043822276322E-3</v>
      </c>
      <c r="AT120" s="22">
        <f t="shared" si="22"/>
        <v>6.9296043822276322E-3</v>
      </c>
      <c r="AU120" s="22">
        <f t="shared" si="22"/>
        <v>6.9296043822276322E-3</v>
      </c>
      <c r="AV120" s="22">
        <f t="shared" si="22"/>
        <v>6.9296043822276322E-3</v>
      </c>
      <c r="AW120" s="22">
        <f t="shared" si="22"/>
        <v>6.9296043822276322E-3</v>
      </c>
      <c r="AX120" s="22">
        <f t="shared" si="22"/>
        <v>6.9296043822276322E-3</v>
      </c>
      <c r="AY120" s="22">
        <f t="shared" si="22"/>
        <v>6.9296043822276322E-3</v>
      </c>
      <c r="AZ120" s="22">
        <f t="shared" si="22"/>
        <v>6.9296043822276322E-3</v>
      </c>
      <c r="BA120" s="22">
        <f t="shared" si="22"/>
        <v>6.9296043822276322E-3</v>
      </c>
      <c r="BB120" s="22">
        <f t="shared" si="22"/>
        <v>6.9296043822276322E-3</v>
      </c>
      <c r="BC120" s="22">
        <f t="shared" si="22"/>
        <v>6.9296043822276322E-3</v>
      </c>
      <c r="BD120" s="22">
        <f t="shared" si="22"/>
        <v>6.9296043822276322E-3</v>
      </c>
      <c r="BE120" s="22">
        <f t="shared" si="22"/>
        <v>6.9296043822276322E-3</v>
      </c>
      <c r="BF120" s="22">
        <f t="shared" si="22"/>
        <v>6.9296043822276322E-3</v>
      </c>
      <c r="BG120" s="22">
        <f t="shared" si="22"/>
        <v>6.9296043822276322E-3</v>
      </c>
      <c r="BH120" s="22">
        <f t="shared" si="22"/>
        <v>6.9296043822276322E-3</v>
      </c>
      <c r="BI120" s="22">
        <f t="shared" si="22"/>
        <v>6.9296043822276322E-3</v>
      </c>
      <c r="BJ120" s="22">
        <f t="shared" si="22"/>
        <v>0</v>
      </c>
      <c r="BK120" s="22">
        <f t="shared" si="22"/>
        <v>0</v>
      </c>
      <c r="BL120" s="22">
        <f t="shared" si="22"/>
        <v>0</v>
      </c>
      <c r="BM120" s="22">
        <f t="shared" si="22"/>
        <v>0</v>
      </c>
      <c r="BN120" s="22">
        <f t="shared" si="22"/>
        <v>0</v>
      </c>
      <c r="BO120" s="22">
        <f t="shared" si="22"/>
        <v>0</v>
      </c>
      <c r="BP120" s="22">
        <f t="shared" si="22"/>
        <v>0</v>
      </c>
      <c r="BQ120" s="22">
        <f t="shared" si="22"/>
        <v>0</v>
      </c>
      <c r="BR120" s="22">
        <f t="shared" si="22"/>
        <v>0</v>
      </c>
      <c r="BS120" s="22">
        <f t="shared" si="22"/>
        <v>0</v>
      </c>
      <c r="BT120" s="22">
        <f t="shared" ref="BT120:CD120" si="23">BT119*$H$118</f>
        <v>0</v>
      </c>
      <c r="BU120" s="22">
        <f t="shared" si="23"/>
        <v>0</v>
      </c>
      <c r="BV120" s="22">
        <f t="shared" si="23"/>
        <v>0</v>
      </c>
      <c r="BW120" s="22">
        <f t="shared" si="23"/>
        <v>0</v>
      </c>
      <c r="BX120" s="22">
        <f t="shared" si="23"/>
        <v>0</v>
      </c>
      <c r="BY120" s="22">
        <f t="shared" si="23"/>
        <v>0</v>
      </c>
      <c r="BZ120" s="22">
        <f t="shared" si="23"/>
        <v>0</v>
      </c>
      <c r="CA120" s="22">
        <f t="shared" si="23"/>
        <v>0</v>
      </c>
      <c r="CB120" s="22">
        <f t="shared" si="23"/>
        <v>0</v>
      </c>
      <c r="CC120" s="22">
        <f t="shared" si="23"/>
        <v>0</v>
      </c>
      <c r="CD120" s="37">
        <f t="shared" si="23"/>
        <v>0</v>
      </c>
    </row>
    <row r="121" spans="5:86">
      <c r="E121" s="5" t="s">
        <v>58</v>
      </c>
      <c r="F121" s="4" t="s">
        <v>12</v>
      </c>
      <c r="G121" s="22"/>
      <c r="H121" s="23">
        <f>'S-Curve'!H70</f>
        <v>7.452483870967741E-2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4"/>
    </row>
    <row r="122" spans="5:86">
      <c r="G122" s="22"/>
      <c r="H122" s="23">
        <f>H121/29</f>
        <v>2.569822024471635E-3</v>
      </c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4"/>
    </row>
    <row r="123" spans="5:86">
      <c r="G123" s="27">
        <v>1</v>
      </c>
      <c r="H123" s="27">
        <v>1</v>
      </c>
      <c r="I123" s="27">
        <v>1</v>
      </c>
      <c r="J123" s="27">
        <v>1</v>
      </c>
      <c r="K123" s="27">
        <v>1</v>
      </c>
      <c r="L123" s="27">
        <v>1</v>
      </c>
      <c r="O123" s="27">
        <v>1</v>
      </c>
      <c r="P123" s="27">
        <v>1</v>
      </c>
      <c r="Q123" s="27">
        <v>1</v>
      </c>
      <c r="R123" s="27">
        <v>1</v>
      </c>
      <c r="S123" s="27">
        <v>1</v>
      </c>
      <c r="T123" s="27">
        <v>1</v>
      </c>
      <c r="U123" s="27">
        <v>1</v>
      </c>
      <c r="V123" s="27">
        <v>1</v>
      </c>
      <c r="W123" s="27">
        <v>1</v>
      </c>
      <c r="X123" s="27">
        <v>1</v>
      </c>
      <c r="Y123" s="27">
        <v>1</v>
      </c>
      <c r="Z123" s="27">
        <v>1</v>
      </c>
      <c r="AA123" s="27">
        <v>1</v>
      </c>
      <c r="AB123" s="27">
        <v>1</v>
      </c>
      <c r="AC123" s="27">
        <v>1</v>
      </c>
      <c r="AD123" s="27">
        <v>1</v>
      </c>
      <c r="AE123" s="27">
        <v>1</v>
      </c>
      <c r="AF123" s="27">
        <v>1</v>
      </c>
      <c r="AG123" s="27">
        <v>1</v>
      </c>
      <c r="AH123" s="27">
        <v>1</v>
      </c>
      <c r="AI123" s="27">
        <v>1</v>
      </c>
      <c r="AJ123" s="27">
        <v>1</v>
      </c>
      <c r="AK123" s="27">
        <v>1</v>
      </c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8"/>
      <c r="BK123" s="28"/>
      <c r="BL123" s="28"/>
      <c r="BM123" s="28"/>
      <c r="BN123" s="28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4"/>
    </row>
    <row r="124" spans="5:86">
      <c r="F124" s="9">
        <f>SUM(G124:BN124)</f>
        <v>7.4524838709677382E-2</v>
      </c>
      <c r="G124" s="22">
        <f>G123*$H$122</f>
        <v>2.569822024471635E-3</v>
      </c>
      <c r="H124" s="22">
        <f t="shared" ref="H124:AK124" si="24">H123*$H$122</f>
        <v>2.569822024471635E-3</v>
      </c>
      <c r="I124" s="22">
        <f t="shared" si="24"/>
        <v>2.569822024471635E-3</v>
      </c>
      <c r="J124" s="22">
        <f t="shared" si="24"/>
        <v>2.569822024471635E-3</v>
      </c>
      <c r="K124" s="22">
        <f t="shared" si="24"/>
        <v>2.569822024471635E-3</v>
      </c>
      <c r="L124" s="22">
        <f t="shared" si="24"/>
        <v>2.569822024471635E-3</v>
      </c>
      <c r="O124" s="22">
        <f>O123*$H$122</f>
        <v>2.569822024471635E-3</v>
      </c>
      <c r="P124" s="22">
        <f>P123*$H$122</f>
        <v>2.569822024471635E-3</v>
      </c>
      <c r="Q124" s="22">
        <f t="shared" si="24"/>
        <v>2.569822024471635E-3</v>
      </c>
      <c r="R124" s="22">
        <f t="shared" si="24"/>
        <v>2.569822024471635E-3</v>
      </c>
      <c r="S124" s="22">
        <f t="shared" si="24"/>
        <v>2.569822024471635E-3</v>
      </c>
      <c r="T124" s="22">
        <f t="shared" si="24"/>
        <v>2.569822024471635E-3</v>
      </c>
      <c r="U124" s="22">
        <f t="shared" si="24"/>
        <v>2.569822024471635E-3</v>
      </c>
      <c r="V124" s="22">
        <f t="shared" si="24"/>
        <v>2.569822024471635E-3</v>
      </c>
      <c r="W124" s="22">
        <f t="shared" si="24"/>
        <v>2.569822024471635E-3</v>
      </c>
      <c r="X124" s="22">
        <f t="shared" si="24"/>
        <v>2.569822024471635E-3</v>
      </c>
      <c r="Y124" s="22">
        <f t="shared" si="24"/>
        <v>2.569822024471635E-3</v>
      </c>
      <c r="Z124" s="22">
        <f t="shared" si="24"/>
        <v>2.569822024471635E-3</v>
      </c>
      <c r="AA124" s="22">
        <f t="shared" si="24"/>
        <v>2.569822024471635E-3</v>
      </c>
      <c r="AB124" s="22">
        <f t="shared" si="24"/>
        <v>2.569822024471635E-3</v>
      </c>
      <c r="AC124" s="22">
        <f t="shared" si="24"/>
        <v>2.569822024471635E-3</v>
      </c>
      <c r="AD124" s="22">
        <f t="shared" si="24"/>
        <v>2.569822024471635E-3</v>
      </c>
      <c r="AE124" s="22">
        <f t="shared" si="24"/>
        <v>2.569822024471635E-3</v>
      </c>
      <c r="AF124" s="22">
        <f t="shared" si="24"/>
        <v>2.569822024471635E-3</v>
      </c>
      <c r="AG124" s="22">
        <f t="shared" si="24"/>
        <v>2.569822024471635E-3</v>
      </c>
      <c r="AH124" s="22">
        <f t="shared" si="24"/>
        <v>2.569822024471635E-3</v>
      </c>
      <c r="AI124" s="22">
        <f t="shared" si="24"/>
        <v>2.569822024471635E-3</v>
      </c>
      <c r="AJ124" s="22">
        <f t="shared" si="24"/>
        <v>2.569822024471635E-3</v>
      </c>
      <c r="AK124" s="22">
        <f t="shared" si="24"/>
        <v>2.569822024471635E-3</v>
      </c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37"/>
    </row>
    <row r="125" spans="5:86">
      <c r="E125" s="5" t="s">
        <v>59</v>
      </c>
      <c r="F125" s="4" t="s">
        <v>51</v>
      </c>
      <c r="G125" s="22"/>
      <c r="H125" s="23" t="e">
        <f>'S-Curve'!#REF!</f>
        <v>#REF!</v>
      </c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4"/>
    </row>
    <row r="126" spans="5:86">
      <c r="G126" s="22"/>
      <c r="H126" s="23" t="e">
        <f>H125/48</f>
        <v>#REF!</v>
      </c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4"/>
    </row>
    <row r="127" spans="5:86">
      <c r="G127" s="27">
        <v>1</v>
      </c>
      <c r="H127" s="27">
        <v>1</v>
      </c>
      <c r="I127" s="27">
        <v>1</v>
      </c>
      <c r="J127" s="27">
        <v>1</v>
      </c>
      <c r="M127" s="27">
        <v>1</v>
      </c>
      <c r="N127" s="27">
        <v>1</v>
      </c>
      <c r="O127" s="27">
        <v>1</v>
      </c>
      <c r="P127" s="27">
        <v>1</v>
      </c>
      <c r="Q127" s="27">
        <v>1</v>
      </c>
      <c r="R127" s="27">
        <v>1</v>
      </c>
      <c r="S127" s="27">
        <v>1</v>
      </c>
      <c r="T127" s="27">
        <v>1</v>
      </c>
      <c r="U127" s="27">
        <v>1</v>
      </c>
      <c r="V127" s="27">
        <v>1</v>
      </c>
      <c r="W127" s="27">
        <v>1</v>
      </c>
      <c r="X127" s="27">
        <v>1</v>
      </c>
      <c r="Y127" s="27">
        <v>1</v>
      </c>
      <c r="Z127" s="27">
        <v>1</v>
      </c>
      <c r="AA127" s="27">
        <v>1</v>
      </c>
      <c r="AB127" s="27">
        <v>1</v>
      </c>
      <c r="AC127" s="27">
        <v>1</v>
      </c>
      <c r="AD127" s="27">
        <v>1</v>
      </c>
      <c r="AE127" s="27">
        <v>1</v>
      </c>
      <c r="AF127" s="27">
        <v>1</v>
      </c>
      <c r="AG127" s="27">
        <v>1</v>
      </c>
      <c r="AH127" s="27">
        <v>1</v>
      </c>
      <c r="AI127" s="27">
        <v>1</v>
      </c>
      <c r="AJ127" s="27">
        <v>1</v>
      </c>
      <c r="AK127" s="27">
        <v>1</v>
      </c>
      <c r="AL127" s="27">
        <v>1</v>
      </c>
      <c r="AM127" s="27">
        <v>1</v>
      </c>
      <c r="AN127" s="27">
        <v>1</v>
      </c>
      <c r="AO127" s="27">
        <v>1</v>
      </c>
      <c r="AP127" s="27">
        <v>1</v>
      </c>
      <c r="AQ127" s="27">
        <v>1</v>
      </c>
      <c r="AR127" s="27">
        <v>1</v>
      </c>
      <c r="AS127" s="27">
        <v>1</v>
      </c>
      <c r="AT127" s="27">
        <v>1</v>
      </c>
      <c r="AU127" s="27">
        <v>1</v>
      </c>
      <c r="AV127" s="27">
        <v>1</v>
      </c>
      <c r="AW127" s="27">
        <v>1</v>
      </c>
      <c r="AX127" s="27">
        <v>1</v>
      </c>
      <c r="AY127" s="27">
        <v>1</v>
      </c>
      <c r="AZ127" s="27">
        <v>1</v>
      </c>
      <c r="BA127" s="27">
        <v>1</v>
      </c>
      <c r="BB127" s="27">
        <v>1</v>
      </c>
      <c r="BC127" s="27">
        <v>1</v>
      </c>
      <c r="BD127" s="27">
        <v>1</v>
      </c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4"/>
    </row>
    <row r="128" spans="5:86">
      <c r="F128" s="9" t="e">
        <f>SUM(G128:BN128)</f>
        <v>#REF!</v>
      </c>
      <c r="G128" s="22" t="e">
        <f>G127*$H$126</f>
        <v>#REF!</v>
      </c>
      <c r="H128" s="22" t="e">
        <f t="shared" ref="H128:AK128" si="25">H127*$H$126</f>
        <v>#REF!</v>
      </c>
      <c r="I128" s="22" t="e">
        <f t="shared" si="25"/>
        <v>#REF!</v>
      </c>
      <c r="J128" s="22" t="e">
        <f t="shared" si="25"/>
        <v>#REF!</v>
      </c>
      <c r="M128" s="22" t="e">
        <f>M127*$H$126</f>
        <v>#REF!</v>
      </c>
      <c r="N128" s="22" t="e">
        <f>N127*$H$126</f>
        <v>#REF!</v>
      </c>
      <c r="O128" s="22" t="e">
        <f t="shared" si="25"/>
        <v>#REF!</v>
      </c>
      <c r="P128" s="22" t="e">
        <f t="shared" si="25"/>
        <v>#REF!</v>
      </c>
      <c r="Q128" s="22" t="e">
        <f t="shared" si="25"/>
        <v>#REF!</v>
      </c>
      <c r="R128" s="22" t="e">
        <f t="shared" si="25"/>
        <v>#REF!</v>
      </c>
      <c r="S128" s="22" t="e">
        <f t="shared" si="25"/>
        <v>#REF!</v>
      </c>
      <c r="T128" s="22" t="e">
        <f t="shared" si="25"/>
        <v>#REF!</v>
      </c>
      <c r="U128" s="22" t="e">
        <f t="shared" si="25"/>
        <v>#REF!</v>
      </c>
      <c r="V128" s="22" t="e">
        <f t="shared" si="25"/>
        <v>#REF!</v>
      </c>
      <c r="W128" s="22" t="e">
        <f t="shared" si="25"/>
        <v>#REF!</v>
      </c>
      <c r="X128" s="22" t="e">
        <f t="shared" si="25"/>
        <v>#REF!</v>
      </c>
      <c r="Y128" s="22" t="e">
        <f t="shared" si="25"/>
        <v>#REF!</v>
      </c>
      <c r="Z128" s="22" t="e">
        <f t="shared" si="25"/>
        <v>#REF!</v>
      </c>
      <c r="AA128" s="22" t="e">
        <f t="shared" si="25"/>
        <v>#REF!</v>
      </c>
      <c r="AB128" s="22" t="e">
        <f t="shared" si="25"/>
        <v>#REF!</v>
      </c>
      <c r="AC128" s="22" t="e">
        <f t="shared" si="25"/>
        <v>#REF!</v>
      </c>
      <c r="AD128" s="22" t="e">
        <f t="shared" si="25"/>
        <v>#REF!</v>
      </c>
      <c r="AE128" s="22" t="e">
        <f t="shared" si="25"/>
        <v>#REF!</v>
      </c>
      <c r="AF128" s="22" t="e">
        <f t="shared" si="25"/>
        <v>#REF!</v>
      </c>
      <c r="AG128" s="22" t="e">
        <f t="shared" si="25"/>
        <v>#REF!</v>
      </c>
      <c r="AH128" s="22" t="e">
        <f t="shared" si="25"/>
        <v>#REF!</v>
      </c>
      <c r="AI128" s="22" t="e">
        <f t="shared" si="25"/>
        <v>#REF!</v>
      </c>
      <c r="AJ128" s="22" t="e">
        <f t="shared" si="25"/>
        <v>#REF!</v>
      </c>
      <c r="AK128" s="22" t="e">
        <f t="shared" si="25"/>
        <v>#REF!</v>
      </c>
      <c r="AL128" s="22" t="e">
        <f t="shared" ref="AL128:BD128" si="26">AL127*$H$126</f>
        <v>#REF!</v>
      </c>
      <c r="AM128" s="22" t="e">
        <f t="shared" si="26"/>
        <v>#REF!</v>
      </c>
      <c r="AN128" s="22" t="e">
        <f t="shared" si="26"/>
        <v>#REF!</v>
      </c>
      <c r="AO128" s="22" t="e">
        <f t="shared" si="26"/>
        <v>#REF!</v>
      </c>
      <c r="AP128" s="22" t="e">
        <f t="shared" si="26"/>
        <v>#REF!</v>
      </c>
      <c r="AQ128" s="22" t="e">
        <f t="shared" si="26"/>
        <v>#REF!</v>
      </c>
      <c r="AR128" s="22" t="e">
        <f t="shared" si="26"/>
        <v>#REF!</v>
      </c>
      <c r="AS128" s="22" t="e">
        <f t="shared" si="26"/>
        <v>#REF!</v>
      </c>
      <c r="AT128" s="22" t="e">
        <f t="shared" si="26"/>
        <v>#REF!</v>
      </c>
      <c r="AU128" s="22" t="e">
        <f t="shared" si="26"/>
        <v>#REF!</v>
      </c>
      <c r="AV128" s="22" t="e">
        <f t="shared" si="26"/>
        <v>#REF!</v>
      </c>
      <c r="AW128" s="22" t="e">
        <f t="shared" si="26"/>
        <v>#REF!</v>
      </c>
      <c r="AX128" s="22" t="e">
        <f t="shared" si="26"/>
        <v>#REF!</v>
      </c>
      <c r="AY128" s="22" t="e">
        <f t="shared" si="26"/>
        <v>#REF!</v>
      </c>
      <c r="AZ128" s="22" t="e">
        <f t="shared" si="26"/>
        <v>#REF!</v>
      </c>
      <c r="BA128" s="22" t="e">
        <f t="shared" si="26"/>
        <v>#REF!</v>
      </c>
      <c r="BB128" s="22" t="e">
        <f t="shared" si="26"/>
        <v>#REF!</v>
      </c>
      <c r="BC128" s="22" t="e">
        <f t="shared" si="26"/>
        <v>#REF!</v>
      </c>
      <c r="BD128" s="22" t="e">
        <f t="shared" si="26"/>
        <v>#REF!</v>
      </c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4"/>
    </row>
    <row r="129" spans="5:82">
      <c r="E129" s="5" t="s">
        <v>61</v>
      </c>
      <c r="F129" s="4" t="s">
        <v>33</v>
      </c>
      <c r="G129" s="22"/>
      <c r="H129" s="23" t="e">
        <f>'S-Curve'!#REF!</f>
        <v>#REF!</v>
      </c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4"/>
    </row>
    <row r="130" spans="5:82">
      <c r="G130" s="22"/>
      <c r="H130" s="23" t="e">
        <f>H129/2</f>
        <v>#REF!</v>
      </c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4"/>
    </row>
    <row r="131" spans="5:82">
      <c r="G131" s="27">
        <v>1</v>
      </c>
      <c r="H131" s="27">
        <v>1</v>
      </c>
      <c r="I131" s="27"/>
      <c r="J131" s="27"/>
      <c r="K131" s="27"/>
      <c r="L131" s="27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4"/>
    </row>
    <row r="132" spans="5:82">
      <c r="F132" s="9" t="e">
        <f>SUM(G132:BN132)</f>
        <v>#REF!</v>
      </c>
      <c r="G132" s="22" t="e">
        <f>G131*$H$130</f>
        <v>#REF!</v>
      </c>
      <c r="H132" s="22" t="e">
        <f>H131*$H$130</f>
        <v>#REF!</v>
      </c>
      <c r="I132" s="22"/>
      <c r="J132" s="22"/>
      <c r="K132" s="22"/>
      <c r="L132" s="22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4"/>
    </row>
    <row r="133" spans="5:82">
      <c r="E133" s="34" t="s">
        <v>62</v>
      </c>
      <c r="F133" s="15" t="s">
        <v>35</v>
      </c>
      <c r="G133" s="22"/>
      <c r="H133" s="23" t="e">
        <f>'S-Curve'!#REF!</f>
        <v>#REF!</v>
      </c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4"/>
    </row>
    <row r="134" spans="5:82">
      <c r="G134" s="22"/>
      <c r="H134" s="23" t="e">
        <f>H133/10</f>
        <v>#REF!</v>
      </c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4"/>
    </row>
    <row r="135" spans="5:82">
      <c r="G135" s="27">
        <v>1</v>
      </c>
      <c r="H135" s="27">
        <v>1</v>
      </c>
      <c r="I135" s="27">
        <v>1</v>
      </c>
      <c r="J135" s="27">
        <v>1</v>
      </c>
      <c r="K135" s="27">
        <v>1</v>
      </c>
      <c r="L135" s="27">
        <v>1</v>
      </c>
      <c r="M135" s="27">
        <v>1</v>
      </c>
      <c r="N135" s="27">
        <v>1</v>
      </c>
      <c r="O135" s="27">
        <v>1</v>
      </c>
      <c r="P135" s="27">
        <v>1</v>
      </c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4"/>
    </row>
    <row r="136" spans="5:82">
      <c r="F136" s="9" t="e">
        <f>SUM(G136:BN136)</f>
        <v>#REF!</v>
      </c>
      <c r="G136" s="22" t="e">
        <f>G135*$H$134</f>
        <v>#REF!</v>
      </c>
      <c r="H136" s="22" t="e">
        <f t="shared" ref="H136:P136" si="27">H135*$H$134</f>
        <v>#REF!</v>
      </c>
      <c r="I136" s="22" t="e">
        <f t="shared" si="27"/>
        <v>#REF!</v>
      </c>
      <c r="J136" s="22" t="e">
        <f t="shared" si="27"/>
        <v>#REF!</v>
      </c>
      <c r="K136" s="22" t="e">
        <f t="shared" si="27"/>
        <v>#REF!</v>
      </c>
      <c r="L136" s="22" t="e">
        <f t="shared" si="27"/>
        <v>#REF!</v>
      </c>
      <c r="M136" s="22" t="e">
        <f t="shared" si="27"/>
        <v>#REF!</v>
      </c>
      <c r="N136" s="22" t="e">
        <f t="shared" si="27"/>
        <v>#REF!</v>
      </c>
      <c r="O136" s="22" t="e">
        <f t="shared" si="27"/>
        <v>#REF!</v>
      </c>
      <c r="P136" s="22" t="e">
        <f t="shared" si="27"/>
        <v>#REF!</v>
      </c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4"/>
    </row>
    <row r="137" spans="5:82">
      <c r="E137" s="5" t="s">
        <v>63</v>
      </c>
      <c r="F137" s="4" t="s">
        <v>12</v>
      </c>
      <c r="G137" s="22"/>
      <c r="H137" s="23" t="e">
        <f>'S-Curve'!#REF!</f>
        <v>#REF!</v>
      </c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4"/>
    </row>
    <row r="138" spans="5:82">
      <c r="G138" s="22"/>
      <c r="H138" s="23" t="e">
        <f>H137/2</f>
        <v>#REF!</v>
      </c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4"/>
    </row>
    <row r="139" spans="5:82">
      <c r="G139" s="27">
        <v>1</v>
      </c>
      <c r="H139" s="27">
        <v>1</v>
      </c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4"/>
    </row>
    <row r="140" spans="5:82">
      <c r="F140" s="9" t="e">
        <f>SUM(G140:BN140)</f>
        <v>#REF!</v>
      </c>
      <c r="G140" s="22" t="e">
        <f>G139*$H$138</f>
        <v>#REF!</v>
      </c>
      <c r="H140" s="22" t="e">
        <f>H139*$H$138</f>
        <v>#REF!</v>
      </c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4"/>
    </row>
    <row r="141" spans="5:82">
      <c r="E141" s="5" t="s">
        <v>64</v>
      </c>
      <c r="F141" s="4" t="s">
        <v>51</v>
      </c>
      <c r="G141" s="22"/>
      <c r="H141" s="23" t="e">
        <f>'S-Curve'!#REF!</f>
        <v>#REF!</v>
      </c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4"/>
    </row>
    <row r="142" spans="5:82">
      <c r="G142" s="22"/>
      <c r="H142" s="23" t="e">
        <f>H141/21</f>
        <v>#REF!</v>
      </c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4"/>
    </row>
    <row r="143" spans="5:82">
      <c r="G143" s="27">
        <v>1</v>
      </c>
      <c r="H143" s="27">
        <v>1</v>
      </c>
      <c r="I143" s="27">
        <v>1</v>
      </c>
      <c r="J143" s="27">
        <v>1</v>
      </c>
      <c r="K143" s="27">
        <v>1</v>
      </c>
      <c r="L143" s="27">
        <v>1</v>
      </c>
      <c r="M143" s="27">
        <v>1</v>
      </c>
      <c r="N143" s="27">
        <v>1</v>
      </c>
      <c r="O143" s="27">
        <v>1</v>
      </c>
      <c r="P143" s="27">
        <v>1</v>
      </c>
      <c r="Q143" s="27">
        <v>1</v>
      </c>
      <c r="R143" s="27">
        <v>1</v>
      </c>
      <c r="S143" s="27">
        <v>1</v>
      </c>
      <c r="T143" s="27">
        <v>1</v>
      </c>
      <c r="U143" s="27">
        <v>1</v>
      </c>
      <c r="V143" s="27">
        <v>1</v>
      </c>
      <c r="W143" s="27">
        <v>1</v>
      </c>
      <c r="X143" s="27">
        <v>1</v>
      </c>
      <c r="Y143" s="27">
        <v>1</v>
      </c>
      <c r="Z143" s="27">
        <v>1</v>
      </c>
      <c r="AA143" s="27">
        <v>1</v>
      </c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4"/>
    </row>
    <row r="144" spans="5:82">
      <c r="F144" s="9" t="e">
        <f>SUM(G144:BN144)</f>
        <v>#REF!</v>
      </c>
      <c r="G144" s="22" t="e">
        <f t="shared" ref="G144:AA144" si="28">G143*$H$142</f>
        <v>#REF!</v>
      </c>
      <c r="H144" s="22" t="e">
        <f t="shared" si="28"/>
        <v>#REF!</v>
      </c>
      <c r="I144" s="22" t="e">
        <f t="shared" si="28"/>
        <v>#REF!</v>
      </c>
      <c r="J144" s="22" t="e">
        <f t="shared" si="28"/>
        <v>#REF!</v>
      </c>
      <c r="K144" s="22" t="e">
        <f t="shared" si="28"/>
        <v>#REF!</v>
      </c>
      <c r="L144" s="22" t="e">
        <f t="shared" si="28"/>
        <v>#REF!</v>
      </c>
      <c r="M144" s="22" t="e">
        <f t="shared" si="28"/>
        <v>#REF!</v>
      </c>
      <c r="N144" s="22" t="e">
        <f t="shared" si="28"/>
        <v>#REF!</v>
      </c>
      <c r="O144" s="22" t="e">
        <f t="shared" si="28"/>
        <v>#REF!</v>
      </c>
      <c r="P144" s="22" t="e">
        <f t="shared" si="28"/>
        <v>#REF!</v>
      </c>
      <c r="Q144" s="22" t="e">
        <f t="shared" si="28"/>
        <v>#REF!</v>
      </c>
      <c r="R144" s="22" t="e">
        <f t="shared" si="28"/>
        <v>#REF!</v>
      </c>
      <c r="S144" s="22" t="e">
        <f t="shared" si="28"/>
        <v>#REF!</v>
      </c>
      <c r="T144" s="22" t="e">
        <f t="shared" si="28"/>
        <v>#REF!</v>
      </c>
      <c r="U144" s="22" t="e">
        <f t="shared" si="28"/>
        <v>#REF!</v>
      </c>
      <c r="V144" s="22" t="e">
        <f t="shared" si="28"/>
        <v>#REF!</v>
      </c>
      <c r="W144" s="22" t="e">
        <f t="shared" si="28"/>
        <v>#REF!</v>
      </c>
      <c r="X144" s="22" t="e">
        <f t="shared" si="28"/>
        <v>#REF!</v>
      </c>
      <c r="Y144" s="22" t="e">
        <f t="shared" si="28"/>
        <v>#REF!</v>
      </c>
      <c r="Z144" s="22" t="e">
        <f t="shared" si="28"/>
        <v>#REF!</v>
      </c>
      <c r="AA144" s="22" t="e">
        <f t="shared" si="28"/>
        <v>#REF!</v>
      </c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4"/>
    </row>
    <row r="145" spans="5:82">
      <c r="E145" s="5" t="s">
        <v>66</v>
      </c>
      <c r="F145" s="4" t="s">
        <v>33</v>
      </c>
      <c r="G145" s="22"/>
      <c r="H145" s="23" t="e">
        <f>'S-Curve'!#REF!</f>
        <v>#REF!</v>
      </c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4"/>
    </row>
    <row r="146" spans="5:82">
      <c r="G146" s="22"/>
      <c r="H146" s="23" t="e">
        <f>H145/16</f>
        <v>#REF!</v>
      </c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4"/>
    </row>
    <row r="147" spans="5:82">
      <c r="G147" s="27">
        <v>1</v>
      </c>
      <c r="H147" s="27">
        <v>1</v>
      </c>
      <c r="I147" s="27">
        <v>1</v>
      </c>
      <c r="J147" s="27">
        <v>1</v>
      </c>
      <c r="K147" s="27">
        <v>1</v>
      </c>
      <c r="L147" s="27">
        <v>1</v>
      </c>
      <c r="M147" s="27">
        <v>1</v>
      </c>
      <c r="N147" s="27">
        <v>1</v>
      </c>
      <c r="O147" s="27">
        <v>1</v>
      </c>
      <c r="P147" s="27">
        <v>1</v>
      </c>
      <c r="Q147" s="27">
        <v>1</v>
      </c>
      <c r="R147" s="27">
        <v>1</v>
      </c>
      <c r="S147" s="27">
        <v>1</v>
      </c>
      <c r="T147" s="27">
        <v>1</v>
      </c>
      <c r="U147" s="27">
        <v>1</v>
      </c>
      <c r="V147" s="27">
        <v>1</v>
      </c>
      <c r="W147" s="27"/>
      <c r="X147" s="27"/>
      <c r="Y147" s="27"/>
      <c r="Z147" s="27"/>
      <c r="AA147" s="27"/>
      <c r="AB147" s="27"/>
      <c r="AC147" s="27"/>
      <c r="AD147" s="27"/>
      <c r="AE147" s="27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4"/>
    </row>
    <row r="148" spans="5:82">
      <c r="F148" s="9" t="e">
        <f>SUM(G148:BN148)</f>
        <v>#REF!</v>
      </c>
      <c r="G148" s="22" t="e">
        <f>G147*$H$146</f>
        <v>#REF!</v>
      </c>
      <c r="H148" s="22" t="e">
        <f t="shared" ref="H148:V148" si="29">H147*$H$146</f>
        <v>#REF!</v>
      </c>
      <c r="I148" s="22" t="e">
        <f t="shared" si="29"/>
        <v>#REF!</v>
      </c>
      <c r="J148" s="22" t="e">
        <f t="shared" si="29"/>
        <v>#REF!</v>
      </c>
      <c r="K148" s="22" t="e">
        <f t="shared" si="29"/>
        <v>#REF!</v>
      </c>
      <c r="L148" s="22" t="e">
        <f t="shared" si="29"/>
        <v>#REF!</v>
      </c>
      <c r="M148" s="22" t="e">
        <f t="shared" si="29"/>
        <v>#REF!</v>
      </c>
      <c r="N148" s="22" t="e">
        <f t="shared" si="29"/>
        <v>#REF!</v>
      </c>
      <c r="O148" s="22" t="e">
        <f t="shared" si="29"/>
        <v>#REF!</v>
      </c>
      <c r="P148" s="22" t="e">
        <f t="shared" si="29"/>
        <v>#REF!</v>
      </c>
      <c r="Q148" s="22" t="e">
        <f t="shared" si="29"/>
        <v>#REF!</v>
      </c>
      <c r="R148" s="22" t="e">
        <f t="shared" si="29"/>
        <v>#REF!</v>
      </c>
      <c r="S148" s="22" t="e">
        <f t="shared" si="29"/>
        <v>#REF!</v>
      </c>
      <c r="T148" s="22" t="e">
        <f t="shared" si="29"/>
        <v>#REF!</v>
      </c>
      <c r="U148" s="22" t="e">
        <f t="shared" si="29"/>
        <v>#REF!</v>
      </c>
      <c r="V148" s="22" t="e">
        <f t="shared" si="29"/>
        <v>#REF!</v>
      </c>
      <c r="W148" s="22"/>
      <c r="X148" s="22"/>
      <c r="Y148" s="22"/>
      <c r="Z148" s="22"/>
      <c r="AA148" s="22"/>
      <c r="AB148" s="22"/>
      <c r="AC148" s="22"/>
      <c r="AD148" s="22"/>
      <c r="AE148" s="22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4"/>
    </row>
    <row r="149" spans="5:82">
      <c r="E149" s="34" t="s">
        <v>98</v>
      </c>
      <c r="F149" s="15" t="s">
        <v>35</v>
      </c>
      <c r="G149" s="22"/>
      <c r="H149" s="23" t="e">
        <f>'S-Curve'!#REF!</f>
        <v>#REF!</v>
      </c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CD149" s="24"/>
    </row>
    <row r="150" spans="5:82">
      <c r="G150" s="22"/>
      <c r="H150" s="23" t="e">
        <f>H149/35</f>
        <v>#REF!</v>
      </c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CD150" s="24"/>
    </row>
    <row r="151" spans="5:82">
      <c r="G151" s="27">
        <v>1</v>
      </c>
      <c r="H151" s="27">
        <v>1</v>
      </c>
      <c r="I151" s="27">
        <v>1</v>
      </c>
      <c r="J151" s="27">
        <v>1</v>
      </c>
      <c r="K151" s="27">
        <v>1</v>
      </c>
      <c r="L151" s="27">
        <v>1</v>
      </c>
      <c r="M151" s="27">
        <v>1</v>
      </c>
      <c r="N151" s="27">
        <v>1</v>
      </c>
      <c r="O151" s="27">
        <v>1</v>
      </c>
      <c r="P151" s="27">
        <v>1</v>
      </c>
      <c r="Q151" s="27">
        <v>1</v>
      </c>
      <c r="R151" s="27">
        <v>1</v>
      </c>
      <c r="S151" s="27">
        <v>1</v>
      </c>
      <c r="T151" s="27">
        <v>1</v>
      </c>
      <c r="U151" s="27">
        <v>1</v>
      </c>
      <c r="V151" s="27">
        <v>1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28">
        <v>1</v>
      </c>
      <c r="AC151" s="28">
        <v>1</v>
      </c>
      <c r="AD151" s="28">
        <v>1</v>
      </c>
      <c r="AE151" s="28">
        <v>1</v>
      </c>
      <c r="AF151" s="28">
        <v>1</v>
      </c>
      <c r="AG151" s="28">
        <v>1</v>
      </c>
      <c r="AH151" s="28">
        <v>1</v>
      </c>
      <c r="AI151" s="28">
        <v>1</v>
      </c>
      <c r="AJ151" s="28">
        <v>1</v>
      </c>
      <c r="AK151" s="28">
        <v>1</v>
      </c>
      <c r="AL151" s="28">
        <v>1</v>
      </c>
      <c r="AM151" s="28">
        <v>1</v>
      </c>
      <c r="AN151" s="28">
        <v>1</v>
      </c>
      <c r="AO151" s="28">
        <v>1</v>
      </c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CD151" s="24"/>
    </row>
    <row r="152" spans="5:82">
      <c r="F152" s="9" t="e">
        <f>SUM(G152:BN152)</f>
        <v>#REF!</v>
      </c>
      <c r="G152" s="35" t="e">
        <f>G151*$H$150</f>
        <v>#REF!</v>
      </c>
      <c r="H152" s="35" t="e">
        <f t="shared" ref="H152:AO152" si="30">H151*$H$150</f>
        <v>#REF!</v>
      </c>
      <c r="I152" s="35" t="e">
        <f t="shared" si="30"/>
        <v>#REF!</v>
      </c>
      <c r="J152" s="35" t="e">
        <f t="shared" si="30"/>
        <v>#REF!</v>
      </c>
      <c r="K152" s="35" t="e">
        <f t="shared" si="30"/>
        <v>#REF!</v>
      </c>
      <c r="L152" s="35" t="e">
        <f t="shared" si="30"/>
        <v>#REF!</v>
      </c>
      <c r="M152" s="35" t="e">
        <f t="shared" si="30"/>
        <v>#REF!</v>
      </c>
      <c r="N152" s="35" t="e">
        <f t="shared" si="30"/>
        <v>#REF!</v>
      </c>
      <c r="O152" s="35" t="e">
        <f t="shared" si="30"/>
        <v>#REF!</v>
      </c>
      <c r="P152" s="35" t="e">
        <f t="shared" si="30"/>
        <v>#REF!</v>
      </c>
      <c r="Q152" s="35" t="e">
        <f t="shared" si="30"/>
        <v>#REF!</v>
      </c>
      <c r="R152" s="35" t="e">
        <f t="shared" si="30"/>
        <v>#REF!</v>
      </c>
      <c r="S152" s="35" t="e">
        <f t="shared" si="30"/>
        <v>#REF!</v>
      </c>
      <c r="T152" s="35" t="e">
        <f t="shared" si="30"/>
        <v>#REF!</v>
      </c>
      <c r="U152" s="35" t="e">
        <f t="shared" si="30"/>
        <v>#REF!</v>
      </c>
      <c r="V152" s="35" t="e">
        <f t="shared" si="30"/>
        <v>#REF!</v>
      </c>
      <c r="W152" s="35" t="e">
        <f t="shared" si="30"/>
        <v>#REF!</v>
      </c>
      <c r="X152" s="35" t="e">
        <f t="shared" si="30"/>
        <v>#REF!</v>
      </c>
      <c r="Y152" s="35" t="e">
        <f t="shared" si="30"/>
        <v>#REF!</v>
      </c>
      <c r="Z152" s="35" t="e">
        <f t="shared" si="30"/>
        <v>#REF!</v>
      </c>
      <c r="AA152" s="35" t="e">
        <f t="shared" si="30"/>
        <v>#REF!</v>
      </c>
      <c r="AB152" s="35" t="e">
        <f t="shared" si="30"/>
        <v>#REF!</v>
      </c>
      <c r="AC152" s="35" t="e">
        <f t="shared" si="30"/>
        <v>#REF!</v>
      </c>
      <c r="AD152" s="35" t="e">
        <f t="shared" si="30"/>
        <v>#REF!</v>
      </c>
      <c r="AE152" s="35" t="e">
        <f t="shared" si="30"/>
        <v>#REF!</v>
      </c>
      <c r="AF152" s="35" t="e">
        <f t="shared" si="30"/>
        <v>#REF!</v>
      </c>
      <c r="AG152" s="35" t="e">
        <f t="shared" si="30"/>
        <v>#REF!</v>
      </c>
      <c r="AH152" s="35" t="e">
        <f t="shared" si="30"/>
        <v>#REF!</v>
      </c>
      <c r="AI152" s="35" t="e">
        <f t="shared" si="30"/>
        <v>#REF!</v>
      </c>
      <c r="AJ152" s="35" t="e">
        <f t="shared" si="30"/>
        <v>#REF!</v>
      </c>
      <c r="AK152" s="35" t="e">
        <f t="shared" si="30"/>
        <v>#REF!</v>
      </c>
      <c r="AL152" s="35" t="e">
        <f t="shared" si="30"/>
        <v>#REF!</v>
      </c>
      <c r="AM152" s="35" t="e">
        <f t="shared" si="30"/>
        <v>#REF!</v>
      </c>
      <c r="AN152" s="35" t="e">
        <f t="shared" si="30"/>
        <v>#REF!</v>
      </c>
      <c r="AO152" s="35" t="e">
        <f t="shared" si="30"/>
        <v>#REF!</v>
      </c>
      <c r="AP152" s="35"/>
      <c r="AQ152" s="35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CD152" s="24"/>
    </row>
    <row r="153" spans="5:82">
      <c r="E153" s="5" t="s">
        <v>99</v>
      </c>
      <c r="F153" s="4" t="s">
        <v>12</v>
      </c>
      <c r="G153" s="22"/>
      <c r="H153" s="23" t="e">
        <f>'S-Curve'!#REF!</f>
        <v>#REF!</v>
      </c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4"/>
    </row>
    <row r="154" spans="5:82">
      <c r="G154" s="22"/>
      <c r="H154" s="23" t="e">
        <f>H153/28</f>
        <v>#REF!</v>
      </c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4"/>
    </row>
    <row r="155" spans="5:82">
      <c r="G155" s="27">
        <v>1</v>
      </c>
      <c r="H155" s="27">
        <v>1</v>
      </c>
      <c r="I155" s="27">
        <v>1</v>
      </c>
      <c r="J155" s="27">
        <v>1</v>
      </c>
      <c r="K155" s="27">
        <v>1</v>
      </c>
      <c r="L155" s="27">
        <v>1</v>
      </c>
      <c r="M155" s="27">
        <v>1</v>
      </c>
      <c r="N155" s="27">
        <v>1</v>
      </c>
      <c r="O155" s="27">
        <v>1</v>
      </c>
      <c r="P155" s="27">
        <v>1</v>
      </c>
      <c r="Q155" s="27">
        <v>1</v>
      </c>
      <c r="R155" s="27">
        <v>1</v>
      </c>
      <c r="S155" s="27">
        <v>1</v>
      </c>
      <c r="T155" s="27">
        <v>1</v>
      </c>
      <c r="U155" s="27">
        <v>1</v>
      </c>
      <c r="V155" s="27">
        <v>1</v>
      </c>
      <c r="W155" s="27">
        <v>1</v>
      </c>
      <c r="X155" s="27">
        <v>1</v>
      </c>
      <c r="Y155" s="27">
        <v>1</v>
      </c>
      <c r="Z155" s="27">
        <v>1</v>
      </c>
      <c r="AA155" s="27">
        <v>1</v>
      </c>
      <c r="AB155" s="27">
        <v>1</v>
      </c>
      <c r="AC155" s="27">
        <v>1</v>
      </c>
      <c r="AD155" s="27">
        <v>1</v>
      </c>
      <c r="AE155" s="27">
        <v>1</v>
      </c>
      <c r="AF155" s="27">
        <v>1</v>
      </c>
      <c r="AG155" s="27">
        <v>1</v>
      </c>
      <c r="AH155" s="27">
        <v>1</v>
      </c>
      <c r="AI155" s="27"/>
      <c r="AJ155" s="27"/>
      <c r="AK155" s="27"/>
      <c r="AL155" s="27"/>
      <c r="AM155" s="27"/>
      <c r="AN155" s="27"/>
      <c r="AO155" s="27"/>
      <c r="AP155" s="27"/>
      <c r="AQ155" s="27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4"/>
    </row>
    <row r="156" spans="5:82">
      <c r="F156" s="9" t="e">
        <f>SUM(G156:BN156)</f>
        <v>#REF!</v>
      </c>
      <c r="G156" s="22" t="e">
        <f t="shared" ref="G156:AH156" si="31">G155*$H$154</f>
        <v>#REF!</v>
      </c>
      <c r="H156" s="22" t="e">
        <f t="shared" si="31"/>
        <v>#REF!</v>
      </c>
      <c r="I156" s="22" t="e">
        <f t="shared" si="31"/>
        <v>#REF!</v>
      </c>
      <c r="J156" s="22" t="e">
        <f t="shared" si="31"/>
        <v>#REF!</v>
      </c>
      <c r="K156" s="22" t="e">
        <f t="shared" si="31"/>
        <v>#REF!</v>
      </c>
      <c r="L156" s="22" t="e">
        <f t="shared" si="31"/>
        <v>#REF!</v>
      </c>
      <c r="M156" s="22" t="e">
        <f t="shared" si="31"/>
        <v>#REF!</v>
      </c>
      <c r="N156" s="22" t="e">
        <f t="shared" si="31"/>
        <v>#REF!</v>
      </c>
      <c r="O156" s="22" t="e">
        <f t="shared" si="31"/>
        <v>#REF!</v>
      </c>
      <c r="P156" s="22" t="e">
        <f t="shared" si="31"/>
        <v>#REF!</v>
      </c>
      <c r="Q156" s="22" t="e">
        <f t="shared" si="31"/>
        <v>#REF!</v>
      </c>
      <c r="R156" s="22" t="e">
        <f t="shared" si="31"/>
        <v>#REF!</v>
      </c>
      <c r="S156" s="22" t="e">
        <f t="shared" si="31"/>
        <v>#REF!</v>
      </c>
      <c r="T156" s="22" t="e">
        <f t="shared" si="31"/>
        <v>#REF!</v>
      </c>
      <c r="U156" s="22" t="e">
        <f t="shared" si="31"/>
        <v>#REF!</v>
      </c>
      <c r="V156" s="22" t="e">
        <f t="shared" si="31"/>
        <v>#REF!</v>
      </c>
      <c r="W156" s="22" t="e">
        <f t="shared" si="31"/>
        <v>#REF!</v>
      </c>
      <c r="X156" s="22" t="e">
        <f t="shared" si="31"/>
        <v>#REF!</v>
      </c>
      <c r="Y156" s="22" t="e">
        <f t="shared" si="31"/>
        <v>#REF!</v>
      </c>
      <c r="Z156" s="22" t="e">
        <f t="shared" si="31"/>
        <v>#REF!</v>
      </c>
      <c r="AA156" s="22" t="e">
        <f t="shared" si="31"/>
        <v>#REF!</v>
      </c>
      <c r="AB156" s="22" t="e">
        <f t="shared" si="31"/>
        <v>#REF!</v>
      </c>
      <c r="AC156" s="22" t="e">
        <f t="shared" si="31"/>
        <v>#REF!</v>
      </c>
      <c r="AD156" s="22" t="e">
        <f t="shared" si="31"/>
        <v>#REF!</v>
      </c>
      <c r="AE156" s="22" t="e">
        <f t="shared" si="31"/>
        <v>#REF!</v>
      </c>
      <c r="AF156" s="22" t="e">
        <f t="shared" si="31"/>
        <v>#REF!</v>
      </c>
      <c r="AG156" s="22" t="e">
        <f t="shared" si="31"/>
        <v>#REF!</v>
      </c>
      <c r="AH156" s="22" t="e">
        <f t="shared" si="31"/>
        <v>#REF!</v>
      </c>
      <c r="AI156" s="22"/>
      <c r="AJ156" s="22"/>
      <c r="AK156" s="22"/>
      <c r="AL156" s="22"/>
      <c r="AM156" s="22"/>
      <c r="AN156" s="22"/>
      <c r="AO156" s="22"/>
      <c r="AP156" s="22"/>
      <c r="AQ156" s="22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4"/>
    </row>
    <row r="157" spans="5:82">
      <c r="E157" s="34" t="s">
        <v>100</v>
      </c>
      <c r="F157" s="4" t="s">
        <v>51</v>
      </c>
      <c r="G157" s="22"/>
      <c r="H157" s="23" t="e">
        <f>'S-Curve'!#REF!</f>
        <v>#REF!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CD157" s="24"/>
    </row>
    <row r="158" spans="5:82">
      <c r="G158" s="22"/>
      <c r="H158" s="23" t="e">
        <f>H157/33</f>
        <v>#REF!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CD158" s="24"/>
    </row>
    <row r="159" spans="5:82">
      <c r="G159" s="27">
        <v>0.1</v>
      </c>
      <c r="H159" s="27">
        <v>0.2</v>
      </c>
      <c r="I159" s="27">
        <v>0.3</v>
      </c>
      <c r="J159" s="27">
        <v>0.4</v>
      </c>
      <c r="K159" s="27">
        <v>0.5</v>
      </c>
      <c r="L159" s="27">
        <v>0.6</v>
      </c>
      <c r="M159" s="27">
        <v>0.7</v>
      </c>
      <c r="N159" s="27">
        <v>0.8</v>
      </c>
      <c r="O159" s="27">
        <v>0.9</v>
      </c>
      <c r="P159" s="27">
        <v>1</v>
      </c>
      <c r="Q159" s="27">
        <v>1</v>
      </c>
      <c r="R159" s="27">
        <v>1</v>
      </c>
      <c r="S159" s="27">
        <v>1</v>
      </c>
      <c r="T159" s="27">
        <v>1</v>
      </c>
      <c r="U159" s="27">
        <v>1</v>
      </c>
      <c r="V159" s="27">
        <v>1</v>
      </c>
      <c r="W159" s="27">
        <v>1</v>
      </c>
      <c r="X159" s="27">
        <v>1</v>
      </c>
      <c r="Y159" s="27">
        <v>1</v>
      </c>
      <c r="Z159" s="27">
        <v>1</v>
      </c>
      <c r="AA159" s="27">
        <v>1</v>
      </c>
      <c r="AB159" s="27">
        <v>1</v>
      </c>
      <c r="AC159" s="27">
        <v>1</v>
      </c>
      <c r="AD159" s="27">
        <v>1</v>
      </c>
      <c r="AE159" s="27">
        <v>1</v>
      </c>
      <c r="AF159" s="27">
        <v>1</v>
      </c>
      <c r="AG159" s="27">
        <v>1</v>
      </c>
      <c r="AH159" s="27">
        <v>1</v>
      </c>
      <c r="AI159" s="27">
        <v>1.5</v>
      </c>
      <c r="AJ159" s="27">
        <v>2</v>
      </c>
      <c r="AK159" s="27">
        <v>2</v>
      </c>
      <c r="AL159" s="27">
        <v>2</v>
      </c>
      <c r="AM159" s="27">
        <v>2</v>
      </c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CD159" s="24"/>
    </row>
    <row r="160" spans="5:82">
      <c r="F160" s="9" t="e">
        <f>SUM(G160:BN160)</f>
        <v>#REF!</v>
      </c>
      <c r="G160" s="35" t="e">
        <f>G159*$H$158</f>
        <v>#REF!</v>
      </c>
      <c r="H160" s="35" t="e">
        <f t="shared" ref="H160:AK160" si="32">H159*$H$158</f>
        <v>#REF!</v>
      </c>
      <c r="I160" s="35" t="e">
        <f t="shared" si="32"/>
        <v>#REF!</v>
      </c>
      <c r="J160" s="35" t="e">
        <f t="shared" si="32"/>
        <v>#REF!</v>
      </c>
      <c r="K160" s="35" t="e">
        <f t="shared" si="32"/>
        <v>#REF!</v>
      </c>
      <c r="L160" s="35" t="e">
        <f t="shared" si="32"/>
        <v>#REF!</v>
      </c>
      <c r="M160" s="35" t="e">
        <f t="shared" si="32"/>
        <v>#REF!</v>
      </c>
      <c r="N160" s="35" t="e">
        <f t="shared" si="32"/>
        <v>#REF!</v>
      </c>
      <c r="O160" s="35" t="e">
        <f t="shared" si="32"/>
        <v>#REF!</v>
      </c>
      <c r="P160" s="35" t="e">
        <f t="shared" si="32"/>
        <v>#REF!</v>
      </c>
      <c r="Q160" s="35" t="e">
        <f t="shared" si="32"/>
        <v>#REF!</v>
      </c>
      <c r="R160" s="35" t="e">
        <f t="shared" si="32"/>
        <v>#REF!</v>
      </c>
      <c r="S160" s="35" t="e">
        <f t="shared" si="32"/>
        <v>#REF!</v>
      </c>
      <c r="T160" s="35" t="e">
        <f t="shared" si="32"/>
        <v>#REF!</v>
      </c>
      <c r="U160" s="35" t="e">
        <f t="shared" si="32"/>
        <v>#REF!</v>
      </c>
      <c r="V160" s="35" t="e">
        <f t="shared" si="32"/>
        <v>#REF!</v>
      </c>
      <c r="W160" s="35" t="e">
        <f t="shared" si="32"/>
        <v>#REF!</v>
      </c>
      <c r="X160" s="35" t="e">
        <f t="shared" si="32"/>
        <v>#REF!</v>
      </c>
      <c r="Y160" s="35" t="e">
        <f t="shared" si="32"/>
        <v>#REF!</v>
      </c>
      <c r="Z160" s="35" t="e">
        <f t="shared" si="32"/>
        <v>#REF!</v>
      </c>
      <c r="AA160" s="35" t="e">
        <f t="shared" si="32"/>
        <v>#REF!</v>
      </c>
      <c r="AB160" s="35" t="e">
        <f t="shared" si="32"/>
        <v>#REF!</v>
      </c>
      <c r="AC160" s="35" t="e">
        <f t="shared" si="32"/>
        <v>#REF!</v>
      </c>
      <c r="AD160" s="35" t="e">
        <f t="shared" si="32"/>
        <v>#REF!</v>
      </c>
      <c r="AE160" s="35" t="e">
        <f t="shared" si="32"/>
        <v>#REF!</v>
      </c>
      <c r="AF160" s="35" t="e">
        <f t="shared" si="32"/>
        <v>#REF!</v>
      </c>
      <c r="AG160" s="35" t="e">
        <f t="shared" si="32"/>
        <v>#REF!</v>
      </c>
      <c r="AH160" s="35" t="e">
        <f t="shared" si="32"/>
        <v>#REF!</v>
      </c>
      <c r="AI160" s="35" t="e">
        <f t="shared" si="32"/>
        <v>#REF!</v>
      </c>
      <c r="AJ160" s="35" t="e">
        <f t="shared" si="32"/>
        <v>#REF!</v>
      </c>
      <c r="AK160" s="35" t="e">
        <f t="shared" si="32"/>
        <v>#REF!</v>
      </c>
      <c r="AL160" s="35" t="e">
        <f>AL159*$H$158</f>
        <v>#REF!</v>
      </c>
      <c r="AM160" s="35" t="e">
        <f>AM159*$H$158</f>
        <v>#REF!</v>
      </c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CD160" s="24"/>
    </row>
    <row r="161" spans="5:82">
      <c r="E161" s="5" t="s">
        <v>68</v>
      </c>
      <c r="F161" s="4" t="s">
        <v>33</v>
      </c>
      <c r="G161" s="22"/>
      <c r="H161" s="23" t="e">
        <f>'S-Curve'!#REF!</f>
        <v>#REF!</v>
      </c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4"/>
    </row>
    <row r="162" spans="5:82">
      <c r="G162" s="22"/>
      <c r="H162" s="23" t="e">
        <f>H161/15</f>
        <v>#REF!</v>
      </c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4"/>
    </row>
    <row r="163" spans="5:82">
      <c r="G163" s="27">
        <v>1</v>
      </c>
      <c r="H163" s="27">
        <v>1</v>
      </c>
      <c r="I163" s="27">
        <v>1</v>
      </c>
      <c r="J163" s="27">
        <v>1</v>
      </c>
      <c r="K163" s="27">
        <v>1</v>
      </c>
      <c r="L163" s="27">
        <v>1</v>
      </c>
      <c r="M163" s="27">
        <v>1</v>
      </c>
      <c r="N163" s="27">
        <v>1</v>
      </c>
      <c r="O163" s="27">
        <v>1</v>
      </c>
      <c r="P163" s="27">
        <v>1</v>
      </c>
      <c r="Q163" s="27">
        <v>1</v>
      </c>
      <c r="R163" s="27">
        <v>1</v>
      </c>
      <c r="S163" s="27">
        <v>1</v>
      </c>
      <c r="T163" s="27">
        <v>1</v>
      </c>
      <c r="U163" s="27">
        <v>1</v>
      </c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4"/>
    </row>
    <row r="164" spans="5:82">
      <c r="F164" s="9" t="e">
        <f>SUM(G164:BN164)</f>
        <v>#REF!</v>
      </c>
      <c r="G164" s="35" t="e">
        <f>G163*$H$162</f>
        <v>#REF!</v>
      </c>
      <c r="H164" s="35" t="e">
        <f t="shared" ref="H164:U164" si="33">H163*$H$162</f>
        <v>#REF!</v>
      </c>
      <c r="I164" s="35" t="e">
        <f t="shared" si="33"/>
        <v>#REF!</v>
      </c>
      <c r="J164" s="35" t="e">
        <f t="shared" si="33"/>
        <v>#REF!</v>
      </c>
      <c r="K164" s="35" t="e">
        <f t="shared" si="33"/>
        <v>#REF!</v>
      </c>
      <c r="L164" s="35" t="e">
        <f t="shared" si="33"/>
        <v>#REF!</v>
      </c>
      <c r="M164" s="35" t="e">
        <f t="shared" si="33"/>
        <v>#REF!</v>
      </c>
      <c r="N164" s="35" t="e">
        <f t="shared" si="33"/>
        <v>#REF!</v>
      </c>
      <c r="O164" s="35" t="e">
        <f t="shared" si="33"/>
        <v>#REF!</v>
      </c>
      <c r="P164" s="35" t="e">
        <f t="shared" si="33"/>
        <v>#REF!</v>
      </c>
      <c r="Q164" s="35" t="e">
        <f t="shared" si="33"/>
        <v>#REF!</v>
      </c>
      <c r="R164" s="35" t="e">
        <f t="shared" si="33"/>
        <v>#REF!</v>
      </c>
      <c r="S164" s="35" t="e">
        <f t="shared" si="33"/>
        <v>#REF!</v>
      </c>
      <c r="T164" s="35" t="e">
        <f t="shared" si="33"/>
        <v>#REF!</v>
      </c>
      <c r="U164" s="35" t="e">
        <f t="shared" si="33"/>
        <v>#REF!</v>
      </c>
      <c r="V164" s="35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4"/>
    </row>
    <row r="165" spans="5:82">
      <c r="E165" s="6" t="s">
        <v>69</v>
      </c>
      <c r="F165" s="4" t="s">
        <v>35</v>
      </c>
      <c r="G165" s="22"/>
      <c r="H165" s="23" t="e">
        <f>'S-Curve'!#REF!</f>
        <v>#REF!</v>
      </c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4"/>
    </row>
    <row r="166" spans="5:82">
      <c r="G166" s="22"/>
      <c r="H166" s="23" t="e">
        <f>H165/10</f>
        <v>#REF!</v>
      </c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4"/>
    </row>
    <row r="167" spans="5:82">
      <c r="G167" s="27">
        <v>0.5</v>
      </c>
      <c r="H167" s="27">
        <v>0.5</v>
      </c>
      <c r="I167" s="27">
        <v>1</v>
      </c>
      <c r="J167" s="27">
        <v>1</v>
      </c>
      <c r="K167" s="27">
        <v>1</v>
      </c>
      <c r="L167" s="27">
        <v>1</v>
      </c>
      <c r="M167" s="27">
        <v>1</v>
      </c>
      <c r="N167" s="27">
        <v>1</v>
      </c>
      <c r="O167" s="27">
        <v>1</v>
      </c>
      <c r="P167" s="27">
        <v>2</v>
      </c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4"/>
    </row>
    <row r="168" spans="5:82">
      <c r="F168" s="9" t="e">
        <f>SUM(G168:BN168)</f>
        <v>#REF!</v>
      </c>
      <c r="G168" s="35" t="e">
        <f>G167*$H$166</f>
        <v>#REF!</v>
      </c>
      <c r="H168" s="35" t="e">
        <f t="shared" ref="H168:P168" si="34">H167*$H$166</f>
        <v>#REF!</v>
      </c>
      <c r="I168" s="35" t="e">
        <f t="shared" si="34"/>
        <v>#REF!</v>
      </c>
      <c r="J168" s="35" t="e">
        <f t="shared" si="34"/>
        <v>#REF!</v>
      </c>
      <c r="K168" s="35" t="e">
        <f t="shared" si="34"/>
        <v>#REF!</v>
      </c>
      <c r="L168" s="35" t="e">
        <f t="shared" si="34"/>
        <v>#REF!</v>
      </c>
      <c r="M168" s="35" t="e">
        <f t="shared" si="34"/>
        <v>#REF!</v>
      </c>
      <c r="N168" s="35" t="e">
        <f t="shared" si="34"/>
        <v>#REF!</v>
      </c>
      <c r="O168" s="35" t="e">
        <f t="shared" si="34"/>
        <v>#REF!</v>
      </c>
      <c r="P168" s="35" t="e">
        <f t="shared" si="34"/>
        <v>#REF!</v>
      </c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6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4"/>
    </row>
    <row r="169" spans="5:82">
      <c r="E169" s="5" t="s">
        <v>70</v>
      </c>
      <c r="F169" s="4" t="s">
        <v>12</v>
      </c>
      <c r="G169" s="22"/>
      <c r="H169" s="23" t="e">
        <f>'S-Curve'!#REF!</f>
        <v>#REF!</v>
      </c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4"/>
    </row>
    <row r="170" spans="5:82">
      <c r="G170" s="22"/>
      <c r="H170" s="23" t="e">
        <f>H169/27</f>
        <v>#REF!</v>
      </c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4"/>
    </row>
    <row r="171" spans="5:82">
      <c r="G171" s="27">
        <v>1</v>
      </c>
      <c r="H171" s="27">
        <v>1</v>
      </c>
      <c r="I171" s="27">
        <v>1</v>
      </c>
      <c r="J171" s="27">
        <v>1</v>
      </c>
      <c r="K171" s="27">
        <v>1</v>
      </c>
      <c r="L171" s="27">
        <v>1</v>
      </c>
      <c r="M171" s="27">
        <v>1</v>
      </c>
      <c r="N171" s="27">
        <v>1</v>
      </c>
      <c r="O171" s="27">
        <v>1</v>
      </c>
      <c r="P171" s="27">
        <v>1</v>
      </c>
      <c r="Q171" s="27">
        <v>1</v>
      </c>
      <c r="R171" s="27">
        <v>1</v>
      </c>
      <c r="S171" s="27">
        <v>1</v>
      </c>
      <c r="T171" s="27">
        <v>1</v>
      </c>
      <c r="U171" s="27">
        <v>1</v>
      </c>
      <c r="V171" s="27">
        <v>1</v>
      </c>
      <c r="W171" s="27">
        <v>1</v>
      </c>
      <c r="X171" s="27">
        <v>1</v>
      </c>
      <c r="Y171" s="27">
        <v>1</v>
      </c>
      <c r="Z171" s="27">
        <v>1</v>
      </c>
      <c r="AA171" s="27">
        <v>1</v>
      </c>
      <c r="AB171" s="27">
        <v>1</v>
      </c>
      <c r="AC171" s="27">
        <v>1</v>
      </c>
      <c r="AD171" s="27">
        <v>1</v>
      </c>
      <c r="AE171" s="27">
        <v>1</v>
      </c>
      <c r="AF171" s="27">
        <v>1</v>
      </c>
      <c r="AG171" s="27">
        <v>1</v>
      </c>
      <c r="AH171" s="27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4"/>
    </row>
    <row r="172" spans="5:82">
      <c r="F172" s="9" t="e">
        <f>SUM(G172:BN172)</f>
        <v>#REF!</v>
      </c>
      <c r="G172" s="35" t="e">
        <f>G171*$H$170</f>
        <v>#REF!</v>
      </c>
      <c r="H172" s="35" t="e">
        <f t="shared" ref="H172:AG172" si="35">H171*$H$170</f>
        <v>#REF!</v>
      </c>
      <c r="I172" s="35" t="e">
        <f t="shared" si="35"/>
        <v>#REF!</v>
      </c>
      <c r="J172" s="35" t="e">
        <f t="shared" si="35"/>
        <v>#REF!</v>
      </c>
      <c r="K172" s="35" t="e">
        <f t="shared" si="35"/>
        <v>#REF!</v>
      </c>
      <c r="L172" s="35" t="e">
        <f t="shared" si="35"/>
        <v>#REF!</v>
      </c>
      <c r="M172" s="35" t="e">
        <f t="shared" si="35"/>
        <v>#REF!</v>
      </c>
      <c r="N172" s="35" t="e">
        <f t="shared" si="35"/>
        <v>#REF!</v>
      </c>
      <c r="O172" s="35" t="e">
        <f t="shared" si="35"/>
        <v>#REF!</v>
      </c>
      <c r="P172" s="35" t="e">
        <f t="shared" si="35"/>
        <v>#REF!</v>
      </c>
      <c r="Q172" s="35" t="e">
        <f t="shared" si="35"/>
        <v>#REF!</v>
      </c>
      <c r="R172" s="35" t="e">
        <f t="shared" si="35"/>
        <v>#REF!</v>
      </c>
      <c r="S172" s="35" t="e">
        <f t="shared" si="35"/>
        <v>#REF!</v>
      </c>
      <c r="T172" s="35" t="e">
        <f t="shared" si="35"/>
        <v>#REF!</v>
      </c>
      <c r="U172" s="35" t="e">
        <f t="shared" si="35"/>
        <v>#REF!</v>
      </c>
      <c r="V172" s="35" t="e">
        <f t="shared" si="35"/>
        <v>#REF!</v>
      </c>
      <c r="W172" s="35" t="e">
        <f t="shared" si="35"/>
        <v>#REF!</v>
      </c>
      <c r="X172" s="35" t="e">
        <f t="shared" si="35"/>
        <v>#REF!</v>
      </c>
      <c r="Y172" s="35" t="e">
        <f t="shared" si="35"/>
        <v>#REF!</v>
      </c>
      <c r="Z172" s="35" t="e">
        <f t="shared" si="35"/>
        <v>#REF!</v>
      </c>
      <c r="AA172" s="35" t="e">
        <f t="shared" si="35"/>
        <v>#REF!</v>
      </c>
      <c r="AB172" s="35" t="e">
        <f t="shared" si="35"/>
        <v>#REF!</v>
      </c>
      <c r="AC172" s="35" t="e">
        <f t="shared" si="35"/>
        <v>#REF!</v>
      </c>
      <c r="AD172" s="35" t="e">
        <f t="shared" si="35"/>
        <v>#REF!</v>
      </c>
      <c r="AE172" s="35" t="e">
        <f t="shared" si="35"/>
        <v>#REF!</v>
      </c>
      <c r="AF172" s="35" t="e">
        <f t="shared" si="35"/>
        <v>#REF!</v>
      </c>
      <c r="AG172" s="35" t="e">
        <f t="shared" si="35"/>
        <v>#REF!</v>
      </c>
      <c r="AH172" s="35"/>
      <c r="AI172" s="36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4"/>
    </row>
    <row r="173" spans="5:82">
      <c r="E173" s="5" t="s">
        <v>71</v>
      </c>
      <c r="F173" s="4" t="s">
        <v>51</v>
      </c>
      <c r="G173" s="22"/>
      <c r="H173" s="23" t="e">
        <f>'S-Curve'!#REF!</f>
        <v>#REF!</v>
      </c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4"/>
    </row>
    <row r="174" spans="5:82">
      <c r="G174" s="22"/>
      <c r="H174" s="23" t="e">
        <f>H173/34</f>
        <v>#REF!</v>
      </c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4"/>
    </row>
    <row r="175" spans="5:82">
      <c r="G175" s="27">
        <v>1</v>
      </c>
      <c r="H175" s="27">
        <v>1</v>
      </c>
      <c r="I175" s="27">
        <v>1</v>
      </c>
      <c r="J175" s="27">
        <v>1</v>
      </c>
      <c r="K175" s="27">
        <v>1</v>
      </c>
      <c r="L175" s="27">
        <v>1</v>
      </c>
      <c r="M175" s="27">
        <v>1</v>
      </c>
      <c r="N175" s="27">
        <v>1</v>
      </c>
      <c r="O175" s="27">
        <v>1</v>
      </c>
      <c r="P175" s="27">
        <v>1</v>
      </c>
      <c r="Q175" s="27">
        <v>1</v>
      </c>
      <c r="R175" s="27">
        <v>1</v>
      </c>
      <c r="S175" s="27">
        <v>1</v>
      </c>
      <c r="T175" s="27">
        <v>1</v>
      </c>
      <c r="U175" s="27">
        <v>1</v>
      </c>
      <c r="V175" s="27">
        <v>1</v>
      </c>
      <c r="W175" s="27">
        <v>1</v>
      </c>
      <c r="X175" s="27">
        <v>1</v>
      </c>
      <c r="Y175" s="27">
        <v>1</v>
      </c>
      <c r="Z175" s="27">
        <v>1</v>
      </c>
      <c r="AA175" s="27">
        <v>1</v>
      </c>
      <c r="AB175" s="27">
        <v>1</v>
      </c>
      <c r="AC175" s="27">
        <v>1</v>
      </c>
      <c r="AD175" s="27">
        <v>1</v>
      </c>
      <c r="AE175" s="27">
        <v>1</v>
      </c>
      <c r="AF175" s="27">
        <v>1</v>
      </c>
      <c r="AG175" s="27">
        <v>1</v>
      </c>
      <c r="AH175" s="27">
        <v>1</v>
      </c>
      <c r="AI175" s="27">
        <v>1</v>
      </c>
      <c r="AJ175" s="27">
        <v>1</v>
      </c>
      <c r="AK175" s="27">
        <v>1</v>
      </c>
      <c r="AL175" s="27">
        <v>1</v>
      </c>
      <c r="AM175" s="27">
        <v>1</v>
      </c>
      <c r="AN175" s="27">
        <v>1</v>
      </c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4"/>
    </row>
    <row r="176" spans="5:82">
      <c r="F176" s="9" t="e">
        <f>SUM(G176:BN176)</f>
        <v>#REF!</v>
      </c>
      <c r="G176" s="35" t="e">
        <f>G175*$H$174</f>
        <v>#REF!</v>
      </c>
      <c r="H176" s="35" t="e">
        <f t="shared" ref="H176:T176" si="36">H175*$H$174</f>
        <v>#REF!</v>
      </c>
      <c r="I176" s="35" t="e">
        <f t="shared" si="36"/>
        <v>#REF!</v>
      </c>
      <c r="J176" s="35" t="e">
        <f t="shared" si="36"/>
        <v>#REF!</v>
      </c>
      <c r="K176" s="35" t="e">
        <f t="shared" si="36"/>
        <v>#REF!</v>
      </c>
      <c r="L176" s="35" t="e">
        <f t="shared" si="36"/>
        <v>#REF!</v>
      </c>
      <c r="M176" s="35" t="e">
        <f t="shared" si="36"/>
        <v>#REF!</v>
      </c>
      <c r="N176" s="35" t="e">
        <f t="shared" si="36"/>
        <v>#REF!</v>
      </c>
      <c r="O176" s="35" t="e">
        <f t="shared" si="36"/>
        <v>#REF!</v>
      </c>
      <c r="P176" s="35" t="e">
        <f t="shared" si="36"/>
        <v>#REF!</v>
      </c>
      <c r="Q176" s="35" t="e">
        <f t="shared" si="36"/>
        <v>#REF!</v>
      </c>
      <c r="R176" s="35" t="e">
        <f t="shared" si="36"/>
        <v>#REF!</v>
      </c>
      <c r="S176" s="35" t="e">
        <f t="shared" si="36"/>
        <v>#REF!</v>
      </c>
      <c r="T176" s="35" t="e">
        <f t="shared" si="36"/>
        <v>#REF!</v>
      </c>
      <c r="U176" s="35" t="e">
        <f t="shared" ref="U176:AN176" si="37">U175*$H$174</f>
        <v>#REF!</v>
      </c>
      <c r="V176" s="35" t="e">
        <f t="shared" si="37"/>
        <v>#REF!</v>
      </c>
      <c r="W176" s="35" t="e">
        <f t="shared" si="37"/>
        <v>#REF!</v>
      </c>
      <c r="X176" s="35" t="e">
        <f t="shared" si="37"/>
        <v>#REF!</v>
      </c>
      <c r="Y176" s="35" t="e">
        <f t="shared" si="37"/>
        <v>#REF!</v>
      </c>
      <c r="Z176" s="35" t="e">
        <f t="shared" si="37"/>
        <v>#REF!</v>
      </c>
      <c r="AA176" s="35" t="e">
        <f t="shared" si="37"/>
        <v>#REF!</v>
      </c>
      <c r="AB176" s="35" t="e">
        <f t="shared" si="37"/>
        <v>#REF!</v>
      </c>
      <c r="AC176" s="35" t="e">
        <f t="shared" si="37"/>
        <v>#REF!</v>
      </c>
      <c r="AD176" s="35" t="e">
        <f t="shared" si="37"/>
        <v>#REF!</v>
      </c>
      <c r="AE176" s="35" t="e">
        <f t="shared" si="37"/>
        <v>#REF!</v>
      </c>
      <c r="AF176" s="35" t="e">
        <f t="shared" si="37"/>
        <v>#REF!</v>
      </c>
      <c r="AG176" s="35" t="e">
        <f t="shared" si="37"/>
        <v>#REF!</v>
      </c>
      <c r="AH176" s="35" t="e">
        <f t="shared" si="37"/>
        <v>#REF!</v>
      </c>
      <c r="AI176" s="35" t="e">
        <f t="shared" si="37"/>
        <v>#REF!</v>
      </c>
      <c r="AJ176" s="35" t="e">
        <f t="shared" si="37"/>
        <v>#REF!</v>
      </c>
      <c r="AK176" s="35" t="e">
        <f t="shared" si="37"/>
        <v>#REF!</v>
      </c>
      <c r="AL176" s="35" t="e">
        <f t="shared" si="37"/>
        <v>#REF!</v>
      </c>
      <c r="AM176" s="35" t="e">
        <f t="shared" si="37"/>
        <v>#REF!</v>
      </c>
      <c r="AN176" s="35" t="e">
        <f t="shared" si="37"/>
        <v>#REF!</v>
      </c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4"/>
    </row>
    <row r="177" spans="5:82">
      <c r="E177" s="5" t="s">
        <v>73</v>
      </c>
      <c r="F177" s="4" t="s">
        <v>33</v>
      </c>
      <c r="G177" s="22"/>
      <c r="H177" s="8" t="e">
        <f>'S-Curve'!#REF!</f>
        <v>#REF!</v>
      </c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4"/>
    </row>
    <row r="178" spans="5:82">
      <c r="G178" s="22"/>
      <c r="H178" s="23" t="e">
        <f>H177/8</f>
        <v>#REF!</v>
      </c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4"/>
    </row>
    <row r="179" spans="5:82">
      <c r="G179" s="27">
        <v>1</v>
      </c>
      <c r="H179" s="27">
        <v>1</v>
      </c>
      <c r="I179" s="27">
        <v>1</v>
      </c>
      <c r="J179" s="27">
        <v>1</v>
      </c>
      <c r="K179" s="27">
        <v>1</v>
      </c>
      <c r="L179" s="27">
        <v>1</v>
      </c>
      <c r="M179" s="27">
        <v>1</v>
      </c>
      <c r="N179" s="27">
        <v>1</v>
      </c>
      <c r="O179" s="27"/>
      <c r="P179" s="27"/>
      <c r="Q179" s="27"/>
      <c r="R179" s="27"/>
      <c r="S179" s="27"/>
      <c r="T179" s="27"/>
      <c r="U179" s="27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4"/>
    </row>
    <row r="180" spans="5:82">
      <c r="F180" s="9" t="e">
        <f>SUM(G180:BN180)</f>
        <v>#REF!</v>
      </c>
      <c r="G180" s="35" t="e">
        <f>G179*$H$178</f>
        <v>#REF!</v>
      </c>
      <c r="H180" s="35" t="e">
        <f t="shared" ref="H180:N180" si="38">H179*$H$178</f>
        <v>#REF!</v>
      </c>
      <c r="I180" s="35" t="e">
        <f t="shared" si="38"/>
        <v>#REF!</v>
      </c>
      <c r="J180" s="35" t="e">
        <f t="shared" si="38"/>
        <v>#REF!</v>
      </c>
      <c r="K180" s="35" t="e">
        <f t="shared" si="38"/>
        <v>#REF!</v>
      </c>
      <c r="L180" s="35" t="e">
        <f t="shared" si="38"/>
        <v>#REF!</v>
      </c>
      <c r="M180" s="35" t="e">
        <f t="shared" si="38"/>
        <v>#REF!</v>
      </c>
      <c r="N180" s="35" t="e">
        <f t="shared" si="38"/>
        <v>#REF!</v>
      </c>
      <c r="O180" s="35" t="e">
        <f t="shared" ref="O180:U180" si="39">O179*$H$174</f>
        <v>#REF!</v>
      </c>
      <c r="P180" s="35" t="e">
        <f t="shared" si="39"/>
        <v>#REF!</v>
      </c>
      <c r="Q180" s="35" t="e">
        <f t="shared" si="39"/>
        <v>#REF!</v>
      </c>
      <c r="R180" s="35" t="e">
        <f t="shared" si="39"/>
        <v>#REF!</v>
      </c>
      <c r="S180" s="35" t="e">
        <f t="shared" si="39"/>
        <v>#REF!</v>
      </c>
      <c r="T180" s="35" t="e">
        <f t="shared" si="39"/>
        <v>#REF!</v>
      </c>
      <c r="U180" s="35" t="e">
        <f t="shared" si="39"/>
        <v>#REF!</v>
      </c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4"/>
    </row>
    <row r="181" spans="5:82">
      <c r="E181" s="5" t="s">
        <v>74</v>
      </c>
      <c r="F181" s="4" t="s">
        <v>35</v>
      </c>
      <c r="G181" s="22"/>
      <c r="H181" s="8" t="e">
        <f>'S-Curve'!#REF!</f>
        <v>#REF!</v>
      </c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4"/>
    </row>
    <row r="182" spans="5:82">
      <c r="G182" s="22"/>
      <c r="H182" s="23" t="e">
        <f>H181/15</f>
        <v>#REF!</v>
      </c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4"/>
    </row>
    <row r="183" spans="5:82">
      <c r="G183" s="27">
        <v>1</v>
      </c>
      <c r="H183" s="27">
        <v>1</v>
      </c>
      <c r="I183" s="27">
        <v>1</v>
      </c>
      <c r="J183" s="27">
        <v>1</v>
      </c>
      <c r="K183" s="27">
        <v>1</v>
      </c>
      <c r="L183" s="27">
        <v>1</v>
      </c>
      <c r="M183" s="27">
        <v>1</v>
      </c>
      <c r="N183" s="27">
        <v>1</v>
      </c>
      <c r="O183" s="27">
        <v>1</v>
      </c>
      <c r="P183" s="27">
        <v>1</v>
      </c>
      <c r="Q183" s="27">
        <v>1</v>
      </c>
      <c r="R183" s="27">
        <v>1</v>
      </c>
      <c r="S183" s="27">
        <v>1</v>
      </c>
      <c r="T183" s="27">
        <v>1</v>
      </c>
      <c r="U183" s="27">
        <v>1</v>
      </c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4"/>
    </row>
    <row r="184" spans="5:82">
      <c r="F184" s="9" t="e">
        <f>SUM(G184:BN184)</f>
        <v>#REF!</v>
      </c>
      <c r="G184" s="35" t="e">
        <f>G183*$H$182</f>
        <v>#REF!</v>
      </c>
      <c r="H184" s="35" t="e">
        <f t="shared" ref="H184:N184" si="40">H183*$H$182</f>
        <v>#REF!</v>
      </c>
      <c r="I184" s="35" t="e">
        <f t="shared" si="40"/>
        <v>#REF!</v>
      </c>
      <c r="J184" s="35" t="e">
        <f t="shared" si="40"/>
        <v>#REF!</v>
      </c>
      <c r="K184" s="35" t="e">
        <f t="shared" si="40"/>
        <v>#REF!</v>
      </c>
      <c r="L184" s="35" t="e">
        <f t="shared" si="40"/>
        <v>#REF!</v>
      </c>
      <c r="M184" s="35" t="e">
        <f t="shared" si="40"/>
        <v>#REF!</v>
      </c>
      <c r="N184" s="35" t="e">
        <f t="shared" si="40"/>
        <v>#REF!</v>
      </c>
      <c r="O184" s="35" t="e">
        <f t="shared" ref="O184:U184" si="41">O183*$H$182</f>
        <v>#REF!</v>
      </c>
      <c r="P184" s="35" t="e">
        <f t="shared" si="41"/>
        <v>#REF!</v>
      </c>
      <c r="Q184" s="35" t="e">
        <f t="shared" si="41"/>
        <v>#REF!</v>
      </c>
      <c r="R184" s="35" t="e">
        <f t="shared" si="41"/>
        <v>#REF!</v>
      </c>
      <c r="S184" s="35" t="e">
        <f t="shared" si="41"/>
        <v>#REF!</v>
      </c>
      <c r="T184" s="35" t="e">
        <f t="shared" si="41"/>
        <v>#REF!</v>
      </c>
      <c r="U184" s="35" t="e">
        <f t="shared" si="41"/>
        <v>#REF!</v>
      </c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4"/>
    </row>
    <row r="185" spans="5:82">
      <c r="E185" s="5" t="s">
        <v>75</v>
      </c>
      <c r="F185" s="4" t="s">
        <v>12</v>
      </c>
      <c r="G185" s="22"/>
      <c r="H185" s="8" t="e">
        <f>'S-Curve'!#REF!</f>
        <v>#REF!</v>
      </c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4"/>
    </row>
    <row r="186" spans="5:82">
      <c r="G186" s="22"/>
      <c r="H186" s="23" t="e">
        <f>H185/6</f>
        <v>#REF!</v>
      </c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4"/>
    </row>
    <row r="187" spans="5:82">
      <c r="G187" s="27">
        <v>1</v>
      </c>
      <c r="H187" s="27">
        <v>1</v>
      </c>
      <c r="I187" s="27">
        <v>1</v>
      </c>
      <c r="J187" s="27">
        <v>1</v>
      </c>
      <c r="K187" s="27">
        <v>1</v>
      </c>
      <c r="L187" s="27">
        <v>1</v>
      </c>
      <c r="M187" s="27"/>
      <c r="N187" s="27"/>
      <c r="O187" s="27"/>
      <c r="P187" s="27"/>
      <c r="Q187" s="27"/>
      <c r="R187" s="27"/>
      <c r="S187" s="27"/>
      <c r="T187" s="27"/>
      <c r="U187" s="27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4"/>
    </row>
    <row r="188" spans="5:82">
      <c r="F188" s="9" t="e">
        <f>SUM(G188:BN188)</f>
        <v>#REF!</v>
      </c>
      <c r="G188" s="35" t="e">
        <f t="shared" ref="G188:L188" si="42">G187*$H$186</f>
        <v>#REF!</v>
      </c>
      <c r="H188" s="35" t="e">
        <f t="shared" si="42"/>
        <v>#REF!</v>
      </c>
      <c r="I188" s="35" t="e">
        <f t="shared" si="42"/>
        <v>#REF!</v>
      </c>
      <c r="J188" s="35" t="e">
        <f t="shared" si="42"/>
        <v>#REF!</v>
      </c>
      <c r="K188" s="35" t="e">
        <f t="shared" si="42"/>
        <v>#REF!</v>
      </c>
      <c r="L188" s="35" t="e">
        <f t="shared" si="42"/>
        <v>#REF!</v>
      </c>
      <c r="M188" s="35"/>
      <c r="N188" s="35"/>
      <c r="O188" s="35"/>
      <c r="P188" s="35"/>
      <c r="Q188" s="35"/>
      <c r="R188" s="35"/>
      <c r="S188" s="35"/>
      <c r="T188" s="35"/>
      <c r="U188" s="35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4"/>
    </row>
    <row r="189" spans="5:82">
      <c r="E189" s="5" t="s">
        <v>76</v>
      </c>
      <c r="F189" s="4" t="s">
        <v>51</v>
      </c>
      <c r="G189" s="22"/>
      <c r="H189" s="23" t="e">
        <f>'S-Curve'!#REF!</f>
        <v>#REF!</v>
      </c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4"/>
    </row>
    <row r="190" spans="5:82">
      <c r="G190" s="22"/>
      <c r="H190" s="23" t="e">
        <f>H189/25</f>
        <v>#REF!</v>
      </c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4"/>
    </row>
    <row r="191" spans="5:82">
      <c r="G191" s="27">
        <v>1</v>
      </c>
      <c r="H191" s="27">
        <v>1</v>
      </c>
      <c r="I191" s="27">
        <v>1</v>
      </c>
      <c r="J191" s="27">
        <v>1</v>
      </c>
      <c r="K191" s="27">
        <v>1</v>
      </c>
      <c r="L191" s="27">
        <v>1</v>
      </c>
      <c r="M191" s="27">
        <v>1</v>
      </c>
      <c r="N191" s="27">
        <v>1</v>
      </c>
      <c r="O191" s="27">
        <v>1</v>
      </c>
      <c r="P191" s="27">
        <v>1</v>
      </c>
      <c r="Q191" s="27">
        <v>1</v>
      </c>
      <c r="R191" s="27">
        <v>1</v>
      </c>
      <c r="S191" s="27">
        <v>1</v>
      </c>
      <c r="T191" s="27">
        <v>1</v>
      </c>
      <c r="U191" s="27">
        <v>1</v>
      </c>
      <c r="V191" s="27">
        <v>1</v>
      </c>
      <c r="W191" s="27">
        <v>1</v>
      </c>
      <c r="X191" s="27">
        <v>1</v>
      </c>
      <c r="Y191" s="27">
        <v>1</v>
      </c>
      <c r="Z191" s="27">
        <v>1</v>
      </c>
      <c r="AA191" s="27">
        <v>1</v>
      </c>
      <c r="AB191" s="27">
        <v>1</v>
      </c>
      <c r="AC191" s="27">
        <v>1</v>
      </c>
      <c r="AD191" s="27">
        <v>1</v>
      </c>
      <c r="AE191" s="27">
        <v>1</v>
      </c>
      <c r="AF191" s="27"/>
      <c r="AG191" s="27"/>
      <c r="AH191" s="27"/>
      <c r="AI191" s="27"/>
      <c r="AJ191" s="27"/>
      <c r="AK191" s="27"/>
      <c r="AL191" s="27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4"/>
    </row>
    <row r="192" spans="5:82">
      <c r="F192" s="9" t="e">
        <f>SUM(G192:BN192)</f>
        <v>#REF!</v>
      </c>
      <c r="G192" s="35" t="e">
        <f>G191*$H$190</f>
        <v>#REF!</v>
      </c>
      <c r="H192" s="35" t="e">
        <f t="shared" ref="H192:AE192" si="43">H191*$H$190</f>
        <v>#REF!</v>
      </c>
      <c r="I192" s="35" t="e">
        <f t="shared" si="43"/>
        <v>#REF!</v>
      </c>
      <c r="J192" s="35" t="e">
        <f t="shared" si="43"/>
        <v>#REF!</v>
      </c>
      <c r="K192" s="35" t="e">
        <f t="shared" si="43"/>
        <v>#REF!</v>
      </c>
      <c r="L192" s="35" t="e">
        <f t="shared" si="43"/>
        <v>#REF!</v>
      </c>
      <c r="M192" s="35" t="e">
        <f t="shared" si="43"/>
        <v>#REF!</v>
      </c>
      <c r="N192" s="35" t="e">
        <f t="shared" si="43"/>
        <v>#REF!</v>
      </c>
      <c r="O192" s="35" t="e">
        <f t="shared" si="43"/>
        <v>#REF!</v>
      </c>
      <c r="P192" s="35" t="e">
        <f t="shared" si="43"/>
        <v>#REF!</v>
      </c>
      <c r="Q192" s="35" t="e">
        <f t="shared" si="43"/>
        <v>#REF!</v>
      </c>
      <c r="R192" s="35" t="e">
        <f t="shared" si="43"/>
        <v>#REF!</v>
      </c>
      <c r="S192" s="35" t="e">
        <f t="shared" si="43"/>
        <v>#REF!</v>
      </c>
      <c r="T192" s="35" t="e">
        <f t="shared" si="43"/>
        <v>#REF!</v>
      </c>
      <c r="U192" s="35" t="e">
        <f t="shared" si="43"/>
        <v>#REF!</v>
      </c>
      <c r="V192" s="35" t="e">
        <f t="shared" si="43"/>
        <v>#REF!</v>
      </c>
      <c r="W192" s="35" t="e">
        <f t="shared" si="43"/>
        <v>#REF!</v>
      </c>
      <c r="X192" s="35" t="e">
        <f t="shared" si="43"/>
        <v>#REF!</v>
      </c>
      <c r="Y192" s="35" t="e">
        <f t="shared" si="43"/>
        <v>#REF!</v>
      </c>
      <c r="Z192" s="35" t="e">
        <f t="shared" si="43"/>
        <v>#REF!</v>
      </c>
      <c r="AA192" s="35" t="e">
        <f t="shared" si="43"/>
        <v>#REF!</v>
      </c>
      <c r="AB192" s="35" t="e">
        <f t="shared" si="43"/>
        <v>#REF!</v>
      </c>
      <c r="AC192" s="35" t="e">
        <f t="shared" si="43"/>
        <v>#REF!</v>
      </c>
      <c r="AD192" s="35" t="e">
        <f t="shared" si="43"/>
        <v>#REF!</v>
      </c>
      <c r="AE192" s="35" t="e">
        <f t="shared" si="43"/>
        <v>#REF!</v>
      </c>
      <c r="AF192" s="35"/>
      <c r="AG192" s="35"/>
      <c r="AH192" s="35"/>
      <c r="AI192" s="35"/>
      <c r="AJ192" s="35"/>
      <c r="AK192" s="35"/>
      <c r="AL192" s="35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4"/>
    </row>
    <row r="193" spans="5:82">
      <c r="E193" s="34" t="s">
        <v>78</v>
      </c>
      <c r="F193" s="4" t="s">
        <v>79</v>
      </c>
      <c r="G193" s="22"/>
      <c r="H193" s="8" t="e">
        <f>'S-Curve'!#REF!</f>
        <v>#REF!</v>
      </c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4"/>
    </row>
    <row r="194" spans="5:82">
      <c r="G194" s="22"/>
      <c r="H194" s="23" t="e">
        <f>H193/6</f>
        <v>#REF!</v>
      </c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4"/>
    </row>
    <row r="195" spans="5:82">
      <c r="G195" s="27">
        <v>1</v>
      </c>
      <c r="H195" s="27">
        <v>1</v>
      </c>
      <c r="I195" s="27">
        <v>1</v>
      </c>
      <c r="J195" s="27">
        <v>1</v>
      </c>
      <c r="K195" s="27">
        <v>1</v>
      </c>
      <c r="L195" s="27">
        <v>1</v>
      </c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4"/>
    </row>
    <row r="196" spans="5:82">
      <c r="F196" s="9" t="e">
        <f>SUM(G196:BN196)</f>
        <v>#REF!</v>
      </c>
      <c r="G196" s="35" t="e">
        <f t="shared" ref="G196:L196" si="44">G195*$H$194</f>
        <v>#REF!</v>
      </c>
      <c r="H196" s="35" t="e">
        <f t="shared" si="44"/>
        <v>#REF!</v>
      </c>
      <c r="I196" s="35" t="e">
        <f t="shared" si="44"/>
        <v>#REF!</v>
      </c>
      <c r="J196" s="35" t="e">
        <f t="shared" si="44"/>
        <v>#REF!</v>
      </c>
      <c r="K196" s="35" t="e">
        <f t="shared" si="44"/>
        <v>#REF!</v>
      </c>
      <c r="L196" s="35" t="e">
        <f t="shared" si="44"/>
        <v>#REF!</v>
      </c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4"/>
    </row>
    <row r="197" spans="5:82">
      <c r="E197" s="6" t="s">
        <v>84</v>
      </c>
      <c r="F197" s="4" t="s">
        <v>80</v>
      </c>
      <c r="G197" s="22"/>
      <c r="H197" s="8" t="e">
        <f>'S-Curve'!#REF!</f>
        <v>#REF!</v>
      </c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4"/>
    </row>
    <row r="198" spans="5:82">
      <c r="G198" s="22"/>
      <c r="H198" s="23" t="e">
        <f>H197/15</f>
        <v>#REF!</v>
      </c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4"/>
    </row>
    <row r="199" spans="5:82">
      <c r="G199" s="27">
        <v>1</v>
      </c>
      <c r="H199" s="27">
        <v>1</v>
      </c>
      <c r="I199" s="27">
        <v>1</v>
      </c>
      <c r="J199" s="27">
        <v>1</v>
      </c>
      <c r="K199" s="27">
        <v>1</v>
      </c>
      <c r="L199" s="27">
        <v>1</v>
      </c>
      <c r="M199" s="27">
        <v>1</v>
      </c>
      <c r="N199" s="27">
        <v>1</v>
      </c>
      <c r="O199" s="27">
        <v>1</v>
      </c>
      <c r="P199" s="27">
        <v>1</v>
      </c>
      <c r="Q199" s="27">
        <v>1</v>
      </c>
      <c r="R199" s="27">
        <v>1</v>
      </c>
      <c r="S199" s="27">
        <v>1</v>
      </c>
      <c r="T199" s="27">
        <v>1</v>
      </c>
      <c r="U199" s="27">
        <v>1</v>
      </c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4"/>
    </row>
    <row r="200" spans="5:82">
      <c r="F200" s="9" t="e">
        <f>SUM(G200:BN200)</f>
        <v>#REF!</v>
      </c>
      <c r="G200" s="35" t="e">
        <f>G199*$H$198</f>
        <v>#REF!</v>
      </c>
      <c r="H200" s="35" t="e">
        <f t="shared" ref="H200:S200" si="45">H199*$H$198</f>
        <v>#REF!</v>
      </c>
      <c r="I200" s="35" t="e">
        <f t="shared" si="45"/>
        <v>#REF!</v>
      </c>
      <c r="J200" s="35" t="e">
        <f t="shared" si="45"/>
        <v>#REF!</v>
      </c>
      <c r="K200" s="35" t="e">
        <f t="shared" si="45"/>
        <v>#REF!</v>
      </c>
      <c r="L200" s="35" t="e">
        <f t="shared" si="45"/>
        <v>#REF!</v>
      </c>
      <c r="M200" s="35" t="e">
        <f t="shared" si="45"/>
        <v>#REF!</v>
      </c>
      <c r="N200" s="35" t="e">
        <f t="shared" si="45"/>
        <v>#REF!</v>
      </c>
      <c r="O200" s="35" t="e">
        <f t="shared" si="45"/>
        <v>#REF!</v>
      </c>
      <c r="P200" s="35" t="e">
        <f t="shared" si="45"/>
        <v>#REF!</v>
      </c>
      <c r="Q200" s="35" t="e">
        <f t="shared" si="45"/>
        <v>#REF!</v>
      </c>
      <c r="R200" s="35" t="e">
        <f t="shared" si="45"/>
        <v>#REF!</v>
      </c>
      <c r="S200" s="35" t="e">
        <f t="shared" si="45"/>
        <v>#REF!</v>
      </c>
      <c r="T200" s="35" t="e">
        <f>T199*$H$198</f>
        <v>#REF!</v>
      </c>
      <c r="U200" s="35" t="e">
        <f>U199*$H$198</f>
        <v>#REF!</v>
      </c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4"/>
    </row>
    <row r="201" spans="5:82">
      <c r="E201" s="5" t="s">
        <v>82</v>
      </c>
      <c r="F201" s="4" t="s">
        <v>79</v>
      </c>
      <c r="G201" s="22"/>
      <c r="H201" s="8" t="e">
        <f>'S-Curve'!#REF!</f>
        <v>#REF!</v>
      </c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4"/>
    </row>
    <row r="202" spans="5:82">
      <c r="G202" s="22"/>
      <c r="H202" s="23" t="e">
        <f>H201/6</f>
        <v>#REF!</v>
      </c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4"/>
    </row>
    <row r="203" spans="5:82">
      <c r="G203" s="27">
        <v>1</v>
      </c>
      <c r="H203" s="27">
        <v>1</v>
      </c>
      <c r="I203" s="27">
        <v>1</v>
      </c>
      <c r="J203" s="27">
        <v>1</v>
      </c>
      <c r="K203" s="27">
        <v>1</v>
      </c>
      <c r="L203" s="27">
        <v>1</v>
      </c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4"/>
    </row>
    <row r="204" spans="5:82">
      <c r="F204" s="9" t="e">
        <f>SUM(G204:BN204)</f>
        <v>#REF!</v>
      </c>
      <c r="G204" s="35" t="e">
        <f t="shared" ref="G204:L204" si="46">G203*$H$202</f>
        <v>#REF!</v>
      </c>
      <c r="H204" s="35" t="e">
        <f t="shared" si="46"/>
        <v>#REF!</v>
      </c>
      <c r="I204" s="35" t="e">
        <f t="shared" si="46"/>
        <v>#REF!</v>
      </c>
      <c r="J204" s="35" t="e">
        <f t="shared" si="46"/>
        <v>#REF!</v>
      </c>
      <c r="K204" s="35" t="e">
        <f t="shared" si="46"/>
        <v>#REF!</v>
      </c>
      <c r="L204" s="35" t="e">
        <f t="shared" si="46"/>
        <v>#REF!</v>
      </c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4"/>
    </row>
    <row r="205" spans="5:82">
      <c r="E205" s="38" t="s">
        <v>83</v>
      </c>
      <c r="F205" s="4" t="s">
        <v>80</v>
      </c>
      <c r="G205" s="22"/>
      <c r="H205" s="8" t="e">
        <f>'S-Curve'!#REF!</f>
        <v>#REF!</v>
      </c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4"/>
    </row>
    <row r="206" spans="5:82">
      <c r="G206" s="22"/>
      <c r="H206" s="23" t="e">
        <f>H205/15</f>
        <v>#REF!</v>
      </c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4"/>
    </row>
    <row r="207" spans="5:82">
      <c r="G207" s="27">
        <v>1</v>
      </c>
      <c r="H207" s="27">
        <v>1</v>
      </c>
      <c r="I207" s="27">
        <v>1</v>
      </c>
      <c r="J207" s="27">
        <v>1</v>
      </c>
      <c r="K207" s="27">
        <v>1</v>
      </c>
      <c r="L207" s="27">
        <v>1</v>
      </c>
      <c r="M207" s="27">
        <v>1</v>
      </c>
      <c r="N207" s="27">
        <v>1</v>
      </c>
      <c r="O207" s="27">
        <v>1</v>
      </c>
      <c r="P207" s="27">
        <v>1</v>
      </c>
      <c r="Q207" s="27">
        <v>1</v>
      </c>
      <c r="R207" s="27">
        <v>1</v>
      </c>
      <c r="S207" s="27">
        <v>1</v>
      </c>
      <c r="T207" s="27">
        <v>1</v>
      </c>
      <c r="U207" s="27">
        <v>1</v>
      </c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4"/>
    </row>
    <row r="208" spans="5:82">
      <c r="F208" s="9" t="e">
        <f>SUM(G208:BN208)</f>
        <v>#REF!</v>
      </c>
      <c r="G208" s="35" t="e">
        <f>G207*$H$206</f>
        <v>#REF!</v>
      </c>
      <c r="H208" s="35" t="e">
        <f t="shared" ref="H208:U208" si="47">H207*$H$206</f>
        <v>#REF!</v>
      </c>
      <c r="I208" s="35" t="e">
        <f t="shared" si="47"/>
        <v>#REF!</v>
      </c>
      <c r="J208" s="35" t="e">
        <f t="shared" si="47"/>
        <v>#REF!</v>
      </c>
      <c r="K208" s="35" t="e">
        <f t="shared" si="47"/>
        <v>#REF!</v>
      </c>
      <c r="L208" s="35" t="e">
        <f t="shared" si="47"/>
        <v>#REF!</v>
      </c>
      <c r="M208" s="35" t="e">
        <f t="shared" si="47"/>
        <v>#REF!</v>
      </c>
      <c r="N208" s="35" t="e">
        <f t="shared" si="47"/>
        <v>#REF!</v>
      </c>
      <c r="O208" s="35" t="e">
        <f t="shared" si="47"/>
        <v>#REF!</v>
      </c>
      <c r="P208" s="35" t="e">
        <f t="shared" si="47"/>
        <v>#REF!</v>
      </c>
      <c r="Q208" s="35" t="e">
        <f t="shared" si="47"/>
        <v>#REF!</v>
      </c>
      <c r="R208" s="35" t="e">
        <f t="shared" si="47"/>
        <v>#REF!</v>
      </c>
      <c r="S208" s="35" t="e">
        <f t="shared" si="47"/>
        <v>#REF!</v>
      </c>
      <c r="T208" s="35" t="e">
        <f t="shared" si="47"/>
        <v>#REF!</v>
      </c>
      <c r="U208" s="35" t="e">
        <f t="shared" si="47"/>
        <v>#REF!</v>
      </c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4"/>
    </row>
    <row r="209" spans="5:82">
      <c r="E209" s="34" t="s">
        <v>118</v>
      </c>
      <c r="F209" s="2" t="s">
        <v>10</v>
      </c>
      <c r="G209" s="22"/>
      <c r="H209" s="8" t="e">
        <f>'S-Curve'!#REF!</f>
        <v>#REF!</v>
      </c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4"/>
    </row>
    <row r="210" spans="5:82">
      <c r="G210" s="22"/>
      <c r="H210" s="23" t="e">
        <f>H209/14</f>
        <v>#REF!</v>
      </c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4"/>
    </row>
    <row r="211" spans="5:82">
      <c r="G211" s="27">
        <v>1</v>
      </c>
      <c r="H211" s="27">
        <v>1</v>
      </c>
      <c r="I211" s="27">
        <v>1</v>
      </c>
      <c r="J211" s="27">
        <v>1</v>
      </c>
      <c r="K211" s="27">
        <v>1</v>
      </c>
      <c r="O211" s="27">
        <v>1</v>
      </c>
      <c r="P211" s="27">
        <v>1</v>
      </c>
      <c r="Q211" s="27">
        <v>1</v>
      </c>
      <c r="R211" s="27">
        <v>1</v>
      </c>
      <c r="S211" s="27">
        <v>1</v>
      </c>
      <c r="T211" s="27">
        <v>1</v>
      </c>
      <c r="U211" s="27">
        <v>1</v>
      </c>
      <c r="V211" s="27">
        <v>1</v>
      </c>
      <c r="W211" s="27">
        <v>1</v>
      </c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4"/>
    </row>
    <row r="212" spans="5:82">
      <c r="F212" s="9" t="e">
        <f>SUM(G212:BN212)</f>
        <v>#REF!</v>
      </c>
      <c r="G212" s="35" t="e">
        <f>G211*$H$210</f>
        <v>#REF!</v>
      </c>
      <c r="H212" s="35" t="e">
        <f t="shared" ref="H212:K212" si="48">H211*$H$210</f>
        <v>#REF!</v>
      </c>
      <c r="I212" s="35" t="e">
        <f t="shared" si="48"/>
        <v>#REF!</v>
      </c>
      <c r="J212" s="35" t="e">
        <f t="shared" si="48"/>
        <v>#REF!</v>
      </c>
      <c r="K212" s="35" t="e">
        <f t="shared" si="48"/>
        <v>#REF!</v>
      </c>
      <c r="O212" s="35" t="e">
        <f t="shared" ref="O212:W212" si="49">O211*$H$210</f>
        <v>#REF!</v>
      </c>
      <c r="P212" s="35" t="e">
        <f t="shared" si="49"/>
        <v>#REF!</v>
      </c>
      <c r="Q212" s="35" t="e">
        <f t="shared" si="49"/>
        <v>#REF!</v>
      </c>
      <c r="R212" s="35" t="e">
        <f t="shared" si="49"/>
        <v>#REF!</v>
      </c>
      <c r="S212" s="35" t="e">
        <f t="shared" si="49"/>
        <v>#REF!</v>
      </c>
      <c r="T212" s="35" t="e">
        <f t="shared" si="49"/>
        <v>#REF!</v>
      </c>
      <c r="U212" s="35" t="e">
        <f t="shared" si="49"/>
        <v>#REF!</v>
      </c>
      <c r="V212" s="35" t="e">
        <f t="shared" si="49"/>
        <v>#REF!</v>
      </c>
      <c r="W212" s="35" t="e">
        <f t="shared" si="49"/>
        <v>#REF!</v>
      </c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4"/>
    </row>
    <row r="213" spans="5:82">
      <c r="E213" s="34" t="s">
        <v>119</v>
      </c>
      <c r="F213" s="2" t="s">
        <v>29</v>
      </c>
      <c r="G213" s="22"/>
      <c r="H213" s="8" t="e">
        <f>'S-Curve'!#REF!</f>
        <v>#REF!</v>
      </c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4"/>
    </row>
    <row r="214" spans="5:82">
      <c r="G214" s="22"/>
      <c r="H214" s="23" t="e">
        <f>H213/4</f>
        <v>#REF!</v>
      </c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4"/>
    </row>
    <row r="215" spans="5:82">
      <c r="G215" s="27">
        <v>1</v>
      </c>
      <c r="H215" s="27">
        <v>1</v>
      </c>
      <c r="I215" s="27">
        <v>1</v>
      </c>
      <c r="K215" s="27"/>
      <c r="M215" s="27">
        <v>1</v>
      </c>
      <c r="N215" s="27"/>
      <c r="O215" s="27"/>
      <c r="P215" s="27"/>
      <c r="Q215" s="27"/>
      <c r="R215" s="27"/>
      <c r="S215" s="27"/>
      <c r="T215" s="27"/>
      <c r="U215" s="27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4"/>
    </row>
    <row r="216" spans="5:82">
      <c r="F216" s="9" t="e">
        <f>SUM(G216:BN216)</f>
        <v>#REF!</v>
      </c>
      <c r="G216" s="35" t="e">
        <f>G215*$H$214</f>
        <v>#REF!</v>
      </c>
      <c r="H216" s="35" t="e">
        <f>H215*$H$214</f>
        <v>#REF!</v>
      </c>
      <c r="I216" s="35" t="e">
        <f>I215*$H$214</f>
        <v>#REF!</v>
      </c>
      <c r="K216" s="35"/>
      <c r="M216" s="35" t="e">
        <f>M215*$H$214</f>
        <v>#REF!</v>
      </c>
      <c r="N216" s="35"/>
      <c r="O216" s="35"/>
      <c r="P216" s="35"/>
      <c r="Q216" s="35"/>
      <c r="R216" s="35"/>
      <c r="S216" s="35"/>
      <c r="T216" s="35"/>
      <c r="U216" s="35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4"/>
    </row>
    <row r="217" spans="5:82">
      <c r="E217" s="5" t="s">
        <v>87</v>
      </c>
      <c r="F217" s="4" t="s">
        <v>85</v>
      </c>
      <c r="G217" s="22"/>
      <c r="H217" s="8" t="e">
        <f>'S-Curve'!#REF!</f>
        <v>#REF!</v>
      </c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4"/>
    </row>
    <row r="218" spans="5:82">
      <c r="G218" s="22"/>
      <c r="H218" s="23" t="e">
        <f>H217/4</f>
        <v>#REF!</v>
      </c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4"/>
    </row>
    <row r="219" spans="5:82">
      <c r="G219" s="27">
        <v>1</v>
      </c>
      <c r="H219" s="27">
        <v>1</v>
      </c>
      <c r="I219" s="27">
        <v>1</v>
      </c>
      <c r="K219" s="27"/>
      <c r="L219" s="27">
        <v>1</v>
      </c>
      <c r="M219" s="27"/>
      <c r="N219" s="27"/>
      <c r="O219" s="27"/>
      <c r="P219" s="27"/>
      <c r="Q219" s="27"/>
      <c r="R219" s="27"/>
      <c r="S219" s="27"/>
      <c r="T219" s="27"/>
      <c r="U219" s="27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4"/>
    </row>
    <row r="220" spans="5:82">
      <c r="F220" s="9" t="e">
        <f>SUM(G220:BN220)</f>
        <v>#REF!</v>
      </c>
      <c r="G220" s="35" t="e">
        <f>G219*$H$218</f>
        <v>#REF!</v>
      </c>
      <c r="H220" s="35" t="e">
        <f>H219*$H$218</f>
        <v>#REF!</v>
      </c>
      <c r="I220" s="35" t="e">
        <f>I219*$H$218</f>
        <v>#REF!</v>
      </c>
      <c r="K220" s="35"/>
      <c r="L220" s="35" t="e">
        <f>L219*$H$218</f>
        <v>#REF!</v>
      </c>
      <c r="M220" s="35"/>
      <c r="N220" s="35"/>
      <c r="O220" s="35"/>
      <c r="P220" s="35"/>
      <c r="Q220" s="35"/>
      <c r="R220" s="35"/>
      <c r="S220" s="35"/>
      <c r="T220" s="35"/>
      <c r="U220" s="35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4"/>
    </row>
    <row r="221" spans="5:82">
      <c r="E221" s="5" t="s">
        <v>88</v>
      </c>
      <c r="F221" s="4" t="s">
        <v>86</v>
      </c>
      <c r="G221" s="22"/>
      <c r="H221" s="8" t="e">
        <f>'S-Curve'!#REF!</f>
        <v>#REF!</v>
      </c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4"/>
    </row>
    <row r="222" spans="5:82">
      <c r="G222" s="22"/>
      <c r="H222" s="23" t="e">
        <f>H221/4</f>
        <v>#REF!</v>
      </c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4"/>
    </row>
    <row r="223" spans="5:82">
      <c r="G223" s="27">
        <v>1</v>
      </c>
      <c r="H223" s="27">
        <v>1</v>
      </c>
      <c r="I223" s="27">
        <v>1</v>
      </c>
      <c r="J223" s="27">
        <v>1</v>
      </c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4"/>
    </row>
    <row r="224" spans="5:82">
      <c r="F224" s="9" t="e">
        <f>SUM(G224:BN224)</f>
        <v>#REF!</v>
      </c>
      <c r="G224" s="35" t="e">
        <f>G223*$H$222</f>
        <v>#REF!</v>
      </c>
      <c r="H224" s="35" t="e">
        <f>H223*$H$222</f>
        <v>#REF!</v>
      </c>
      <c r="I224" s="35" t="e">
        <f>I223*$H$222</f>
        <v>#REF!</v>
      </c>
      <c r="J224" s="35" t="e">
        <f>J223*$H$222</f>
        <v>#REF!</v>
      </c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4"/>
    </row>
    <row r="225" spans="5:82">
      <c r="E225" s="5" t="s">
        <v>89</v>
      </c>
      <c r="F225" s="4" t="s">
        <v>11</v>
      </c>
      <c r="G225" s="22"/>
      <c r="H225" s="8" t="e">
        <f>'S-Curve'!#REF!</f>
        <v>#REF!</v>
      </c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4"/>
    </row>
    <row r="226" spans="5:82">
      <c r="G226" s="22"/>
      <c r="H226" s="23" t="e">
        <f>H225/6</f>
        <v>#REF!</v>
      </c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4"/>
    </row>
    <row r="227" spans="5:82">
      <c r="G227" s="27">
        <v>1</v>
      </c>
      <c r="H227" s="27">
        <v>0.5</v>
      </c>
      <c r="I227" s="27">
        <v>0.5</v>
      </c>
      <c r="J227" s="27">
        <v>1.5</v>
      </c>
      <c r="K227" s="27">
        <v>1.5</v>
      </c>
      <c r="L227" s="27">
        <v>1</v>
      </c>
      <c r="M227" s="27"/>
      <c r="N227" s="27"/>
      <c r="O227" s="27"/>
      <c r="P227" s="27"/>
      <c r="Q227" s="27"/>
      <c r="R227" s="27"/>
      <c r="S227" s="27"/>
      <c r="T227" s="27"/>
      <c r="U227" s="27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4"/>
    </row>
    <row r="228" spans="5:82">
      <c r="F228" s="9" t="e">
        <f>SUM(G228:BN228)</f>
        <v>#REF!</v>
      </c>
      <c r="G228" s="35" t="e">
        <f>G227*$H$226</f>
        <v>#REF!</v>
      </c>
      <c r="H228" s="35" t="e">
        <f>H227*$H$226</f>
        <v>#REF!</v>
      </c>
      <c r="I228" s="35" t="e">
        <f>I227*$H$226</f>
        <v>#REF!</v>
      </c>
      <c r="J228" s="35" t="e">
        <f t="shared" ref="J228:L228" si="50">J227*$H$226</f>
        <v>#REF!</v>
      </c>
      <c r="K228" s="35" t="e">
        <f t="shared" si="50"/>
        <v>#REF!</v>
      </c>
      <c r="L228" s="35" t="e">
        <f t="shared" si="50"/>
        <v>#REF!</v>
      </c>
      <c r="M228" s="35"/>
      <c r="N228" s="35"/>
      <c r="O228" s="35"/>
      <c r="P228" s="35"/>
      <c r="Q228" s="35"/>
      <c r="R228" s="35"/>
      <c r="S228" s="35"/>
      <c r="T228" s="35"/>
      <c r="U228" s="35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4"/>
    </row>
    <row r="229" spans="5:82">
      <c r="E229" s="5" t="s">
        <v>90</v>
      </c>
      <c r="F229" s="4" t="s">
        <v>40</v>
      </c>
      <c r="G229" s="22"/>
      <c r="H229" s="8" t="e">
        <f>'S-Curve'!#REF!</f>
        <v>#REF!</v>
      </c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4"/>
    </row>
    <row r="230" spans="5:82">
      <c r="G230" s="22"/>
      <c r="H230" s="23" t="e">
        <f>H229/3</f>
        <v>#REF!</v>
      </c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4"/>
    </row>
    <row r="231" spans="5:82">
      <c r="G231" s="27">
        <v>0.5</v>
      </c>
      <c r="H231" s="27">
        <v>0.75</v>
      </c>
      <c r="I231" s="27">
        <v>1.75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4"/>
    </row>
    <row r="232" spans="5:82">
      <c r="F232" s="9" t="e">
        <f>SUM(G232:BN232)</f>
        <v>#REF!</v>
      </c>
      <c r="G232" s="35" t="e">
        <f>G231*$H$230</f>
        <v>#REF!</v>
      </c>
      <c r="H232" s="35" t="e">
        <f>H231*$H$230</f>
        <v>#REF!</v>
      </c>
      <c r="I232" s="35" t="e">
        <f>I231*$H$230</f>
        <v>#REF!</v>
      </c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4"/>
    </row>
    <row r="233" spans="5:82">
      <c r="E233" s="34" t="s">
        <v>120</v>
      </c>
      <c r="F233" s="4" t="s">
        <v>42</v>
      </c>
      <c r="G233" s="22"/>
      <c r="H233" s="8" t="e">
        <f>'S-Curve'!#REF!</f>
        <v>#REF!</v>
      </c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4"/>
    </row>
    <row r="234" spans="5:82">
      <c r="G234" s="22"/>
      <c r="H234" s="23" t="e">
        <f>H233/20</f>
        <v>#REF!</v>
      </c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4"/>
    </row>
    <row r="235" spans="5:82">
      <c r="G235" s="27">
        <v>1</v>
      </c>
      <c r="H235" s="27">
        <v>1</v>
      </c>
      <c r="I235" s="27">
        <v>1</v>
      </c>
      <c r="J235" s="27">
        <v>1</v>
      </c>
      <c r="K235" s="27">
        <v>1</v>
      </c>
      <c r="L235" s="27">
        <v>1</v>
      </c>
      <c r="M235" s="27">
        <v>1</v>
      </c>
      <c r="N235" s="27">
        <v>1</v>
      </c>
      <c r="O235" s="27">
        <v>1</v>
      </c>
      <c r="P235" s="27">
        <v>1</v>
      </c>
      <c r="Q235" s="27">
        <v>1</v>
      </c>
      <c r="R235" s="27">
        <v>1</v>
      </c>
      <c r="S235" s="27">
        <v>1</v>
      </c>
      <c r="T235" s="27">
        <v>1</v>
      </c>
      <c r="U235" s="27">
        <v>1</v>
      </c>
      <c r="V235" s="27">
        <v>1</v>
      </c>
      <c r="W235" s="27">
        <v>1</v>
      </c>
      <c r="X235" s="27">
        <v>1</v>
      </c>
      <c r="Y235" s="27">
        <v>1</v>
      </c>
      <c r="Z235" s="27">
        <v>1</v>
      </c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4"/>
    </row>
    <row r="236" spans="5:82">
      <c r="F236" s="9" t="e">
        <f>SUM(G236:BN236)</f>
        <v>#REF!</v>
      </c>
      <c r="G236" s="35" t="e">
        <f>G235*$H$234</f>
        <v>#REF!</v>
      </c>
      <c r="H236" s="35" t="e">
        <f t="shared" ref="H236:Z236" si="51">H235*$H$234</f>
        <v>#REF!</v>
      </c>
      <c r="I236" s="35" t="e">
        <f t="shared" si="51"/>
        <v>#REF!</v>
      </c>
      <c r="J236" s="35" t="e">
        <f t="shared" si="51"/>
        <v>#REF!</v>
      </c>
      <c r="K236" s="35" t="e">
        <f t="shared" si="51"/>
        <v>#REF!</v>
      </c>
      <c r="L236" s="35" t="e">
        <f t="shared" si="51"/>
        <v>#REF!</v>
      </c>
      <c r="M236" s="35" t="e">
        <f t="shared" si="51"/>
        <v>#REF!</v>
      </c>
      <c r="N236" s="35" t="e">
        <f t="shared" si="51"/>
        <v>#REF!</v>
      </c>
      <c r="O236" s="35" t="e">
        <f t="shared" si="51"/>
        <v>#REF!</v>
      </c>
      <c r="P236" s="35" t="e">
        <f t="shared" si="51"/>
        <v>#REF!</v>
      </c>
      <c r="Q236" s="35" t="e">
        <f t="shared" si="51"/>
        <v>#REF!</v>
      </c>
      <c r="R236" s="35" t="e">
        <f t="shared" si="51"/>
        <v>#REF!</v>
      </c>
      <c r="S236" s="35" t="e">
        <f t="shared" si="51"/>
        <v>#REF!</v>
      </c>
      <c r="T236" s="35" t="e">
        <f t="shared" si="51"/>
        <v>#REF!</v>
      </c>
      <c r="U236" s="35" t="e">
        <f t="shared" si="51"/>
        <v>#REF!</v>
      </c>
      <c r="V236" s="35" t="e">
        <f t="shared" si="51"/>
        <v>#REF!</v>
      </c>
      <c r="W236" s="35" t="e">
        <f t="shared" si="51"/>
        <v>#REF!</v>
      </c>
      <c r="X236" s="35" t="e">
        <f t="shared" si="51"/>
        <v>#REF!</v>
      </c>
      <c r="Y236" s="35" t="e">
        <f t="shared" si="51"/>
        <v>#REF!</v>
      </c>
      <c r="Z236" s="35" t="e">
        <f t="shared" si="51"/>
        <v>#REF!</v>
      </c>
      <c r="AA236" s="36"/>
      <c r="AB236" s="36"/>
      <c r="AC236" s="36"/>
      <c r="AD236" s="36"/>
      <c r="AE236" s="36"/>
      <c r="AF236" s="36"/>
      <c r="AG236" s="36"/>
      <c r="AH236" s="36"/>
      <c r="AI236" s="36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4"/>
    </row>
    <row r="237" spans="5:82">
      <c r="E237" s="5" t="s">
        <v>91</v>
      </c>
      <c r="F237" s="4" t="s">
        <v>44</v>
      </c>
      <c r="G237" s="22"/>
      <c r="H237" s="8" t="e">
        <f>'S-Curve'!#REF!</f>
        <v>#REF!</v>
      </c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4"/>
    </row>
    <row r="238" spans="5:82">
      <c r="G238" s="22"/>
      <c r="H238" s="23" t="e">
        <f>H237/12</f>
        <v>#REF!</v>
      </c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4"/>
    </row>
    <row r="239" spans="5:82">
      <c r="G239" s="27">
        <v>1</v>
      </c>
      <c r="H239" s="27">
        <v>1</v>
      </c>
      <c r="I239" s="27">
        <v>1</v>
      </c>
      <c r="J239" s="27">
        <v>1</v>
      </c>
      <c r="K239" s="27">
        <v>1</v>
      </c>
      <c r="L239" s="27">
        <v>1</v>
      </c>
      <c r="M239" s="27">
        <v>1</v>
      </c>
      <c r="N239" s="27">
        <v>1</v>
      </c>
      <c r="O239" s="27">
        <v>1</v>
      </c>
      <c r="P239" s="27">
        <v>1</v>
      </c>
      <c r="Q239" s="27">
        <v>1</v>
      </c>
      <c r="R239" s="27">
        <v>1</v>
      </c>
      <c r="S239" s="27"/>
      <c r="T239" s="27"/>
      <c r="U239" s="27"/>
      <c r="V239" s="27"/>
      <c r="W239" s="27"/>
      <c r="X239" s="27"/>
      <c r="Y239" s="27"/>
      <c r="Z239" s="27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4"/>
    </row>
    <row r="240" spans="5:82">
      <c r="F240" s="9" t="e">
        <f>SUM(G240:BN240)</f>
        <v>#REF!</v>
      </c>
      <c r="G240" s="35" t="e">
        <f>G239*$H$238</f>
        <v>#REF!</v>
      </c>
      <c r="H240" s="35" t="e">
        <f t="shared" ref="H240:R240" si="52">H239*$H$238</f>
        <v>#REF!</v>
      </c>
      <c r="I240" s="35" t="e">
        <f t="shared" si="52"/>
        <v>#REF!</v>
      </c>
      <c r="J240" s="35" t="e">
        <f t="shared" si="52"/>
        <v>#REF!</v>
      </c>
      <c r="K240" s="35" t="e">
        <f t="shared" si="52"/>
        <v>#REF!</v>
      </c>
      <c r="L240" s="35" t="e">
        <f t="shared" si="52"/>
        <v>#REF!</v>
      </c>
      <c r="M240" s="35" t="e">
        <f t="shared" si="52"/>
        <v>#REF!</v>
      </c>
      <c r="N240" s="35" t="e">
        <f t="shared" si="52"/>
        <v>#REF!</v>
      </c>
      <c r="O240" s="35" t="e">
        <f t="shared" si="52"/>
        <v>#REF!</v>
      </c>
      <c r="P240" s="35" t="e">
        <f t="shared" si="52"/>
        <v>#REF!</v>
      </c>
      <c r="Q240" s="35" t="e">
        <f t="shared" si="52"/>
        <v>#REF!</v>
      </c>
      <c r="R240" s="35" t="e">
        <f t="shared" si="52"/>
        <v>#REF!</v>
      </c>
      <c r="S240" s="35"/>
      <c r="T240" s="35"/>
      <c r="U240" s="35"/>
      <c r="V240" s="35"/>
      <c r="W240" s="35"/>
      <c r="X240" s="35"/>
      <c r="Y240" s="35"/>
      <c r="Z240" s="35"/>
      <c r="AA240" s="36"/>
      <c r="AB240" s="36"/>
      <c r="AC240" s="36"/>
      <c r="AD240" s="36"/>
      <c r="AE240" s="36"/>
      <c r="AF240" s="36"/>
      <c r="AG240" s="36"/>
      <c r="AH240" s="36"/>
      <c r="AI240" s="36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4"/>
    </row>
    <row r="241" spans="5:82">
      <c r="E241" s="5" t="s">
        <v>92</v>
      </c>
      <c r="F241" s="4" t="s">
        <v>46</v>
      </c>
      <c r="G241" s="22"/>
      <c r="H241" s="8" t="e">
        <f>'S-Curve'!#REF!</f>
        <v>#REF!</v>
      </c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4"/>
    </row>
    <row r="242" spans="5:82">
      <c r="G242" s="22"/>
      <c r="H242" s="23" t="e">
        <f>H241/11</f>
        <v>#REF!</v>
      </c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4"/>
    </row>
    <row r="243" spans="5:82">
      <c r="G243" s="27">
        <v>1</v>
      </c>
      <c r="H243" s="27">
        <v>1</v>
      </c>
      <c r="I243" s="27">
        <v>1</v>
      </c>
      <c r="J243" s="27">
        <v>1</v>
      </c>
      <c r="K243" s="27">
        <v>1</v>
      </c>
      <c r="L243" s="27">
        <v>1</v>
      </c>
      <c r="M243" s="27">
        <v>1</v>
      </c>
      <c r="N243" s="27">
        <v>1</v>
      </c>
      <c r="O243" s="27">
        <v>1</v>
      </c>
      <c r="P243" s="27">
        <v>1</v>
      </c>
      <c r="Q243" s="27">
        <v>1</v>
      </c>
      <c r="R243" s="27"/>
      <c r="S243" s="27"/>
      <c r="T243" s="27"/>
      <c r="U243" s="27"/>
      <c r="V243" s="27"/>
      <c r="W243" s="27"/>
      <c r="X243" s="27"/>
      <c r="Y243" s="27"/>
      <c r="Z243" s="27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4"/>
    </row>
    <row r="244" spans="5:82">
      <c r="F244" s="9" t="e">
        <f>SUM(G244:BN244)</f>
        <v>#REF!</v>
      </c>
      <c r="G244" s="35" t="e">
        <f>G243*$H$242</f>
        <v>#REF!</v>
      </c>
      <c r="H244" s="35" t="e">
        <f t="shared" ref="H244:Q244" si="53">H243*$H$242</f>
        <v>#REF!</v>
      </c>
      <c r="I244" s="35" t="e">
        <f t="shared" si="53"/>
        <v>#REF!</v>
      </c>
      <c r="J244" s="35" t="e">
        <f t="shared" si="53"/>
        <v>#REF!</v>
      </c>
      <c r="K244" s="35" t="e">
        <f t="shared" si="53"/>
        <v>#REF!</v>
      </c>
      <c r="L244" s="35" t="e">
        <f t="shared" si="53"/>
        <v>#REF!</v>
      </c>
      <c r="M244" s="35" t="e">
        <f t="shared" si="53"/>
        <v>#REF!</v>
      </c>
      <c r="N244" s="35" t="e">
        <f t="shared" si="53"/>
        <v>#REF!</v>
      </c>
      <c r="O244" s="35" t="e">
        <f t="shared" si="53"/>
        <v>#REF!</v>
      </c>
      <c r="P244" s="35" t="e">
        <f t="shared" si="53"/>
        <v>#REF!</v>
      </c>
      <c r="Q244" s="35" t="e">
        <f t="shared" si="53"/>
        <v>#REF!</v>
      </c>
      <c r="R244" s="35"/>
      <c r="S244" s="35"/>
      <c r="T244" s="35"/>
      <c r="U244" s="35"/>
      <c r="V244" s="35"/>
      <c r="W244" s="35"/>
      <c r="X244" s="35"/>
      <c r="Y244" s="35"/>
      <c r="Z244" s="35"/>
      <c r="AA244" s="36"/>
      <c r="AB244" s="36"/>
      <c r="AC244" s="36"/>
      <c r="AD244" s="36"/>
      <c r="AE244" s="36"/>
      <c r="AF244" s="36"/>
      <c r="AG244" s="36"/>
      <c r="AH244" s="36"/>
      <c r="AI244" s="36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4"/>
    </row>
    <row r="245" spans="5:82">
      <c r="E245" s="3">
        <v>3.5</v>
      </c>
      <c r="F245" s="4" t="s">
        <v>47</v>
      </c>
      <c r="G245" s="22"/>
      <c r="H245" s="8" t="e">
        <f>'S-Curve'!#REF!</f>
        <v>#REF!</v>
      </c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4"/>
    </row>
    <row r="246" spans="5:82">
      <c r="G246" s="22"/>
      <c r="H246" s="23" t="e">
        <f>H245/5</f>
        <v>#REF!</v>
      </c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4"/>
    </row>
    <row r="247" spans="5:82">
      <c r="G247" s="27">
        <v>1</v>
      </c>
      <c r="H247" s="27">
        <v>1</v>
      </c>
      <c r="I247" s="27">
        <v>1</v>
      </c>
      <c r="J247" s="27">
        <v>1</v>
      </c>
      <c r="K247" s="27">
        <v>1</v>
      </c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4"/>
    </row>
    <row r="248" spans="5:82">
      <c r="F248" s="9" t="e">
        <f>SUM(G248:BN248)</f>
        <v>#REF!</v>
      </c>
      <c r="G248" s="35" t="e">
        <f>G247*$H$246</f>
        <v>#REF!</v>
      </c>
      <c r="H248" s="35" t="e">
        <f>H247*$H$246</f>
        <v>#REF!</v>
      </c>
      <c r="I248" s="35" t="e">
        <f>I247*$H$246</f>
        <v>#REF!</v>
      </c>
      <c r="J248" s="35" t="e">
        <f>J247*$H$246</f>
        <v>#REF!</v>
      </c>
      <c r="K248" s="35" t="e">
        <f>K247*$H$246</f>
        <v>#REF!</v>
      </c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6"/>
      <c r="AB248" s="36"/>
      <c r="AC248" s="36"/>
      <c r="AD248" s="36"/>
      <c r="AE248" s="36"/>
      <c r="AF248" s="36"/>
      <c r="AG248" s="36"/>
      <c r="AH248" s="36"/>
      <c r="AI248" s="36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4"/>
    </row>
    <row r="249" spans="5:82">
      <c r="E249" s="1">
        <v>3.6</v>
      </c>
      <c r="F249" s="4" t="s">
        <v>52</v>
      </c>
      <c r="G249" s="22"/>
      <c r="H249" s="8" t="e">
        <f>'S-Curve'!#REF!</f>
        <v>#REF!</v>
      </c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4"/>
    </row>
    <row r="250" spans="5:82">
      <c r="G250" s="22"/>
      <c r="H250" s="23" t="e">
        <f>H249/7</f>
        <v>#REF!</v>
      </c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4"/>
    </row>
    <row r="251" spans="5:82">
      <c r="G251" s="27">
        <v>1</v>
      </c>
      <c r="H251" s="27">
        <v>1</v>
      </c>
      <c r="I251" s="27">
        <v>1</v>
      </c>
      <c r="J251" s="27">
        <v>1</v>
      </c>
      <c r="K251" s="27">
        <v>1</v>
      </c>
      <c r="L251" s="27">
        <v>1</v>
      </c>
      <c r="M251" s="27">
        <v>1</v>
      </c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4"/>
    </row>
    <row r="252" spans="5:82">
      <c r="F252" s="9" t="e">
        <f>SUM(G252:BN252)</f>
        <v>#REF!</v>
      </c>
      <c r="G252" s="35" t="e">
        <f>G251*$H$250</f>
        <v>#REF!</v>
      </c>
      <c r="H252" s="35" t="e">
        <f t="shared" ref="H252:M252" si="54">H251*$H$250</f>
        <v>#REF!</v>
      </c>
      <c r="I252" s="35" t="e">
        <f t="shared" si="54"/>
        <v>#REF!</v>
      </c>
      <c r="J252" s="35" t="e">
        <f t="shared" si="54"/>
        <v>#REF!</v>
      </c>
      <c r="K252" s="35" t="e">
        <f t="shared" si="54"/>
        <v>#REF!</v>
      </c>
      <c r="L252" s="35" t="e">
        <f t="shared" si="54"/>
        <v>#REF!</v>
      </c>
      <c r="M252" s="35" t="e">
        <f t="shared" si="54"/>
        <v>#REF!</v>
      </c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6"/>
      <c r="AB252" s="36"/>
      <c r="AC252" s="36"/>
      <c r="AD252" s="36"/>
      <c r="AE252" s="36"/>
      <c r="AF252" s="36"/>
      <c r="AG252" s="36"/>
      <c r="AH252" s="36"/>
      <c r="AI252" s="36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4"/>
    </row>
    <row r="253" spans="5:82">
      <c r="E253" s="1">
        <v>3.7</v>
      </c>
      <c r="F253" s="4" t="s">
        <v>55</v>
      </c>
      <c r="G253" s="22"/>
      <c r="H253" s="8" t="e">
        <f>'S-Curve'!#REF!</f>
        <v>#REF!</v>
      </c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4"/>
    </row>
    <row r="254" spans="5:82">
      <c r="G254" s="22"/>
      <c r="H254" s="23" t="e">
        <f>H253/5</f>
        <v>#REF!</v>
      </c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4"/>
    </row>
    <row r="255" spans="5:82">
      <c r="G255" s="27">
        <v>1</v>
      </c>
      <c r="H255" s="27">
        <v>1</v>
      </c>
      <c r="I255" s="27">
        <v>1</v>
      </c>
      <c r="J255" s="27">
        <v>1</v>
      </c>
      <c r="K255" s="27">
        <v>1</v>
      </c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4"/>
    </row>
    <row r="256" spans="5:82">
      <c r="F256" s="9" t="e">
        <f>SUM(G256:BN256)</f>
        <v>#REF!</v>
      </c>
      <c r="G256" s="35" t="e">
        <f>G255*$H$254</f>
        <v>#REF!</v>
      </c>
      <c r="H256" s="35" t="e">
        <f>H255*$H$254</f>
        <v>#REF!</v>
      </c>
      <c r="I256" s="35" t="e">
        <f>I255*$H$254</f>
        <v>#REF!</v>
      </c>
      <c r="J256" s="35" t="e">
        <f>J255*$H$254</f>
        <v>#REF!</v>
      </c>
      <c r="K256" s="35" t="e">
        <f>K255*$H$254</f>
        <v>#REF!</v>
      </c>
      <c r="L256" s="35" t="e">
        <f t="shared" ref="L256:Z256" si="55">L255*$H$258</f>
        <v>#REF!</v>
      </c>
      <c r="M256" s="35" t="e">
        <f t="shared" si="55"/>
        <v>#REF!</v>
      </c>
      <c r="N256" s="35" t="e">
        <f t="shared" si="55"/>
        <v>#REF!</v>
      </c>
      <c r="O256" s="35" t="e">
        <f t="shared" si="55"/>
        <v>#REF!</v>
      </c>
      <c r="P256" s="35" t="e">
        <f t="shared" si="55"/>
        <v>#REF!</v>
      </c>
      <c r="Q256" s="35" t="e">
        <f t="shared" si="55"/>
        <v>#REF!</v>
      </c>
      <c r="R256" s="35" t="e">
        <f t="shared" si="55"/>
        <v>#REF!</v>
      </c>
      <c r="S256" s="35" t="e">
        <f t="shared" si="55"/>
        <v>#REF!</v>
      </c>
      <c r="T256" s="35" t="e">
        <f t="shared" si="55"/>
        <v>#REF!</v>
      </c>
      <c r="U256" s="35" t="e">
        <f t="shared" si="55"/>
        <v>#REF!</v>
      </c>
      <c r="V256" s="35" t="e">
        <f t="shared" si="55"/>
        <v>#REF!</v>
      </c>
      <c r="W256" s="35" t="e">
        <f t="shared" si="55"/>
        <v>#REF!</v>
      </c>
      <c r="X256" s="35" t="e">
        <f t="shared" si="55"/>
        <v>#REF!</v>
      </c>
      <c r="Y256" s="35" t="e">
        <f t="shared" si="55"/>
        <v>#REF!</v>
      </c>
      <c r="Z256" s="35" t="e">
        <f t="shared" si="55"/>
        <v>#REF!</v>
      </c>
      <c r="AA256" s="36"/>
      <c r="AB256" s="36"/>
      <c r="AC256" s="36"/>
      <c r="AD256" s="36"/>
      <c r="AE256" s="36"/>
      <c r="AF256" s="36"/>
      <c r="AG256" s="36"/>
      <c r="AH256" s="36"/>
      <c r="AI256" s="36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4"/>
    </row>
    <row r="257" spans="5:82">
      <c r="E257" s="1">
        <v>3.8</v>
      </c>
      <c r="F257" s="4" t="s">
        <v>60</v>
      </c>
      <c r="G257" s="22"/>
      <c r="H257" s="8" t="e">
        <f>'S-Curve'!#REF!</f>
        <v>#REF!</v>
      </c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4"/>
    </row>
    <row r="258" spans="5:82">
      <c r="G258" s="22"/>
      <c r="H258" s="23" t="e">
        <f>H257/5</f>
        <v>#REF!</v>
      </c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4"/>
    </row>
    <row r="259" spans="5:82">
      <c r="G259" s="27">
        <v>1</v>
      </c>
      <c r="H259" s="27">
        <v>1</v>
      </c>
      <c r="I259" s="27">
        <v>1</v>
      </c>
      <c r="J259" s="27">
        <v>1</v>
      </c>
      <c r="K259" s="27">
        <v>1</v>
      </c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4"/>
    </row>
    <row r="260" spans="5:82">
      <c r="F260" s="9" t="e">
        <f>SUM(G260:BN260)</f>
        <v>#REF!</v>
      </c>
      <c r="G260" s="35" t="e">
        <f>G259*$H$258</f>
        <v>#REF!</v>
      </c>
      <c r="H260" s="35" t="e">
        <f>H259*$H$258</f>
        <v>#REF!</v>
      </c>
      <c r="I260" s="35" t="e">
        <f>I259*$H$258</f>
        <v>#REF!</v>
      </c>
      <c r="J260" s="35" t="e">
        <f>J259*$H$258</f>
        <v>#REF!</v>
      </c>
      <c r="K260" s="35" t="e">
        <f>K259*$H$258</f>
        <v>#REF!</v>
      </c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6"/>
      <c r="AB260" s="36"/>
      <c r="AC260" s="36"/>
      <c r="AD260" s="36"/>
      <c r="AE260" s="36"/>
      <c r="AF260" s="36"/>
      <c r="AG260" s="36"/>
      <c r="AH260" s="36"/>
      <c r="AI260" s="36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4"/>
    </row>
    <row r="261" spans="5:82">
      <c r="E261" s="5">
        <v>3.9</v>
      </c>
      <c r="F261" s="4" t="s">
        <v>65</v>
      </c>
      <c r="G261" s="22"/>
      <c r="H261" s="8" t="e">
        <f>'S-Curve'!#REF!</f>
        <v>#REF!</v>
      </c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4"/>
    </row>
    <row r="262" spans="5:82">
      <c r="G262" s="22"/>
      <c r="H262" s="23" t="e">
        <f>H261/13</f>
        <v>#REF!</v>
      </c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4"/>
    </row>
    <row r="263" spans="5:82">
      <c r="G263" s="27">
        <v>1</v>
      </c>
      <c r="H263" s="27">
        <v>1</v>
      </c>
      <c r="I263" s="27">
        <v>1</v>
      </c>
      <c r="J263" s="27">
        <v>1</v>
      </c>
      <c r="K263" s="27">
        <v>1</v>
      </c>
      <c r="L263" s="27">
        <v>1</v>
      </c>
      <c r="M263" s="27">
        <v>1</v>
      </c>
      <c r="N263" s="27">
        <v>1</v>
      </c>
      <c r="O263" s="27">
        <v>1</v>
      </c>
      <c r="P263" s="27">
        <v>1</v>
      </c>
      <c r="Q263" s="27">
        <v>1</v>
      </c>
      <c r="R263" s="27">
        <v>1</v>
      </c>
      <c r="S263" s="27">
        <v>1</v>
      </c>
      <c r="T263" s="27"/>
      <c r="U263" s="27"/>
      <c r="V263" s="27"/>
      <c r="W263" s="27"/>
      <c r="X263" s="27"/>
      <c r="Y263" s="27"/>
      <c r="Z263" s="27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4"/>
    </row>
    <row r="264" spans="5:82">
      <c r="F264" s="9" t="e">
        <f>SUM(G264:BN264)</f>
        <v>#REF!</v>
      </c>
      <c r="G264" s="35" t="e">
        <f>G263*$H$262</f>
        <v>#REF!</v>
      </c>
      <c r="H264" s="35" t="e">
        <f t="shared" ref="H264:S264" si="56">H263*$H$262</f>
        <v>#REF!</v>
      </c>
      <c r="I264" s="35" t="e">
        <f t="shared" si="56"/>
        <v>#REF!</v>
      </c>
      <c r="J264" s="35" t="e">
        <f t="shared" si="56"/>
        <v>#REF!</v>
      </c>
      <c r="K264" s="35" t="e">
        <f t="shared" si="56"/>
        <v>#REF!</v>
      </c>
      <c r="L264" s="35" t="e">
        <f t="shared" si="56"/>
        <v>#REF!</v>
      </c>
      <c r="M264" s="35" t="e">
        <f t="shared" si="56"/>
        <v>#REF!</v>
      </c>
      <c r="N264" s="35" t="e">
        <f t="shared" si="56"/>
        <v>#REF!</v>
      </c>
      <c r="O264" s="35" t="e">
        <f t="shared" si="56"/>
        <v>#REF!</v>
      </c>
      <c r="P264" s="35" t="e">
        <f t="shared" si="56"/>
        <v>#REF!</v>
      </c>
      <c r="Q264" s="35" t="e">
        <f t="shared" si="56"/>
        <v>#REF!</v>
      </c>
      <c r="R264" s="35" t="e">
        <f t="shared" si="56"/>
        <v>#REF!</v>
      </c>
      <c r="S264" s="35" t="e">
        <f t="shared" si="56"/>
        <v>#REF!</v>
      </c>
      <c r="T264" s="35"/>
      <c r="U264" s="35"/>
      <c r="V264" s="35"/>
      <c r="W264" s="35"/>
      <c r="X264" s="35"/>
      <c r="Y264" s="35"/>
      <c r="Z264" s="35"/>
      <c r="AA264" s="36"/>
      <c r="AB264" s="36"/>
      <c r="AC264" s="36"/>
      <c r="AD264" s="36"/>
      <c r="AE264" s="36"/>
      <c r="AF264" s="36"/>
      <c r="AG264" s="36"/>
      <c r="AH264" s="36"/>
      <c r="AI264" s="36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4"/>
    </row>
    <row r="265" spans="5:82">
      <c r="E265" s="7">
        <v>3.1</v>
      </c>
      <c r="F265" s="4" t="s">
        <v>67</v>
      </c>
      <c r="G265" s="22"/>
      <c r="H265" s="8" t="e">
        <f>'S-Curve'!#REF!</f>
        <v>#REF!</v>
      </c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4"/>
    </row>
    <row r="266" spans="5:82">
      <c r="G266" s="22"/>
      <c r="H266" s="23" t="e">
        <f>H265/13</f>
        <v>#REF!</v>
      </c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4"/>
    </row>
    <row r="267" spans="5:82">
      <c r="G267" s="27">
        <v>1</v>
      </c>
      <c r="H267" s="27">
        <v>1</v>
      </c>
      <c r="I267" s="27">
        <v>1</v>
      </c>
      <c r="J267" s="27">
        <v>1</v>
      </c>
      <c r="K267" s="27">
        <v>1</v>
      </c>
      <c r="L267" s="27">
        <v>1</v>
      </c>
      <c r="M267" s="27">
        <v>1</v>
      </c>
      <c r="N267" s="27">
        <v>1</v>
      </c>
      <c r="O267" s="27">
        <v>1</v>
      </c>
      <c r="P267" s="27">
        <v>1</v>
      </c>
      <c r="Q267" s="27">
        <v>1</v>
      </c>
      <c r="R267" s="27">
        <v>1</v>
      </c>
      <c r="S267" s="27">
        <v>1</v>
      </c>
      <c r="T267" s="27"/>
      <c r="U267" s="27"/>
      <c r="V267" s="27"/>
      <c r="W267" s="27"/>
      <c r="X267" s="27"/>
      <c r="Y267" s="27"/>
      <c r="Z267" s="27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4"/>
    </row>
    <row r="268" spans="5:82">
      <c r="F268" s="9" t="e">
        <f>SUM(G268:BN268)</f>
        <v>#REF!</v>
      </c>
      <c r="G268" s="35" t="e">
        <f>G267*$H$266</f>
        <v>#REF!</v>
      </c>
      <c r="H268" s="35" t="e">
        <f t="shared" ref="H268:S268" si="57">H267*$H$266</f>
        <v>#REF!</v>
      </c>
      <c r="I268" s="35" t="e">
        <f t="shared" si="57"/>
        <v>#REF!</v>
      </c>
      <c r="J268" s="35" t="e">
        <f t="shared" si="57"/>
        <v>#REF!</v>
      </c>
      <c r="K268" s="35" t="e">
        <f t="shared" si="57"/>
        <v>#REF!</v>
      </c>
      <c r="L268" s="35" t="e">
        <f t="shared" si="57"/>
        <v>#REF!</v>
      </c>
      <c r="M268" s="35" t="e">
        <f t="shared" si="57"/>
        <v>#REF!</v>
      </c>
      <c r="N268" s="35" t="e">
        <f t="shared" si="57"/>
        <v>#REF!</v>
      </c>
      <c r="O268" s="35" t="e">
        <f t="shared" si="57"/>
        <v>#REF!</v>
      </c>
      <c r="P268" s="35" t="e">
        <f t="shared" si="57"/>
        <v>#REF!</v>
      </c>
      <c r="Q268" s="35" t="e">
        <f t="shared" si="57"/>
        <v>#REF!</v>
      </c>
      <c r="R268" s="35" t="e">
        <f t="shared" si="57"/>
        <v>#REF!</v>
      </c>
      <c r="S268" s="35" t="e">
        <f t="shared" si="57"/>
        <v>#REF!</v>
      </c>
      <c r="T268" s="35"/>
      <c r="U268" s="35"/>
      <c r="V268" s="35"/>
      <c r="W268" s="35"/>
      <c r="X268" s="35"/>
      <c r="Y268" s="35"/>
      <c r="Z268" s="35"/>
      <c r="AA268" s="36"/>
      <c r="AB268" s="36"/>
      <c r="AC268" s="36"/>
      <c r="AD268" s="36"/>
      <c r="AE268" s="36"/>
      <c r="AF268" s="36"/>
      <c r="AG268" s="36"/>
      <c r="AH268" s="36"/>
      <c r="AI268" s="36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4"/>
    </row>
    <row r="269" spans="5:82">
      <c r="E269" s="7">
        <v>3.11</v>
      </c>
      <c r="F269" s="4" t="s">
        <v>72</v>
      </c>
      <c r="G269" s="22"/>
      <c r="H269" s="8" t="e">
        <f>'S-Curve'!#REF!</f>
        <v>#REF!</v>
      </c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4"/>
    </row>
    <row r="270" spans="5:82">
      <c r="G270" s="22"/>
      <c r="H270" s="23" t="e">
        <f>H269/13</f>
        <v>#REF!</v>
      </c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4"/>
    </row>
    <row r="271" spans="5:82">
      <c r="G271" s="27">
        <v>1</v>
      </c>
      <c r="H271" s="27">
        <v>1</v>
      </c>
      <c r="I271" s="27">
        <v>1</v>
      </c>
      <c r="J271" s="27">
        <v>1</v>
      </c>
      <c r="K271" s="27">
        <v>1</v>
      </c>
      <c r="L271" s="27">
        <v>1</v>
      </c>
      <c r="M271" s="27">
        <v>1</v>
      </c>
      <c r="N271" s="27">
        <v>1</v>
      </c>
      <c r="O271" s="27">
        <v>1</v>
      </c>
      <c r="P271" s="27">
        <v>1</v>
      </c>
      <c r="Q271" s="27">
        <v>1</v>
      </c>
      <c r="R271" s="27">
        <v>1</v>
      </c>
      <c r="S271" s="27">
        <v>1</v>
      </c>
      <c r="T271" s="27"/>
      <c r="U271" s="27"/>
      <c r="V271" s="27"/>
      <c r="W271" s="27"/>
      <c r="X271" s="27"/>
      <c r="Y271" s="27"/>
      <c r="Z271" s="27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4"/>
    </row>
    <row r="272" spans="5:82">
      <c r="F272" s="9" t="e">
        <f>SUM(G272:BN272)</f>
        <v>#REF!</v>
      </c>
      <c r="G272" s="35" t="e">
        <f>G271*$H$270</f>
        <v>#REF!</v>
      </c>
      <c r="H272" s="35" t="e">
        <f t="shared" ref="H272:S272" si="58">H271*$H$270</f>
        <v>#REF!</v>
      </c>
      <c r="I272" s="35" t="e">
        <f t="shared" si="58"/>
        <v>#REF!</v>
      </c>
      <c r="J272" s="35" t="e">
        <f t="shared" si="58"/>
        <v>#REF!</v>
      </c>
      <c r="K272" s="35" t="e">
        <f t="shared" si="58"/>
        <v>#REF!</v>
      </c>
      <c r="L272" s="35" t="e">
        <f t="shared" si="58"/>
        <v>#REF!</v>
      </c>
      <c r="M272" s="35" t="e">
        <f t="shared" si="58"/>
        <v>#REF!</v>
      </c>
      <c r="N272" s="35" t="e">
        <f t="shared" si="58"/>
        <v>#REF!</v>
      </c>
      <c r="O272" s="35" t="e">
        <f t="shared" si="58"/>
        <v>#REF!</v>
      </c>
      <c r="P272" s="35" t="e">
        <f t="shared" si="58"/>
        <v>#REF!</v>
      </c>
      <c r="Q272" s="35" t="e">
        <f t="shared" si="58"/>
        <v>#REF!</v>
      </c>
      <c r="R272" s="35" t="e">
        <f t="shared" si="58"/>
        <v>#REF!</v>
      </c>
      <c r="S272" s="35" t="e">
        <f t="shared" si="58"/>
        <v>#REF!</v>
      </c>
      <c r="T272" s="35"/>
      <c r="U272" s="35"/>
      <c r="V272" s="35"/>
      <c r="W272" s="35"/>
      <c r="X272" s="35"/>
      <c r="Y272" s="35"/>
      <c r="Z272" s="35"/>
      <c r="AA272" s="36"/>
      <c r="AB272" s="36"/>
      <c r="AC272" s="36"/>
      <c r="AD272" s="36"/>
      <c r="AE272" s="36"/>
      <c r="AF272" s="36"/>
      <c r="AG272" s="36"/>
      <c r="AH272" s="36"/>
      <c r="AI272" s="36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4"/>
    </row>
    <row r="273" spans="5:82">
      <c r="E273" s="7">
        <v>3.12</v>
      </c>
      <c r="F273" s="4" t="s">
        <v>77</v>
      </c>
      <c r="G273" s="22"/>
      <c r="H273" s="8" t="e">
        <f>'S-Curve'!#REF!</f>
        <v>#REF!</v>
      </c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4"/>
    </row>
    <row r="274" spans="5:82">
      <c r="G274" s="22"/>
      <c r="H274" s="23" t="e">
        <f>H273/13</f>
        <v>#REF!</v>
      </c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4"/>
    </row>
    <row r="275" spans="5:82">
      <c r="G275" s="27">
        <v>1</v>
      </c>
      <c r="H275" s="27">
        <v>1</v>
      </c>
      <c r="I275" s="27">
        <v>1</v>
      </c>
      <c r="J275" s="27">
        <v>1</v>
      </c>
      <c r="K275" s="27">
        <v>1</v>
      </c>
      <c r="L275" s="27">
        <v>1</v>
      </c>
      <c r="M275" s="27">
        <v>1</v>
      </c>
      <c r="N275" s="27">
        <v>1</v>
      </c>
      <c r="O275" s="27">
        <v>1</v>
      </c>
      <c r="P275" s="27">
        <v>1</v>
      </c>
      <c r="Q275" s="27">
        <v>1</v>
      </c>
      <c r="R275" s="27">
        <v>1</v>
      </c>
      <c r="S275" s="27">
        <v>1</v>
      </c>
      <c r="T275" s="27"/>
      <c r="U275" s="27"/>
      <c r="V275" s="27"/>
      <c r="W275" s="27"/>
      <c r="X275" s="27"/>
      <c r="Y275" s="27"/>
      <c r="Z275" s="27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4"/>
    </row>
    <row r="276" spans="5:82">
      <c r="F276" s="9" t="e">
        <f>SUM(G276:BN276)</f>
        <v>#REF!</v>
      </c>
      <c r="G276" s="35" t="e">
        <f>G275*$H$274</f>
        <v>#REF!</v>
      </c>
      <c r="H276" s="35" t="e">
        <f t="shared" ref="H276:S276" si="59">H275*$H$274</f>
        <v>#REF!</v>
      </c>
      <c r="I276" s="35" t="e">
        <f t="shared" si="59"/>
        <v>#REF!</v>
      </c>
      <c r="J276" s="35" t="e">
        <f t="shared" si="59"/>
        <v>#REF!</v>
      </c>
      <c r="K276" s="35" t="e">
        <f t="shared" si="59"/>
        <v>#REF!</v>
      </c>
      <c r="L276" s="35" t="e">
        <f t="shared" si="59"/>
        <v>#REF!</v>
      </c>
      <c r="M276" s="35" t="e">
        <f t="shared" si="59"/>
        <v>#REF!</v>
      </c>
      <c r="N276" s="35" t="e">
        <f t="shared" si="59"/>
        <v>#REF!</v>
      </c>
      <c r="O276" s="35" t="e">
        <f t="shared" si="59"/>
        <v>#REF!</v>
      </c>
      <c r="P276" s="35" t="e">
        <f t="shared" si="59"/>
        <v>#REF!</v>
      </c>
      <c r="Q276" s="35" t="e">
        <f t="shared" si="59"/>
        <v>#REF!</v>
      </c>
      <c r="R276" s="35" t="e">
        <f t="shared" si="59"/>
        <v>#REF!</v>
      </c>
      <c r="S276" s="35" t="e">
        <f t="shared" si="59"/>
        <v>#REF!</v>
      </c>
      <c r="T276" s="35"/>
      <c r="U276" s="35"/>
      <c r="V276" s="35"/>
      <c r="W276" s="35"/>
      <c r="X276" s="35"/>
      <c r="Y276" s="35"/>
      <c r="Z276" s="35"/>
      <c r="AA276" s="36"/>
      <c r="AB276" s="36"/>
      <c r="AC276" s="36"/>
      <c r="AD276" s="36"/>
      <c r="AE276" s="36"/>
      <c r="AF276" s="36"/>
      <c r="AG276" s="36"/>
      <c r="AH276" s="36"/>
      <c r="AI276" s="36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4"/>
    </row>
    <row r="277" spans="5:82">
      <c r="E277" s="7">
        <v>3.13</v>
      </c>
      <c r="F277" s="4" t="s">
        <v>81</v>
      </c>
      <c r="G277" s="22"/>
      <c r="H277" s="8" t="e">
        <f>'S-Curve'!#REF!</f>
        <v>#REF!</v>
      </c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4"/>
    </row>
    <row r="278" spans="5:82">
      <c r="G278" s="22"/>
      <c r="H278" s="23" t="e">
        <f>H277/7</f>
        <v>#REF!</v>
      </c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4"/>
    </row>
    <row r="279" spans="5:82">
      <c r="G279" s="27">
        <v>1</v>
      </c>
      <c r="H279" s="27">
        <v>1</v>
      </c>
      <c r="I279" s="27">
        <v>1</v>
      </c>
      <c r="J279" s="27">
        <v>1</v>
      </c>
      <c r="K279" s="27">
        <v>1</v>
      </c>
      <c r="L279" s="27">
        <v>1</v>
      </c>
      <c r="M279" s="27">
        <v>1</v>
      </c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4"/>
    </row>
    <row r="280" spans="5:82">
      <c r="F280" s="9" t="e">
        <f>SUM(G280:BN280)</f>
        <v>#REF!</v>
      </c>
      <c r="G280" s="35" t="e">
        <f>G279*$H$278</f>
        <v>#REF!</v>
      </c>
      <c r="H280" s="35" t="e">
        <f t="shared" ref="H280:M280" si="60">H279*$H$278</f>
        <v>#REF!</v>
      </c>
      <c r="I280" s="35" t="e">
        <f t="shared" si="60"/>
        <v>#REF!</v>
      </c>
      <c r="J280" s="35" t="e">
        <f t="shared" si="60"/>
        <v>#REF!</v>
      </c>
      <c r="K280" s="35" t="e">
        <f t="shared" si="60"/>
        <v>#REF!</v>
      </c>
      <c r="L280" s="35" t="e">
        <f t="shared" si="60"/>
        <v>#REF!</v>
      </c>
      <c r="M280" s="35" t="e">
        <f t="shared" si="60"/>
        <v>#REF!</v>
      </c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6"/>
      <c r="AB280" s="36"/>
      <c r="AC280" s="36"/>
      <c r="AD280" s="36"/>
      <c r="AE280" s="36"/>
      <c r="AF280" s="36"/>
      <c r="AG280" s="36"/>
      <c r="AH280" s="36"/>
      <c r="AI280" s="36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4"/>
    </row>
    <row r="281" spans="5:82">
      <c r="E281" s="1">
        <v>4</v>
      </c>
      <c r="F281" s="33" t="s">
        <v>117</v>
      </c>
      <c r="G281" s="22"/>
      <c r="H281" s="23" t="e">
        <f>'S-Curve'!#REF!</f>
        <v>#REF!</v>
      </c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4"/>
    </row>
    <row r="282" spans="5:82">
      <c r="G282" s="22"/>
      <c r="H282" s="23" t="e">
        <f>H281/22</f>
        <v>#REF!</v>
      </c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4"/>
    </row>
    <row r="283" spans="5:82">
      <c r="G283" s="27">
        <v>0.2</v>
      </c>
      <c r="H283" s="28">
        <v>0.4</v>
      </c>
      <c r="I283" s="28">
        <v>0.8</v>
      </c>
      <c r="J283" s="28">
        <v>0.8</v>
      </c>
      <c r="K283" s="28">
        <v>1</v>
      </c>
      <c r="L283" s="28">
        <v>1</v>
      </c>
      <c r="M283" s="28">
        <v>1</v>
      </c>
      <c r="N283" s="28">
        <v>1</v>
      </c>
      <c r="O283" s="28">
        <v>1</v>
      </c>
      <c r="P283" s="28">
        <v>1</v>
      </c>
      <c r="Q283" s="28">
        <v>1</v>
      </c>
      <c r="R283" s="28">
        <v>1</v>
      </c>
      <c r="S283" s="28">
        <v>1</v>
      </c>
      <c r="T283" s="28">
        <v>1.2</v>
      </c>
      <c r="U283" s="28">
        <v>1.2</v>
      </c>
      <c r="V283" s="28">
        <v>1.2</v>
      </c>
      <c r="W283" s="28">
        <v>1.2</v>
      </c>
      <c r="X283" s="28">
        <v>1.2</v>
      </c>
      <c r="Y283" s="28">
        <v>1.2</v>
      </c>
      <c r="Z283" s="28">
        <v>1.2</v>
      </c>
      <c r="AA283" s="28">
        <v>1.2</v>
      </c>
      <c r="AB283" s="28">
        <v>1.2</v>
      </c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9"/>
    </row>
    <row r="284" spans="5:82">
      <c r="F284" s="9" t="e">
        <f>SUM(G284:BU284)</f>
        <v>#REF!</v>
      </c>
      <c r="G284" s="22" t="e">
        <f>G283*$H$282</f>
        <v>#REF!</v>
      </c>
      <c r="H284" s="22" t="e">
        <f t="shared" ref="H284:AB284" si="61">H283*$H$282</f>
        <v>#REF!</v>
      </c>
      <c r="I284" s="22" t="e">
        <f t="shared" si="61"/>
        <v>#REF!</v>
      </c>
      <c r="J284" s="22" t="e">
        <f t="shared" si="61"/>
        <v>#REF!</v>
      </c>
      <c r="K284" s="22" t="e">
        <f t="shared" si="61"/>
        <v>#REF!</v>
      </c>
      <c r="L284" s="22" t="e">
        <f t="shared" si="61"/>
        <v>#REF!</v>
      </c>
      <c r="M284" s="22" t="e">
        <f t="shared" si="61"/>
        <v>#REF!</v>
      </c>
      <c r="N284" s="22" t="e">
        <f t="shared" si="61"/>
        <v>#REF!</v>
      </c>
      <c r="O284" s="22" t="e">
        <f t="shared" si="61"/>
        <v>#REF!</v>
      </c>
      <c r="P284" s="22" t="e">
        <f t="shared" si="61"/>
        <v>#REF!</v>
      </c>
      <c r="Q284" s="22" t="e">
        <f t="shared" si="61"/>
        <v>#REF!</v>
      </c>
      <c r="R284" s="22" t="e">
        <f t="shared" si="61"/>
        <v>#REF!</v>
      </c>
      <c r="S284" s="22" t="e">
        <f t="shared" si="61"/>
        <v>#REF!</v>
      </c>
      <c r="T284" s="22" t="e">
        <f t="shared" si="61"/>
        <v>#REF!</v>
      </c>
      <c r="U284" s="22" t="e">
        <f t="shared" si="61"/>
        <v>#REF!</v>
      </c>
      <c r="V284" s="22" t="e">
        <f t="shared" si="61"/>
        <v>#REF!</v>
      </c>
      <c r="W284" s="22" t="e">
        <f t="shared" si="61"/>
        <v>#REF!</v>
      </c>
      <c r="X284" s="22" t="e">
        <f t="shared" si="61"/>
        <v>#REF!</v>
      </c>
      <c r="Y284" s="22" t="e">
        <f t="shared" si="61"/>
        <v>#REF!</v>
      </c>
      <c r="Z284" s="22" t="e">
        <f t="shared" si="61"/>
        <v>#REF!</v>
      </c>
      <c r="AA284" s="22" t="e">
        <f t="shared" si="61"/>
        <v>#REF!</v>
      </c>
      <c r="AB284" s="22" t="e">
        <f t="shared" si="61"/>
        <v>#REF!</v>
      </c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3"/>
      <c r="BW284" s="23"/>
      <c r="BX284" s="23"/>
      <c r="BY284" s="23"/>
      <c r="BZ284" s="23"/>
      <c r="CA284" s="23"/>
      <c r="CB284" s="23"/>
      <c r="CC284" s="23"/>
      <c r="CD284" s="24"/>
    </row>
    <row r="285" spans="5:82">
      <c r="E285" s="1">
        <v>5</v>
      </c>
      <c r="F285" s="9" t="s">
        <v>116</v>
      </c>
      <c r="G285" s="22"/>
      <c r="H285" s="23" t="e">
        <f>'S-Curve'!#REF!</f>
        <v>#REF!</v>
      </c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4"/>
    </row>
    <row r="286" spans="5:82">
      <c r="G286" s="22"/>
      <c r="H286" s="23" t="e">
        <f>H285/48</f>
        <v>#REF!</v>
      </c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4"/>
    </row>
    <row r="287" spans="5:82">
      <c r="G287" s="27">
        <v>0.01</v>
      </c>
      <c r="H287" s="28">
        <v>0.01</v>
      </c>
      <c r="I287" s="28">
        <v>0.01</v>
      </c>
      <c r="J287" s="28">
        <v>0.01</v>
      </c>
      <c r="K287" s="28">
        <v>0.01</v>
      </c>
      <c r="L287" s="28">
        <v>0.01</v>
      </c>
      <c r="M287" s="28">
        <v>0.01</v>
      </c>
      <c r="N287" s="28">
        <v>0.01</v>
      </c>
      <c r="O287" s="28">
        <v>0.01</v>
      </c>
      <c r="P287" s="28">
        <v>0.01</v>
      </c>
      <c r="S287" s="28">
        <v>0.01</v>
      </c>
      <c r="T287" s="28">
        <v>0.04</v>
      </c>
      <c r="U287" s="28">
        <v>0.05</v>
      </c>
      <c r="V287" s="28">
        <v>0.05</v>
      </c>
      <c r="W287" s="28">
        <v>0.05</v>
      </c>
      <c r="X287" s="28">
        <v>0.1</v>
      </c>
      <c r="Y287" s="28">
        <v>0.1</v>
      </c>
      <c r="Z287" s="28">
        <v>0.2</v>
      </c>
      <c r="AA287" s="28">
        <v>0.3</v>
      </c>
      <c r="AB287" s="28">
        <v>0.4</v>
      </c>
      <c r="AC287" s="28">
        <v>0.5</v>
      </c>
      <c r="AD287" s="28">
        <v>0.6</v>
      </c>
      <c r="AE287" s="28">
        <v>0.7</v>
      </c>
      <c r="AF287" s="28">
        <v>0.8</v>
      </c>
      <c r="AG287" s="28">
        <v>0.9</v>
      </c>
      <c r="AH287" s="28">
        <v>1</v>
      </c>
      <c r="AI287" s="28">
        <v>1</v>
      </c>
      <c r="AJ287" s="28">
        <v>1</v>
      </c>
      <c r="AK287" s="28">
        <v>1</v>
      </c>
      <c r="AL287" s="28">
        <v>1</v>
      </c>
      <c r="AM287" s="28">
        <v>2</v>
      </c>
      <c r="AN287" s="28">
        <v>2</v>
      </c>
      <c r="AO287" s="28">
        <v>2</v>
      </c>
      <c r="AP287" s="28">
        <v>2.5</v>
      </c>
      <c r="AQ287" s="28">
        <v>1.5</v>
      </c>
      <c r="AR287" s="28">
        <v>1.5</v>
      </c>
      <c r="AS287" s="28">
        <v>1.5</v>
      </c>
      <c r="AT287" s="28">
        <v>1.5</v>
      </c>
      <c r="AU287" s="28">
        <v>2</v>
      </c>
      <c r="AV287" s="28">
        <v>2</v>
      </c>
      <c r="AW287" s="28">
        <v>2</v>
      </c>
      <c r="AX287" s="28">
        <v>2.5</v>
      </c>
      <c r="AY287" s="28">
        <v>2.5</v>
      </c>
      <c r="AZ287" s="28">
        <v>2.5000000000000004</v>
      </c>
      <c r="BA287" s="28">
        <v>2.6</v>
      </c>
      <c r="BB287" s="28">
        <v>2.5</v>
      </c>
      <c r="BC287" s="28">
        <v>2.5</v>
      </c>
      <c r="BD287" s="28">
        <v>2.5</v>
      </c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9"/>
    </row>
    <row r="288" spans="5:82">
      <c r="F288" s="9" t="e">
        <f>SUM(G288:BU288)</f>
        <v>#REF!</v>
      </c>
      <c r="G288" s="22" t="e">
        <f>G287*$H$286</f>
        <v>#REF!</v>
      </c>
      <c r="H288" s="22" t="e">
        <f t="shared" ref="H288:BD288" si="62">H287*$H$286</f>
        <v>#REF!</v>
      </c>
      <c r="I288" s="22" t="e">
        <f t="shared" si="62"/>
        <v>#REF!</v>
      </c>
      <c r="J288" s="22" t="e">
        <f t="shared" si="62"/>
        <v>#REF!</v>
      </c>
      <c r="K288" s="22" t="e">
        <f t="shared" si="62"/>
        <v>#REF!</v>
      </c>
      <c r="L288" s="22" t="e">
        <f t="shared" si="62"/>
        <v>#REF!</v>
      </c>
      <c r="M288" s="22" t="e">
        <f t="shared" si="62"/>
        <v>#REF!</v>
      </c>
      <c r="N288" s="22" t="e">
        <f t="shared" si="62"/>
        <v>#REF!</v>
      </c>
      <c r="O288" s="22" t="e">
        <f t="shared" si="62"/>
        <v>#REF!</v>
      </c>
      <c r="P288" s="22" t="e">
        <f t="shared" si="62"/>
        <v>#REF!</v>
      </c>
      <c r="Q288" s="22"/>
      <c r="R288" s="22"/>
      <c r="S288" s="22" t="e">
        <f t="shared" si="62"/>
        <v>#REF!</v>
      </c>
      <c r="T288" s="22" t="e">
        <f t="shared" si="62"/>
        <v>#REF!</v>
      </c>
      <c r="U288" s="22" t="e">
        <f t="shared" si="62"/>
        <v>#REF!</v>
      </c>
      <c r="V288" s="22" t="e">
        <f t="shared" si="62"/>
        <v>#REF!</v>
      </c>
      <c r="W288" s="22" t="e">
        <f t="shared" si="62"/>
        <v>#REF!</v>
      </c>
      <c r="X288" s="22" t="e">
        <f t="shared" si="62"/>
        <v>#REF!</v>
      </c>
      <c r="Y288" s="22" t="e">
        <f t="shared" si="62"/>
        <v>#REF!</v>
      </c>
      <c r="Z288" s="22" t="e">
        <f t="shared" si="62"/>
        <v>#REF!</v>
      </c>
      <c r="AA288" s="22" t="e">
        <f t="shared" si="62"/>
        <v>#REF!</v>
      </c>
      <c r="AB288" s="22" t="e">
        <f t="shared" si="62"/>
        <v>#REF!</v>
      </c>
      <c r="AC288" s="22" t="e">
        <f t="shared" si="62"/>
        <v>#REF!</v>
      </c>
      <c r="AD288" s="22" t="e">
        <f t="shared" si="62"/>
        <v>#REF!</v>
      </c>
      <c r="AE288" s="22" t="e">
        <f t="shared" si="62"/>
        <v>#REF!</v>
      </c>
      <c r="AF288" s="22" t="e">
        <f t="shared" si="62"/>
        <v>#REF!</v>
      </c>
      <c r="AG288" s="22" t="e">
        <f t="shared" si="62"/>
        <v>#REF!</v>
      </c>
      <c r="AH288" s="22" t="e">
        <f t="shared" si="62"/>
        <v>#REF!</v>
      </c>
      <c r="AI288" s="22" t="e">
        <f t="shared" si="62"/>
        <v>#REF!</v>
      </c>
      <c r="AJ288" s="22" t="e">
        <f t="shared" si="62"/>
        <v>#REF!</v>
      </c>
      <c r="AK288" s="22" t="e">
        <f t="shared" si="62"/>
        <v>#REF!</v>
      </c>
      <c r="AL288" s="22" t="e">
        <f t="shared" si="62"/>
        <v>#REF!</v>
      </c>
      <c r="AM288" s="22" t="e">
        <f t="shared" si="62"/>
        <v>#REF!</v>
      </c>
      <c r="AN288" s="22" t="e">
        <f t="shared" si="62"/>
        <v>#REF!</v>
      </c>
      <c r="AO288" s="22" t="e">
        <f t="shared" si="62"/>
        <v>#REF!</v>
      </c>
      <c r="AP288" s="22" t="e">
        <f t="shared" si="62"/>
        <v>#REF!</v>
      </c>
      <c r="AQ288" s="22" t="e">
        <f t="shared" si="62"/>
        <v>#REF!</v>
      </c>
      <c r="AR288" s="22" t="e">
        <f t="shared" si="62"/>
        <v>#REF!</v>
      </c>
      <c r="AS288" s="22" t="e">
        <f t="shared" si="62"/>
        <v>#REF!</v>
      </c>
      <c r="AT288" s="22" t="e">
        <f t="shared" si="62"/>
        <v>#REF!</v>
      </c>
      <c r="AU288" s="22" t="e">
        <f t="shared" si="62"/>
        <v>#REF!</v>
      </c>
      <c r="AV288" s="22" t="e">
        <f t="shared" si="62"/>
        <v>#REF!</v>
      </c>
      <c r="AW288" s="22" t="e">
        <f t="shared" si="62"/>
        <v>#REF!</v>
      </c>
      <c r="AX288" s="22" t="e">
        <f t="shared" si="62"/>
        <v>#REF!</v>
      </c>
      <c r="AY288" s="22" t="e">
        <f t="shared" si="62"/>
        <v>#REF!</v>
      </c>
      <c r="AZ288" s="22" t="e">
        <f t="shared" si="62"/>
        <v>#REF!</v>
      </c>
      <c r="BA288" s="22" t="e">
        <f t="shared" si="62"/>
        <v>#REF!</v>
      </c>
      <c r="BB288" s="22" t="e">
        <f t="shared" si="62"/>
        <v>#REF!</v>
      </c>
      <c r="BC288" s="22" t="e">
        <f t="shared" si="62"/>
        <v>#REF!</v>
      </c>
      <c r="BD288" s="22" t="e">
        <f t="shared" si="62"/>
        <v>#REF!</v>
      </c>
      <c r="BO288" s="22"/>
      <c r="BP288" s="22"/>
      <c r="BQ288" s="22"/>
      <c r="BR288" s="22"/>
      <c r="BS288" s="22"/>
      <c r="BT288" s="22"/>
      <c r="BU288" s="22"/>
      <c r="BV288" s="23"/>
      <c r="BW288" s="23"/>
      <c r="BX288" s="23"/>
      <c r="BY288" s="23"/>
      <c r="BZ288" s="23"/>
      <c r="CA288" s="23"/>
      <c r="CB288" s="23"/>
      <c r="CC288" s="23"/>
      <c r="CD288" s="24"/>
    </row>
    <row r="289" spans="5:82">
      <c r="E289" s="1">
        <v>6</v>
      </c>
      <c r="F289" s="4" t="s">
        <v>94</v>
      </c>
      <c r="G289" s="22"/>
      <c r="H289" s="23" t="e">
        <f>'S-Curve'!#REF!</f>
        <v>#REF!</v>
      </c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4"/>
    </row>
    <row r="290" spans="5:82">
      <c r="G290" s="22"/>
      <c r="H290" s="23" t="e">
        <f>H289/39</f>
        <v>#REF!</v>
      </c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4"/>
    </row>
    <row r="291" spans="5:82">
      <c r="G291" s="27">
        <v>0.2</v>
      </c>
      <c r="H291" s="27">
        <v>0.2</v>
      </c>
      <c r="I291" s="27">
        <v>0.2</v>
      </c>
      <c r="J291" s="27">
        <v>0.2</v>
      </c>
      <c r="K291" s="27">
        <v>0.2</v>
      </c>
      <c r="L291" s="28">
        <v>1</v>
      </c>
      <c r="M291" s="28">
        <v>1</v>
      </c>
      <c r="N291" s="28">
        <v>1</v>
      </c>
      <c r="O291" s="28">
        <v>1</v>
      </c>
      <c r="P291" s="28">
        <v>1.8</v>
      </c>
      <c r="Q291" s="28">
        <v>1.8</v>
      </c>
      <c r="R291" s="28">
        <v>1.8</v>
      </c>
      <c r="S291" s="28">
        <v>1.8</v>
      </c>
      <c r="T291" s="28">
        <v>1</v>
      </c>
      <c r="U291" s="28">
        <v>1</v>
      </c>
      <c r="V291" s="28">
        <v>1</v>
      </c>
      <c r="W291" s="28">
        <v>1</v>
      </c>
      <c r="X291" s="28">
        <v>1</v>
      </c>
      <c r="Y291" s="28">
        <v>1</v>
      </c>
      <c r="Z291" s="28">
        <v>1</v>
      </c>
      <c r="AA291" s="28">
        <v>1</v>
      </c>
      <c r="AB291" s="28">
        <v>1</v>
      </c>
      <c r="AC291" s="28">
        <v>1</v>
      </c>
      <c r="AD291" s="28">
        <v>1</v>
      </c>
      <c r="AE291" s="28">
        <v>1</v>
      </c>
      <c r="AF291" s="28">
        <v>1</v>
      </c>
      <c r="AG291" s="28">
        <v>1</v>
      </c>
      <c r="AH291" s="28">
        <v>1</v>
      </c>
      <c r="AI291" s="28">
        <v>1</v>
      </c>
      <c r="AJ291" s="28">
        <v>1</v>
      </c>
      <c r="AK291" s="28">
        <v>1</v>
      </c>
      <c r="AL291" s="28">
        <v>1</v>
      </c>
      <c r="AM291" s="28">
        <v>1</v>
      </c>
      <c r="AN291" s="28">
        <v>1</v>
      </c>
      <c r="AO291" s="28">
        <v>1</v>
      </c>
      <c r="AP291" s="28">
        <v>1</v>
      </c>
      <c r="AQ291" s="28">
        <v>1</v>
      </c>
      <c r="AR291" s="28">
        <v>1.4</v>
      </c>
      <c r="AS291" s="28">
        <v>1.4</v>
      </c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9"/>
    </row>
    <row r="292" spans="5:82">
      <c r="F292" s="9" t="e">
        <f>SUM(G292:BU292)</f>
        <v>#REF!</v>
      </c>
      <c r="G292" s="22" t="e">
        <f>G291*$H$290</f>
        <v>#REF!</v>
      </c>
      <c r="H292" s="22" t="e">
        <f t="shared" ref="H292:AS292" si="63">H291*$H$290</f>
        <v>#REF!</v>
      </c>
      <c r="I292" s="22" t="e">
        <f t="shared" si="63"/>
        <v>#REF!</v>
      </c>
      <c r="J292" s="22" t="e">
        <f t="shared" si="63"/>
        <v>#REF!</v>
      </c>
      <c r="K292" s="22" t="e">
        <f t="shared" si="63"/>
        <v>#REF!</v>
      </c>
      <c r="L292" s="22" t="e">
        <f t="shared" si="63"/>
        <v>#REF!</v>
      </c>
      <c r="M292" s="22" t="e">
        <f t="shared" si="63"/>
        <v>#REF!</v>
      </c>
      <c r="N292" s="22" t="e">
        <f t="shared" si="63"/>
        <v>#REF!</v>
      </c>
      <c r="O292" s="22" t="e">
        <f t="shared" si="63"/>
        <v>#REF!</v>
      </c>
      <c r="P292" s="22" t="e">
        <f t="shared" si="63"/>
        <v>#REF!</v>
      </c>
      <c r="Q292" s="22" t="e">
        <f t="shared" si="63"/>
        <v>#REF!</v>
      </c>
      <c r="R292" s="22" t="e">
        <f t="shared" si="63"/>
        <v>#REF!</v>
      </c>
      <c r="S292" s="22" t="e">
        <f t="shared" si="63"/>
        <v>#REF!</v>
      </c>
      <c r="T292" s="22" t="e">
        <f t="shared" si="63"/>
        <v>#REF!</v>
      </c>
      <c r="U292" s="22" t="e">
        <f t="shared" si="63"/>
        <v>#REF!</v>
      </c>
      <c r="V292" s="22" t="e">
        <f>V291*$H$290</f>
        <v>#REF!</v>
      </c>
      <c r="W292" s="22" t="e">
        <f t="shared" si="63"/>
        <v>#REF!</v>
      </c>
      <c r="X292" s="22" t="e">
        <f t="shared" si="63"/>
        <v>#REF!</v>
      </c>
      <c r="Y292" s="22" t="e">
        <f t="shared" si="63"/>
        <v>#REF!</v>
      </c>
      <c r="Z292" s="22" t="e">
        <f t="shared" si="63"/>
        <v>#REF!</v>
      </c>
      <c r="AA292" s="22" t="e">
        <f t="shared" si="63"/>
        <v>#REF!</v>
      </c>
      <c r="AB292" s="22" t="e">
        <f t="shared" si="63"/>
        <v>#REF!</v>
      </c>
      <c r="AC292" s="22" t="e">
        <f t="shared" si="63"/>
        <v>#REF!</v>
      </c>
      <c r="AD292" s="22" t="e">
        <f t="shared" si="63"/>
        <v>#REF!</v>
      </c>
      <c r="AE292" s="22" t="e">
        <f t="shared" si="63"/>
        <v>#REF!</v>
      </c>
      <c r="AF292" s="22" t="e">
        <f t="shared" si="63"/>
        <v>#REF!</v>
      </c>
      <c r="AG292" s="22" t="e">
        <f t="shared" si="63"/>
        <v>#REF!</v>
      </c>
      <c r="AH292" s="22" t="e">
        <f t="shared" si="63"/>
        <v>#REF!</v>
      </c>
      <c r="AI292" s="22" t="e">
        <f t="shared" si="63"/>
        <v>#REF!</v>
      </c>
      <c r="AJ292" s="22" t="e">
        <f t="shared" si="63"/>
        <v>#REF!</v>
      </c>
      <c r="AK292" s="22" t="e">
        <f t="shared" si="63"/>
        <v>#REF!</v>
      </c>
      <c r="AL292" s="22" t="e">
        <f t="shared" si="63"/>
        <v>#REF!</v>
      </c>
      <c r="AM292" s="22" t="e">
        <f t="shared" si="63"/>
        <v>#REF!</v>
      </c>
      <c r="AN292" s="22" t="e">
        <f t="shared" si="63"/>
        <v>#REF!</v>
      </c>
      <c r="AO292" s="22" t="e">
        <f t="shared" si="63"/>
        <v>#REF!</v>
      </c>
      <c r="AP292" s="22" t="e">
        <f t="shared" si="63"/>
        <v>#REF!</v>
      </c>
      <c r="AQ292" s="22" t="e">
        <f t="shared" si="63"/>
        <v>#REF!</v>
      </c>
      <c r="AR292" s="22" t="e">
        <f t="shared" si="63"/>
        <v>#REF!</v>
      </c>
      <c r="AS292" s="22" t="e">
        <f t="shared" si="63"/>
        <v>#REF!</v>
      </c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37"/>
    </row>
    <row r="293" spans="5:82">
      <c r="E293" s="1">
        <v>7</v>
      </c>
      <c r="F293" s="4" t="s">
        <v>95</v>
      </c>
      <c r="G293" s="22"/>
      <c r="H293" s="23" t="e">
        <f>'S-Curve'!#REF!</f>
        <v>#REF!</v>
      </c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4"/>
    </row>
    <row r="294" spans="5:82">
      <c r="G294" s="22"/>
      <c r="H294" s="23" t="e">
        <f>H293/39</f>
        <v>#REF!</v>
      </c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4"/>
    </row>
    <row r="295" spans="5:82">
      <c r="G295" s="27">
        <v>0.2</v>
      </c>
      <c r="H295" s="27">
        <v>0.2</v>
      </c>
      <c r="I295" s="27">
        <v>0.2</v>
      </c>
      <c r="J295" s="27">
        <v>0.2</v>
      </c>
      <c r="K295" s="27">
        <v>0.2</v>
      </c>
      <c r="L295" s="28">
        <v>1</v>
      </c>
      <c r="M295" s="28">
        <v>1</v>
      </c>
      <c r="N295" s="28">
        <v>1</v>
      </c>
      <c r="O295" s="28">
        <v>1</v>
      </c>
      <c r="P295" s="28">
        <v>1.8</v>
      </c>
      <c r="Q295" s="28">
        <v>1.8</v>
      </c>
      <c r="R295" s="28">
        <v>1.8</v>
      </c>
      <c r="S295" s="28">
        <v>1.8</v>
      </c>
      <c r="T295" s="28">
        <v>1</v>
      </c>
      <c r="U295" s="28">
        <v>1</v>
      </c>
      <c r="V295" s="28">
        <v>1</v>
      </c>
      <c r="W295" s="28">
        <v>1</v>
      </c>
      <c r="X295" s="28">
        <v>1</v>
      </c>
      <c r="Y295" s="28">
        <v>1</v>
      </c>
      <c r="Z295" s="28">
        <v>1</v>
      </c>
      <c r="AA295" s="28">
        <v>1</v>
      </c>
      <c r="AB295" s="28">
        <v>1</v>
      </c>
      <c r="AC295" s="28">
        <v>1</v>
      </c>
      <c r="AD295" s="28">
        <v>1</v>
      </c>
      <c r="AE295" s="28">
        <v>1</v>
      </c>
      <c r="AF295" s="28">
        <v>1</v>
      </c>
      <c r="AG295" s="28">
        <v>1</v>
      </c>
      <c r="AH295" s="28">
        <v>1</v>
      </c>
      <c r="AI295" s="28">
        <v>1</v>
      </c>
      <c r="AJ295" s="28">
        <v>1</v>
      </c>
      <c r="AK295" s="28">
        <v>1</v>
      </c>
      <c r="AL295" s="28">
        <v>1</v>
      </c>
      <c r="AM295" s="28">
        <v>1</v>
      </c>
      <c r="AN295" s="28">
        <v>1</v>
      </c>
      <c r="AO295" s="28">
        <v>1</v>
      </c>
      <c r="AP295" s="28">
        <v>1</v>
      </c>
      <c r="AQ295" s="28">
        <v>1</v>
      </c>
      <c r="AR295" s="28">
        <v>1.4</v>
      </c>
      <c r="AS295" s="28">
        <v>1.4</v>
      </c>
      <c r="AT295" s="28"/>
      <c r="AU295" s="28"/>
      <c r="CA295" s="28"/>
      <c r="CB295" s="28"/>
      <c r="CC295" s="28"/>
      <c r="CD295" s="29"/>
    </row>
    <row r="296" spans="5:82">
      <c r="F296" s="9" t="e">
        <f>SUM(G296:AP296)</f>
        <v>#REF!</v>
      </c>
      <c r="G296" s="22" t="e">
        <f t="shared" ref="G296:AI296" si="64">G295*$H$294</f>
        <v>#REF!</v>
      </c>
      <c r="H296" s="22" t="e">
        <f t="shared" si="64"/>
        <v>#REF!</v>
      </c>
      <c r="I296" s="22" t="e">
        <f t="shared" si="64"/>
        <v>#REF!</v>
      </c>
      <c r="J296" s="22" t="e">
        <f t="shared" si="64"/>
        <v>#REF!</v>
      </c>
      <c r="K296" s="22" t="e">
        <f t="shared" si="64"/>
        <v>#REF!</v>
      </c>
      <c r="L296" s="22" t="e">
        <f t="shared" si="64"/>
        <v>#REF!</v>
      </c>
      <c r="M296" s="22" t="e">
        <f t="shared" si="64"/>
        <v>#REF!</v>
      </c>
      <c r="N296" s="22" t="e">
        <f t="shared" si="64"/>
        <v>#REF!</v>
      </c>
      <c r="O296" s="22" t="e">
        <f t="shared" si="64"/>
        <v>#REF!</v>
      </c>
      <c r="P296" s="22" t="e">
        <f t="shared" si="64"/>
        <v>#REF!</v>
      </c>
      <c r="Q296" s="22" t="e">
        <f t="shared" si="64"/>
        <v>#REF!</v>
      </c>
      <c r="R296" s="22" t="e">
        <f t="shared" si="64"/>
        <v>#REF!</v>
      </c>
      <c r="S296" s="22" t="e">
        <f t="shared" si="64"/>
        <v>#REF!</v>
      </c>
      <c r="T296" s="22" t="e">
        <f t="shared" si="64"/>
        <v>#REF!</v>
      </c>
      <c r="U296" s="22" t="e">
        <f t="shared" si="64"/>
        <v>#REF!</v>
      </c>
      <c r="V296" s="22" t="e">
        <f t="shared" si="64"/>
        <v>#REF!</v>
      </c>
      <c r="W296" s="22" t="e">
        <f t="shared" si="64"/>
        <v>#REF!</v>
      </c>
      <c r="X296" s="22" t="e">
        <f t="shared" si="64"/>
        <v>#REF!</v>
      </c>
      <c r="Y296" s="22" t="e">
        <f t="shared" si="64"/>
        <v>#REF!</v>
      </c>
      <c r="Z296" s="22" t="e">
        <f t="shared" si="64"/>
        <v>#REF!</v>
      </c>
      <c r="AA296" s="22" t="e">
        <f t="shared" si="64"/>
        <v>#REF!</v>
      </c>
      <c r="AB296" s="22" t="e">
        <f t="shared" si="64"/>
        <v>#REF!</v>
      </c>
      <c r="AC296" s="22" t="e">
        <f t="shared" si="64"/>
        <v>#REF!</v>
      </c>
      <c r="AD296" s="22" t="e">
        <f t="shared" si="64"/>
        <v>#REF!</v>
      </c>
      <c r="AE296" s="22" t="e">
        <f t="shared" si="64"/>
        <v>#REF!</v>
      </c>
      <c r="AF296" s="22" t="e">
        <f t="shared" si="64"/>
        <v>#REF!</v>
      </c>
      <c r="AG296" s="22" t="e">
        <f t="shared" si="64"/>
        <v>#REF!</v>
      </c>
      <c r="AH296" s="22" t="e">
        <f t="shared" si="64"/>
        <v>#REF!</v>
      </c>
      <c r="AI296" s="22" t="e">
        <f t="shared" si="64"/>
        <v>#REF!</v>
      </c>
      <c r="AJ296" s="22" t="e">
        <f t="shared" ref="AJ296:AS296" si="65">AJ295*$H$294</f>
        <v>#REF!</v>
      </c>
      <c r="AK296" s="22" t="e">
        <f t="shared" si="65"/>
        <v>#REF!</v>
      </c>
      <c r="AL296" s="22" t="e">
        <f t="shared" si="65"/>
        <v>#REF!</v>
      </c>
      <c r="AM296" s="22" t="e">
        <f t="shared" si="65"/>
        <v>#REF!</v>
      </c>
      <c r="AN296" s="22" t="e">
        <f t="shared" si="65"/>
        <v>#REF!</v>
      </c>
      <c r="AO296" s="22" t="e">
        <f t="shared" si="65"/>
        <v>#REF!</v>
      </c>
      <c r="AP296" s="22" t="e">
        <f t="shared" si="65"/>
        <v>#REF!</v>
      </c>
      <c r="AQ296" s="22" t="e">
        <f t="shared" si="65"/>
        <v>#REF!</v>
      </c>
      <c r="AR296" s="22" t="e">
        <f t="shared" si="65"/>
        <v>#REF!</v>
      </c>
      <c r="AS296" s="22" t="e">
        <f t="shared" si="65"/>
        <v>#REF!</v>
      </c>
      <c r="AT296" s="22"/>
      <c r="AU296" s="22"/>
      <c r="CA296" s="22"/>
      <c r="CB296" s="22"/>
      <c r="CC296" s="22"/>
      <c r="CD296" s="37"/>
    </row>
    <row r="297" spans="5:82">
      <c r="E297" s="1">
        <v>8</v>
      </c>
      <c r="F297" s="4" t="s">
        <v>96</v>
      </c>
      <c r="G297" s="22"/>
      <c r="H297" s="23" t="e">
        <f>'S-Curve'!#REF!</f>
        <v>#REF!</v>
      </c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4"/>
    </row>
    <row r="298" spans="5:82">
      <c r="G298" s="22"/>
      <c r="H298" s="42" t="e">
        <f>H297/8</f>
        <v>#REF!</v>
      </c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4"/>
    </row>
    <row r="299" spans="5:82">
      <c r="G299" s="27">
        <v>1</v>
      </c>
      <c r="H299" s="27">
        <v>1</v>
      </c>
      <c r="I299" s="27">
        <v>1</v>
      </c>
      <c r="J299" s="27">
        <v>1</v>
      </c>
      <c r="K299" s="27">
        <v>1</v>
      </c>
      <c r="L299" s="27">
        <v>1</v>
      </c>
      <c r="M299" s="27">
        <v>1</v>
      </c>
      <c r="N299" s="27">
        <v>1</v>
      </c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4"/>
    </row>
    <row r="300" spans="5:82">
      <c r="F300" s="9" t="e">
        <f>SUM(G300:BN300)</f>
        <v>#REF!</v>
      </c>
      <c r="G300" s="22" t="e">
        <f>G299*$H$298</f>
        <v>#REF!</v>
      </c>
      <c r="H300" s="22" t="e">
        <f t="shared" ref="H300:N300" si="66">H299*$H$298</f>
        <v>#REF!</v>
      </c>
      <c r="I300" s="22" t="e">
        <f t="shared" si="66"/>
        <v>#REF!</v>
      </c>
      <c r="J300" s="22" t="e">
        <f t="shared" si="66"/>
        <v>#REF!</v>
      </c>
      <c r="K300" s="22" t="e">
        <f t="shared" si="66"/>
        <v>#REF!</v>
      </c>
      <c r="L300" s="22" t="e">
        <f t="shared" si="66"/>
        <v>#REF!</v>
      </c>
      <c r="M300" s="22" t="e">
        <f t="shared" si="66"/>
        <v>#REF!</v>
      </c>
      <c r="N300" s="22" t="e">
        <f t="shared" si="66"/>
        <v>#REF!</v>
      </c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4"/>
    </row>
    <row r="301" spans="5:82">
      <c r="G301" s="22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4"/>
    </row>
    <row r="302" spans="5:82">
      <c r="G302" s="22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4"/>
    </row>
    <row r="303" spans="5:82">
      <c r="G303" s="22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4"/>
    </row>
    <row r="304" spans="5:82">
      <c r="G304" s="22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4"/>
    </row>
    <row r="305" spans="5:82">
      <c r="E305" s="14">
        <v>9</v>
      </c>
      <c r="F305" s="17" t="s">
        <v>97</v>
      </c>
      <c r="G305" s="22"/>
      <c r="H305" s="23" t="e">
        <f>'S-Curve'!#REF!</f>
        <v>#REF!</v>
      </c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4"/>
    </row>
    <row r="306" spans="5:82">
      <c r="G306" s="22"/>
      <c r="H306" s="23" t="e">
        <f>H305/40</f>
        <v>#REF!</v>
      </c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4"/>
    </row>
    <row r="307" spans="5:82">
      <c r="G307" s="27">
        <v>1</v>
      </c>
      <c r="H307" s="28">
        <v>1</v>
      </c>
      <c r="I307" s="28">
        <v>1</v>
      </c>
      <c r="J307" s="28">
        <v>1</v>
      </c>
      <c r="K307" s="28">
        <v>1</v>
      </c>
      <c r="L307" s="28">
        <v>1</v>
      </c>
      <c r="M307" s="28">
        <v>1</v>
      </c>
      <c r="N307" s="28">
        <v>1</v>
      </c>
      <c r="O307" s="28">
        <v>1</v>
      </c>
      <c r="P307" s="28">
        <v>1</v>
      </c>
      <c r="Q307" s="28">
        <v>1</v>
      </c>
      <c r="R307" s="28">
        <v>1</v>
      </c>
      <c r="S307" s="28">
        <v>1</v>
      </c>
      <c r="T307" s="28">
        <v>1</v>
      </c>
      <c r="U307" s="28">
        <v>1</v>
      </c>
      <c r="V307" s="28">
        <v>1</v>
      </c>
      <c r="W307" s="28">
        <v>1</v>
      </c>
      <c r="X307" s="28">
        <v>1</v>
      </c>
      <c r="Y307" s="28">
        <v>1</v>
      </c>
      <c r="Z307" s="28">
        <v>1</v>
      </c>
      <c r="AA307" s="28">
        <v>1</v>
      </c>
      <c r="AB307" s="28">
        <v>1</v>
      </c>
      <c r="AC307" s="28">
        <v>1</v>
      </c>
      <c r="AD307" s="28">
        <v>1</v>
      </c>
      <c r="AE307" s="28">
        <v>1</v>
      </c>
      <c r="AF307" s="28">
        <v>1</v>
      </c>
      <c r="AG307" s="28">
        <v>1</v>
      </c>
      <c r="AH307" s="28">
        <v>1</v>
      </c>
      <c r="AI307" s="28">
        <v>1</v>
      </c>
      <c r="AJ307" s="28">
        <v>1</v>
      </c>
      <c r="AK307" s="28">
        <v>1</v>
      </c>
      <c r="AL307" s="28">
        <v>1</v>
      </c>
      <c r="AM307" s="28">
        <v>1</v>
      </c>
      <c r="AN307" s="28">
        <v>1</v>
      </c>
      <c r="AO307" s="28">
        <v>1</v>
      </c>
      <c r="AP307" s="28">
        <v>1</v>
      </c>
      <c r="AQ307" s="28">
        <v>1</v>
      </c>
      <c r="AR307" s="28">
        <v>1</v>
      </c>
      <c r="AS307" s="28">
        <v>1</v>
      </c>
      <c r="AT307" s="28">
        <v>1</v>
      </c>
      <c r="AU307" s="28"/>
      <c r="AV307" s="28"/>
      <c r="AW307" s="28"/>
      <c r="AX307" s="28"/>
      <c r="AY307" s="28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4"/>
    </row>
    <row r="308" spans="5:82">
      <c r="F308" s="9" t="e">
        <f>SUM(G308:BN308)</f>
        <v>#REF!</v>
      </c>
      <c r="G308" s="22" t="e">
        <f>G307*$H$306</f>
        <v>#REF!</v>
      </c>
      <c r="H308" s="23" t="e">
        <f t="shared" ref="H308:AT308" si="67">H307*$H$306</f>
        <v>#REF!</v>
      </c>
      <c r="I308" s="23" t="e">
        <f t="shared" si="67"/>
        <v>#REF!</v>
      </c>
      <c r="J308" s="23" t="e">
        <f t="shared" si="67"/>
        <v>#REF!</v>
      </c>
      <c r="K308" s="23" t="e">
        <f t="shared" si="67"/>
        <v>#REF!</v>
      </c>
      <c r="L308" s="23" t="e">
        <f t="shared" si="67"/>
        <v>#REF!</v>
      </c>
      <c r="M308" s="23" t="e">
        <f t="shared" si="67"/>
        <v>#REF!</v>
      </c>
      <c r="N308" s="23" t="e">
        <f t="shared" si="67"/>
        <v>#REF!</v>
      </c>
      <c r="O308" s="23" t="e">
        <f t="shared" si="67"/>
        <v>#REF!</v>
      </c>
      <c r="P308" s="23" t="e">
        <f t="shared" si="67"/>
        <v>#REF!</v>
      </c>
      <c r="Q308" s="23" t="e">
        <f t="shared" si="67"/>
        <v>#REF!</v>
      </c>
      <c r="R308" s="23" t="e">
        <f t="shared" si="67"/>
        <v>#REF!</v>
      </c>
      <c r="S308" s="23" t="e">
        <f t="shared" si="67"/>
        <v>#REF!</v>
      </c>
      <c r="T308" s="23" t="e">
        <f t="shared" si="67"/>
        <v>#REF!</v>
      </c>
      <c r="U308" s="23" t="e">
        <f t="shared" si="67"/>
        <v>#REF!</v>
      </c>
      <c r="V308" s="23" t="e">
        <f t="shared" si="67"/>
        <v>#REF!</v>
      </c>
      <c r="W308" s="23" t="e">
        <f t="shared" si="67"/>
        <v>#REF!</v>
      </c>
      <c r="X308" s="23" t="e">
        <f t="shared" si="67"/>
        <v>#REF!</v>
      </c>
      <c r="Y308" s="23" t="e">
        <f t="shared" si="67"/>
        <v>#REF!</v>
      </c>
      <c r="Z308" s="23" t="e">
        <f t="shared" si="67"/>
        <v>#REF!</v>
      </c>
      <c r="AA308" s="23" t="e">
        <f t="shared" si="67"/>
        <v>#REF!</v>
      </c>
      <c r="AB308" s="23" t="e">
        <f t="shared" si="67"/>
        <v>#REF!</v>
      </c>
      <c r="AC308" s="23" t="e">
        <f t="shared" si="67"/>
        <v>#REF!</v>
      </c>
      <c r="AD308" s="23" t="e">
        <f t="shared" si="67"/>
        <v>#REF!</v>
      </c>
      <c r="AE308" s="23" t="e">
        <f t="shared" si="67"/>
        <v>#REF!</v>
      </c>
      <c r="AF308" s="23" t="e">
        <f t="shared" si="67"/>
        <v>#REF!</v>
      </c>
      <c r="AG308" s="23" t="e">
        <f t="shared" si="67"/>
        <v>#REF!</v>
      </c>
      <c r="AH308" s="23" t="e">
        <f t="shared" si="67"/>
        <v>#REF!</v>
      </c>
      <c r="AI308" s="23" t="e">
        <f t="shared" si="67"/>
        <v>#REF!</v>
      </c>
      <c r="AJ308" s="23" t="e">
        <f t="shared" si="67"/>
        <v>#REF!</v>
      </c>
      <c r="AK308" s="23" t="e">
        <f t="shared" si="67"/>
        <v>#REF!</v>
      </c>
      <c r="AL308" s="23" t="e">
        <f t="shared" si="67"/>
        <v>#REF!</v>
      </c>
      <c r="AM308" s="23" t="e">
        <f t="shared" si="67"/>
        <v>#REF!</v>
      </c>
      <c r="AN308" s="23" t="e">
        <f t="shared" si="67"/>
        <v>#REF!</v>
      </c>
      <c r="AO308" s="23" t="e">
        <f t="shared" si="67"/>
        <v>#REF!</v>
      </c>
      <c r="AP308" s="23" t="e">
        <f t="shared" si="67"/>
        <v>#REF!</v>
      </c>
      <c r="AQ308" s="23" t="e">
        <f t="shared" si="67"/>
        <v>#REF!</v>
      </c>
      <c r="AR308" s="23" t="e">
        <f t="shared" si="67"/>
        <v>#REF!</v>
      </c>
      <c r="AS308" s="23" t="e">
        <f t="shared" si="67"/>
        <v>#REF!</v>
      </c>
      <c r="AT308" s="23" t="e">
        <f t="shared" si="67"/>
        <v>#REF!</v>
      </c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4"/>
    </row>
    <row r="309" spans="5:82">
      <c r="G309" s="22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4"/>
    </row>
    <row r="310" spans="5:82">
      <c r="G310" s="22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4"/>
    </row>
    <row r="311" spans="5:82">
      <c r="G311" s="22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4"/>
    </row>
    <row r="312" spans="5:82">
      <c r="G312" s="22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4"/>
    </row>
    <row r="313" spans="5:82">
      <c r="G313" s="22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4"/>
    </row>
    <row r="314" spans="5:82">
      <c r="G314" s="22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4"/>
    </row>
    <row r="315" spans="5:82">
      <c r="G315" s="22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4"/>
    </row>
    <row r="316" spans="5:82">
      <c r="G316" s="22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4"/>
    </row>
    <row r="317" spans="5:82">
      <c r="G317" s="22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4"/>
    </row>
    <row r="318" spans="5:82">
      <c r="G318" s="25" t="e">
        <f>G319/$H$286</f>
        <v>#REF!</v>
      </c>
      <c r="H318" s="25" t="e">
        <f t="shared" ref="H318:BD318" si="68">H319/$H$286</f>
        <v>#REF!</v>
      </c>
      <c r="I318" s="25" t="e">
        <f t="shared" si="68"/>
        <v>#REF!</v>
      </c>
      <c r="J318" s="25" t="e">
        <f t="shared" si="68"/>
        <v>#REF!</v>
      </c>
      <c r="K318" s="25" t="e">
        <f t="shared" si="68"/>
        <v>#REF!</v>
      </c>
      <c r="L318" s="25" t="e">
        <f t="shared" si="68"/>
        <v>#REF!</v>
      </c>
      <c r="M318" s="25" t="e">
        <f t="shared" si="68"/>
        <v>#REF!</v>
      </c>
      <c r="N318" s="25" t="e">
        <f t="shared" si="68"/>
        <v>#REF!</v>
      </c>
      <c r="O318" s="25" t="e">
        <f t="shared" si="68"/>
        <v>#REF!</v>
      </c>
      <c r="P318" s="25" t="e">
        <f t="shared" si="68"/>
        <v>#REF!</v>
      </c>
      <c r="Q318" s="25"/>
      <c r="R318" s="25"/>
      <c r="S318" s="25" t="e">
        <f t="shared" si="68"/>
        <v>#REF!</v>
      </c>
      <c r="T318" s="25" t="e">
        <f t="shared" si="68"/>
        <v>#REF!</v>
      </c>
      <c r="U318" s="25" t="e">
        <f t="shared" si="68"/>
        <v>#REF!</v>
      </c>
      <c r="V318" s="25" t="e">
        <f t="shared" si="68"/>
        <v>#REF!</v>
      </c>
      <c r="W318" s="25" t="e">
        <f t="shared" si="68"/>
        <v>#REF!</v>
      </c>
      <c r="X318" s="25" t="e">
        <f t="shared" si="68"/>
        <v>#REF!</v>
      </c>
      <c r="Y318" s="25" t="e">
        <f t="shared" si="68"/>
        <v>#REF!</v>
      </c>
      <c r="Z318" s="25" t="e">
        <f t="shared" si="68"/>
        <v>#REF!</v>
      </c>
      <c r="AA318" s="25" t="e">
        <f t="shared" si="68"/>
        <v>#REF!</v>
      </c>
      <c r="AB318" s="25" t="e">
        <f t="shared" si="68"/>
        <v>#REF!</v>
      </c>
      <c r="AC318" s="25" t="e">
        <f t="shared" si="68"/>
        <v>#REF!</v>
      </c>
      <c r="AD318" s="25" t="e">
        <f t="shared" si="68"/>
        <v>#REF!</v>
      </c>
      <c r="AE318" s="25" t="e">
        <f t="shared" si="68"/>
        <v>#REF!</v>
      </c>
      <c r="AF318" s="25" t="e">
        <f t="shared" si="68"/>
        <v>#REF!</v>
      </c>
      <c r="AG318" s="25" t="e">
        <f t="shared" si="68"/>
        <v>#REF!</v>
      </c>
      <c r="AH318" s="25" t="e">
        <f t="shared" si="68"/>
        <v>#REF!</v>
      </c>
      <c r="AI318" s="25" t="e">
        <f t="shared" si="68"/>
        <v>#REF!</v>
      </c>
      <c r="AJ318" s="25" t="e">
        <f t="shared" si="68"/>
        <v>#REF!</v>
      </c>
      <c r="AK318" s="25" t="e">
        <f t="shared" si="68"/>
        <v>#REF!</v>
      </c>
      <c r="AL318" s="25" t="e">
        <f t="shared" si="68"/>
        <v>#REF!</v>
      </c>
      <c r="AM318" s="25" t="e">
        <f t="shared" si="68"/>
        <v>#REF!</v>
      </c>
      <c r="AN318" s="25" t="e">
        <f t="shared" si="68"/>
        <v>#REF!</v>
      </c>
      <c r="AO318" s="25" t="e">
        <f t="shared" si="68"/>
        <v>#REF!</v>
      </c>
      <c r="AP318" s="25" t="e">
        <f t="shared" si="68"/>
        <v>#REF!</v>
      </c>
      <c r="AQ318" s="25" t="e">
        <f t="shared" si="68"/>
        <v>#REF!</v>
      </c>
      <c r="AR318" s="25" t="e">
        <f t="shared" si="68"/>
        <v>#REF!</v>
      </c>
      <c r="AS318" s="25" t="e">
        <f t="shared" si="68"/>
        <v>#REF!</v>
      </c>
      <c r="AT318" s="25" t="e">
        <f t="shared" si="68"/>
        <v>#REF!</v>
      </c>
      <c r="AU318" s="25" t="e">
        <f t="shared" si="68"/>
        <v>#REF!</v>
      </c>
      <c r="AV318" s="25" t="e">
        <f t="shared" si="68"/>
        <v>#REF!</v>
      </c>
      <c r="AW318" s="25" t="e">
        <f t="shared" si="68"/>
        <v>#REF!</v>
      </c>
      <c r="AX318" s="25" t="e">
        <f t="shared" si="68"/>
        <v>#REF!</v>
      </c>
      <c r="AY318" s="25" t="e">
        <f t="shared" si="68"/>
        <v>#REF!</v>
      </c>
      <c r="AZ318" s="25" t="e">
        <f t="shared" si="68"/>
        <v>#REF!</v>
      </c>
      <c r="BA318" s="25" t="e">
        <f t="shared" si="68"/>
        <v>#REF!</v>
      </c>
      <c r="BB318" s="25" t="e">
        <f t="shared" si="68"/>
        <v>#REF!</v>
      </c>
      <c r="BC318" s="25" t="e">
        <f t="shared" si="68"/>
        <v>#REF!</v>
      </c>
      <c r="BD318" s="25" t="e">
        <f t="shared" si="68"/>
        <v>#REF!</v>
      </c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4"/>
    </row>
    <row r="319" spans="5:82">
      <c r="G319" s="22">
        <v>1.023848480816793E-3</v>
      </c>
      <c r="H319" s="23">
        <v>1.023848480816793E-3</v>
      </c>
      <c r="I319" s="23">
        <v>1.023848480816793E-3</v>
      </c>
      <c r="J319" s="23">
        <v>1.023848480816793E-3</v>
      </c>
      <c r="K319" s="23">
        <v>1.023848480816793E-3</v>
      </c>
      <c r="L319" s="23">
        <v>1.023848480816793E-3</v>
      </c>
      <c r="M319" s="23">
        <v>1.023848480816793E-3</v>
      </c>
      <c r="N319" s="23">
        <v>1.023848480816793E-3</v>
      </c>
      <c r="O319" s="23">
        <v>1.023848480816793E-3</v>
      </c>
      <c r="P319" s="23">
        <v>1.023848480816793E-3</v>
      </c>
      <c r="Q319" s="23"/>
      <c r="R319" s="23"/>
      <c r="S319" s="23">
        <v>1.023848480816793E-3</v>
      </c>
      <c r="T319" s="23">
        <v>4.095393923267172E-3</v>
      </c>
      <c r="U319" s="23">
        <v>5.1192424040839655E-3</v>
      </c>
      <c r="V319" s="23">
        <v>5.1192424040839655E-3</v>
      </c>
      <c r="W319" s="23">
        <v>5.1192424040839655E-3</v>
      </c>
      <c r="X319" s="23">
        <v>1.0238484808167931E-2</v>
      </c>
      <c r="Y319" s="23">
        <v>1.0238484808167931E-2</v>
      </c>
      <c r="Z319" s="23">
        <v>2.0476969616335862E-2</v>
      </c>
      <c r="AA319" s="23">
        <v>3.0715454424503789E-2</v>
      </c>
      <c r="AB319" s="23">
        <v>4.0953939232671724E-2</v>
      </c>
      <c r="AC319" s="23">
        <v>5.1192424040839651E-2</v>
      </c>
      <c r="AD319" s="23">
        <v>6.1430908849007579E-2</v>
      </c>
      <c r="AE319" s="23">
        <v>7.1669393657175506E-2</v>
      </c>
      <c r="AF319" s="23">
        <v>8.1907878465343448E-2</v>
      </c>
      <c r="AG319" s="23">
        <v>9.2146363273511375E-2</v>
      </c>
      <c r="AH319" s="23">
        <v>0.1023848480816793</v>
      </c>
      <c r="AI319" s="23">
        <v>0.1023848480816793</v>
      </c>
      <c r="AJ319" s="23">
        <v>0.1023848480816793</v>
      </c>
      <c r="AK319" s="23">
        <v>0.1023848480816793</v>
      </c>
      <c r="AL319" s="23">
        <v>0.1023848480816793</v>
      </c>
      <c r="AM319" s="23">
        <v>0.20476969616335861</v>
      </c>
      <c r="AN319" s="23">
        <v>0.20476969616335861</v>
      </c>
      <c r="AO319" s="23">
        <v>0.20476969616335861</v>
      </c>
      <c r="AP319" s="23">
        <v>0.20476969616335861</v>
      </c>
      <c r="AQ319" s="23">
        <v>0.20476969616335861</v>
      </c>
      <c r="AR319" s="23">
        <v>0.20476969616335861</v>
      </c>
      <c r="AS319" s="23">
        <v>0.20476969616335861</v>
      </c>
      <c r="AT319" s="23">
        <v>0.20476969616335861</v>
      </c>
      <c r="AU319" s="23">
        <v>0.20476969616335861</v>
      </c>
      <c r="AV319" s="23">
        <v>0.20476969616335861</v>
      </c>
      <c r="AW319" s="23">
        <v>0.20476969616335861</v>
      </c>
      <c r="AX319" s="23">
        <v>0.20476969616335861</v>
      </c>
      <c r="AY319" s="23">
        <v>0.20476969616335861</v>
      </c>
      <c r="AZ319" s="23">
        <v>0.25596212020419828</v>
      </c>
      <c r="BA319" s="23">
        <v>0.2662006050123662</v>
      </c>
      <c r="BB319" s="23">
        <v>0.20476969616335861</v>
      </c>
      <c r="BC319" s="23">
        <v>0.20476969616335861</v>
      </c>
      <c r="BD319" s="23">
        <v>0.20476969616335861</v>
      </c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4"/>
    </row>
    <row r="320" spans="5:82">
      <c r="G320" s="22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4"/>
    </row>
    <row r="321" spans="7:82">
      <c r="G321" s="22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4"/>
    </row>
    <row r="322" spans="7:82">
      <c r="G322" s="22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4"/>
    </row>
    <row r="323" spans="7:82">
      <c r="G323" s="22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4"/>
    </row>
    <row r="324" spans="7:82">
      <c r="G324" s="22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4"/>
    </row>
    <row r="325" spans="7:82">
      <c r="G325" s="22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4"/>
    </row>
    <row r="326" spans="7:82">
      <c r="G326" s="22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4"/>
    </row>
    <row r="327" spans="7:82">
      <c r="G327" s="22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4"/>
    </row>
    <row r="328" spans="7:82">
      <c r="G328" s="22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4"/>
    </row>
    <row r="329" spans="7:82">
      <c r="G329" s="22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4"/>
    </row>
    <row r="330" spans="7:82">
      <c r="G330" s="22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4"/>
    </row>
    <row r="331" spans="7:82">
      <c r="G331" s="22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4"/>
    </row>
    <row r="332" spans="7:82">
      <c r="G332" s="22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4"/>
    </row>
    <row r="333" spans="7:82">
      <c r="G333" s="22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4"/>
    </row>
    <row r="334" spans="7:82">
      <c r="G334" s="22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4"/>
    </row>
    <row r="335" spans="7:82">
      <c r="G335" s="22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4"/>
    </row>
    <row r="336" spans="7:82">
      <c r="G336" s="22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4"/>
    </row>
    <row r="337" spans="7:82">
      <c r="G337" s="22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4"/>
    </row>
    <row r="338" spans="7:82">
      <c r="G338" s="22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4"/>
    </row>
    <row r="339" spans="7:82">
      <c r="G339" s="22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4"/>
    </row>
    <row r="340" spans="7:82">
      <c r="G340" s="22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4"/>
    </row>
    <row r="341" spans="7:82">
      <c r="G341" s="22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4"/>
    </row>
    <row r="342" spans="7:82">
      <c r="G342" s="22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4"/>
    </row>
    <row r="343" spans="7:82">
      <c r="G343" s="22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4"/>
    </row>
    <row r="344" spans="7:82">
      <c r="G344" s="22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4"/>
    </row>
    <row r="345" spans="7:82">
      <c r="G345" s="30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2"/>
    </row>
  </sheetData>
  <mergeCells count="2">
    <mergeCell ref="L3:N3"/>
    <mergeCell ref="Q3: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S-Curve</vt:lpstr>
      <vt:lpstr>Sheet2</vt:lpstr>
      <vt:lpstr>'S-Curve'!Print_Area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yachub;Stebla</dc:creator>
  <cp:lastModifiedBy>Stebla</cp:lastModifiedBy>
  <cp:lastPrinted>2022-08-23T03:35:27Z</cp:lastPrinted>
  <dcterms:created xsi:type="dcterms:W3CDTF">2020-03-21T09:18:00Z</dcterms:created>
  <dcterms:modified xsi:type="dcterms:W3CDTF">2022-12-21T08:31:10Z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