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6823BEE-3221-4D90-9D71-7F6AB76ABE39}" xr6:coauthVersionLast="47" xr6:coauthVersionMax="47" xr10:uidLastSave="{00000000-0000-0000-0000-000000000000}"/>
  <bookViews>
    <workbookView xWindow="-108" yWindow="-108" windowWidth="23256" windowHeight="12456" xr2:uid="{C03B8AF8-AA52-4353-A77C-32C9AF3059D7}"/>
  </bookViews>
  <sheets>
    <sheet name="DCF_FCFF" sheetId="5" r:id="rId1"/>
    <sheet name="WACC" sheetId="6" r:id="rId2"/>
    <sheet name="Sensitivity_Analysis_Synergies" sheetId="7" r:id="rId3"/>
    <sheet name="Tax &amp; NOPAT" sheetId="4" r:id="rId4"/>
    <sheet name="Income_statement" sheetId="1" r:id="rId5"/>
    <sheet name="Balance_sheet" sheetId="2" r:id="rId6"/>
    <sheet name="Cash_flow_statement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F23" i="6"/>
  <c r="F5" i="6"/>
  <c r="F13" i="6"/>
  <c r="N38" i="5" l="1"/>
  <c r="N34" i="5"/>
  <c r="N33" i="5"/>
  <c r="F27" i="6"/>
  <c r="F25" i="6"/>
  <c r="F16" i="6"/>
  <c r="F19" i="6"/>
  <c r="F18" i="6"/>
  <c r="F29" i="6" l="1"/>
  <c r="G3" i="7" s="1"/>
  <c r="F4" i="6"/>
  <c r="F3" i="6"/>
  <c r="D22" i="5" l="1"/>
  <c r="D23" i="5" s="1"/>
  <c r="E22" i="5"/>
  <c r="E23" i="5" s="1"/>
  <c r="F22" i="5"/>
  <c r="F23" i="5" s="1"/>
  <c r="G22" i="5"/>
  <c r="G23" i="5" s="1"/>
  <c r="H22" i="5"/>
  <c r="H23" i="5" s="1"/>
  <c r="I22" i="5"/>
  <c r="I23" i="5" s="1"/>
  <c r="C22" i="5"/>
  <c r="K14" i="2"/>
  <c r="J14" i="2"/>
  <c r="I14" i="2"/>
  <c r="H14" i="2"/>
  <c r="G14" i="2"/>
  <c r="F14" i="2"/>
  <c r="F13" i="2"/>
  <c r="G13" i="2"/>
  <c r="H13" i="2"/>
  <c r="I13" i="2"/>
  <c r="J13" i="2"/>
  <c r="K13" i="2"/>
  <c r="E13" i="2"/>
  <c r="E20" i="5"/>
  <c r="I20" i="5"/>
  <c r="D19" i="5"/>
  <c r="D20" i="5" s="1"/>
  <c r="E19" i="5"/>
  <c r="F19" i="5"/>
  <c r="F20" i="5" s="1"/>
  <c r="G19" i="5"/>
  <c r="G20" i="5" s="1"/>
  <c r="H19" i="5"/>
  <c r="H20" i="5" s="1"/>
  <c r="I19" i="5"/>
  <c r="C19" i="5"/>
  <c r="C20" i="5" s="1"/>
  <c r="D17" i="5"/>
  <c r="E17" i="5"/>
  <c r="F17" i="5"/>
  <c r="G17" i="5"/>
  <c r="H17" i="5"/>
  <c r="I17" i="5"/>
  <c r="C17" i="5"/>
  <c r="J17" i="5" s="1"/>
  <c r="J23" i="5" l="1"/>
  <c r="K23" i="5" s="1"/>
  <c r="L23" i="5" s="1"/>
  <c r="M23" i="5" s="1"/>
  <c r="N23" i="5" s="1"/>
  <c r="N17" i="5"/>
  <c r="L17" i="5"/>
  <c r="K17" i="5"/>
  <c r="M17" i="5"/>
  <c r="D9" i="5" l="1"/>
  <c r="D10" i="5" s="1"/>
  <c r="E9" i="5"/>
  <c r="E10" i="5" s="1"/>
  <c r="F9" i="5"/>
  <c r="F10" i="5" s="1"/>
  <c r="G9" i="5"/>
  <c r="G10" i="5" s="1"/>
  <c r="H9" i="5"/>
  <c r="H10" i="5" s="1"/>
  <c r="I9" i="5"/>
  <c r="I10" i="5" s="1"/>
  <c r="C9" i="5"/>
  <c r="C10" i="5" s="1"/>
  <c r="J6" i="5"/>
  <c r="E7" i="5"/>
  <c r="F7" i="5"/>
  <c r="G7" i="5"/>
  <c r="H7" i="5"/>
  <c r="I7" i="5"/>
  <c r="D7" i="5"/>
  <c r="C14" i="5" l="1"/>
  <c r="F14" i="5"/>
  <c r="I14" i="5"/>
  <c r="E14" i="5"/>
  <c r="J7" i="5"/>
  <c r="J22" i="5"/>
  <c r="J19" i="5"/>
  <c r="J20" i="5" s="1"/>
  <c r="J16" i="5"/>
  <c r="H14" i="5"/>
  <c r="D14" i="5"/>
  <c r="J9" i="5"/>
  <c r="J14" i="5" s="1"/>
  <c r="G14" i="5"/>
  <c r="K6" i="5"/>
  <c r="J25" i="5" l="1"/>
  <c r="J26" i="5" s="1"/>
  <c r="K22" i="5"/>
  <c r="K19" i="5"/>
  <c r="K20" i="5" s="1"/>
  <c r="K16" i="5"/>
  <c r="K9" i="5"/>
  <c r="K14" i="5" s="1"/>
  <c r="K25" i="5" s="1"/>
  <c r="K26" i="5" s="1"/>
  <c r="K7" i="5"/>
  <c r="L6" i="5"/>
  <c r="L22" i="5" l="1"/>
  <c r="L19" i="5"/>
  <c r="L20" i="5" s="1"/>
  <c r="L16" i="5"/>
  <c r="L9" i="5"/>
  <c r="L14" i="5" s="1"/>
  <c r="L25" i="5" s="1"/>
  <c r="L26" i="5" s="1"/>
  <c r="L7" i="5"/>
  <c r="M6" i="5"/>
  <c r="M22" i="5" l="1"/>
  <c r="M19" i="5"/>
  <c r="M20" i="5" s="1"/>
  <c r="M9" i="5"/>
  <c r="M14" i="5" s="1"/>
  <c r="M25" i="5" s="1"/>
  <c r="M26" i="5" s="1"/>
  <c r="M16" i="5"/>
  <c r="N6" i="5"/>
  <c r="M7" i="5"/>
  <c r="N7" i="5" l="1"/>
  <c r="N22" i="5"/>
  <c r="N19" i="5"/>
  <c r="N20" i="5" s="1"/>
  <c r="N16" i="5"/>
  <c r="N9" i="5"/>
  <c r="N14" i="5" s="1"/>
  <c r="B8" i="4"/>
  <c r="N25" i="5" l="1"/>
  <c r="C6" i="4"/>
  <c r="D6" i="4"/>
  <c r="E6" i="4"/>
  <c r="F6" i="4"/>
  <c r="G6" i="4"/>
  <c r="H6" i="4"/>
  <c r="I6" i="4"/>
  <c r="J6" i="4"/>
  <c r="B6" i="4"/>
  <c r="T3" i="1"/>
  <c r="S3" i="1"/>
  <c r="N3" i="1"/>
  <c r="O3" i="1"/>
  <c r="P3" i="1"/>
  <c r="Q3" i="1"/>
  <c r="R3" i="1"/>
  <c r="M3" i="1"/>
  <c r="N29" i="5" l="1"/>
  <c r="N30" i="5" s="1"/>
  <c r="N26" i="5"/>
  <c r="N32" i="5" l="1"/>
  <c r="N36" i="5" l="1"/>
  <c r="N40" i="5" s="1"/>
  <c r="G2" i="7"/>
  <c r="B5" i="7" l="1"/>
  <c r="B6" i="7"/>
  <c r="B10" i="7"/>
  <c r="B7" i="7"/>
  <c r="B11" i="7"/>
  <c r="B9" i="7"/>
  <c r="B8" i="7"/>
  <c r="B4" i="7"/>
</calcChain>
</file>

<file path=xl/sharedStrings.xml><?xml version="1.0" encoding="utf-8"?>
<sst xmlns="http://schemas.openxmlformats.org/spreadsheetml/2006/main" count="1283" uniqueCount="433">
  <si>
    <t>Alexion Pharmaceuticals Inc/MA (ALXN US) - BBG Adjusted</t>
  </si>
  <si>
    <t>FY 2014</t>
  </si>
  <si>
    <t>FY 2015</t>
  </si>
  <si>
    <t>FY 2016</t>
  </si>
  <si>
    <t>FY 2017</t>
  </si>
  <si>
    <t>FY 2018</t>
  </si>
  <si>
    <t>FY 2019</t>
  </si>
  <si>
    <t>FY 2020</t>
  </si>
  <si>
    <t>Current</t>
  </si>
  <si>
    <t>FY 2021 Est</t>
  </si>
  <si>
    <t>FY 2022 Est</t>
  </si>
  <si>
    <t>In Millions of USD except Per Share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</si>
  <si>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</si>
  <si>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</si>
  <si>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</si>
  <si>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</si>
  <si>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</si>
  <si>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</si>
  <si>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</si>
  <si>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07/15/2025</t>
  </si>
  <si>
    <t>12/31/2021</t>
  </si>
  <si>
    <t>12/31/2022</t>
  </si>
  <si>
    <t>Revenue</t>
  </si>
  <si>
    <t xml:space="preserve">    + Sales &amp; Services Revenue</t>
  </si>
  <si>
    <t xml:space="preserve">    + Other Revenue</t>
  </si>
  <si>
    <t>—</t>
  </si>
  <si>
    <t xml:space="preserve">  - Cost of Revenue</t>
  </si>
  <si>
    <t xml:space="preserve">    + Cost of Goods &amp; Services</t>
  </si>
  <si>
    <t>Gross Profit</t>
  </si>
  <si>
    <t xml:space="preserve">  + Other Operating Income</t>
  </si>
  <si>
    <t xml:space="preserve">  - Operating Expenses</t>
  </si>
  <si>
    <t xml:space="preserve">    + Selling, General &amp; Admin</t>
  </si>
  <si>
    <t xml:space="preserve">    + Research &amp; Development</t>
  </si>
  <si>
    <t xml:space="preserve">    + Other Operating Expense</t>
  </si>
  <si>
    <t>Operating Income (Loss)</t>
  </si>
  <si>
    <t xml:space="preserve">  - Non-Operating (Income) Loss</t>
  </si>
  <si>
    <t xml:space="preserve">    + Interest Expense, Net</t>
  </si>
  <si>
    <t xml:space="preserve">    + Interest Expense</t>
  </si>
  <si>
    <t xml:space="preserve">    - Interest Income</t>
  </si>
  <si>
    <t xml:space="preserve">    + Other Investment (Inc) Loss</t>
  </si>
  <si>
    <t xml:space="preserve">    + Foreign Exch (Gain) Loss</t>
  </si>
  <si>
    <t xml:space="preserve">    + (Income) Loss from Affiliates</t>
  </si>
  <si>
    <t xml:space="preserve">    + Other Non-Op (Income) Loss</t>
  </si>
  <si>
    <t>Pretax Income (Loss), Adjusted</t>
  </si>
  <si>
    <t xml:space="preserve">  - Abnormal Losses (Gains)</t>
  </si>
  <si>
    <t xml:space="preserve">    + Acquired In-Process R&amp;D</t>
  </si>
  <si>
    <t xml:space="preserve">    + Merger/Acquisition Expense</t>
  </si>
  <si>
    <t xml:space="preserve">    + Abnormal Derivatives</t>
  </si>
  <si>
    <t xml:space="preserve">    + Disposal of Assets</t>
  </si>
  <si>
    <t xml:space="preserve">    + Impairment of Intangibles</t>
  </si>
  <si>
    <t xml:space="preserve">    + Legal Settlement</t>
  </si>
  <si>
    <t xml:space="preserve">    + Restructuring</t>
  </si>
  <si>
    <t xml:space="preserve">    + Unrealized Investments</t>
  </si>
  <si>
    <t xml:space="preserve">    + Other Abnormal Items</t>
  </si>
  <si>
    <t>Pretax Income (Loss), GAAP</t>
  </si>
  <si>
    <t xml:space="preserve">  - Income Tax Expense (Benefit)</t>
  </si>
  <si>
    <t xml:space="preserve">    + Current Income Tax</t>
  </si>
  <si>
    <t xml:space="preserve">    + Deferred Income Tax</t>
  </si>
  <si>
    <t>Income (Loss) from Cont Ops</t>
  </si>
  <si>
    <t xml:space="preserve">  - Net Extraordinary Losses (Gains)</t>
  </si>
  <si>
    <t xml:space="preserve">    + Discontinued Operations</t>
  </si>
  <si>
    <t xml:space="preserve">    + XO &amp; Accounting Changes</t>
  </si>
  <si>
    <t>Income (Loss) Incl. MI</t>
  </si>
  <si>
    <t xml:space="preserve">  - Minority Interest</t>
  </si>
  <si>
    <t>Net Income, GAAP</t>
  </si>
  <si>
    <t xml:space="preserve">  - Preferred Dividends</t>
  </si>
  <si>
    <t xml:space="preserve">  - Other Adjustments</t>
  </si>
  <si>
    <t>Net Income Avail to Common, GAAP</t>
  </si>
  <si>
    <t>Alexion Pharmaceuticals Inc/MA (ALXN US) - As Reported</t>
  </si>
  <si>
    <t>FY 2011</t>
  </si>
  <si>
    <t>FY 2012</t>
  </si>
  <si>
    <t>FY 2013</t>
  </si>
  <si>
    <t>12/31/2011</t>
  </si>
  <si>
    <t>12/31/2012</t>
  </si>
  <si>
    <t>12/31/2013</t>
  </si>
  <si>
    <t>Balance Sheet</t>
  </si>
  <si>
    <t xml:space="preserve">  Current Assets</t>
  </si>
  <si>
    <t>Cash and Equivalents</t>
  </si>
  <si>
    <t>Marketable Securities</t>
  </si>
  <si>
    <t>Accounts Receivable - Trade</t>
  </si>
  <si>
    <t>Inventories</t>
  </si>
  <si>
    <t>Prepaid Expenses and Other</t>
  </si>
  <si>
    <t>Deferred Income Tax Asset (Short-Term)</t>
  </si>
  <si>
    <t>Other Current Assets</t>
  </si>
  <si>
    <t>Total Current Assets</t>
  </si>
  <si>
    <t xml:space="preserve">  Noncurrent Assets</t>
  </si>
  <si>
    <t>Property Plant &amp; Equipment - Net</t>
  </si>
  <si>
    <t>Deferred Income Tax Asset (Long-Term)</t>
  </si>
  <si>
    <t>Other Intangible Assets</t>
  </si>
  <si>
    <t>Goodwill</t>
  </si>
  <si>
    <t>Other Noncurrent Assets</t>
  </si>
  <si>
    <t>Total Assets</t>
  </si>
  <si>
    <t xml:space="preserve">  Current Liabilities</t>
  </si>
  <si>
    <t>Accounts Payable - Trade</t>
  </si>
  <si>
    <t>Accounts Payable and Accrued Expenses</t>
  </si>
  <si>
    <t>Current Portion of Long-Term Debt</t>
  </si>
  <si>
    <t>Short-Term Capital Lease Obligations</t>
  </si>
  <si>
    <t>Lines of Credit</t>
  </si>
  <si>
    <t>Accrued Expenses</t>
  </si>
  <si>
    <t>Deferred/Unearned Revenue (Short-Term)</t>
  </si>
  <si>
    <t>Other Current Liabilities</t>
  </si>
  <si>
    <t>Deferred Income Tax Liability (Short-Term)</t>
  </si>
  <si>
    <t>Total Current Liabilities</t>
  </si>
  <si>
    <t xml:space="preserve">  Non Current Liabilities</t>
  </si>
  <si>
    <t>Long Term Capital Lease Obligations</t>
  </si>
  <si>
    <t>Convertible Debt (Long-Term)</t>
  </si>
  <si>
    <t>Long Term Debt</t>
  </si>
  <si>
    <t>Deferred Income Taxes (Liabilities)</t>
  </si>
  <si>
    <t>Other Noncurrent Liabilities</t>
  </si>
  <si>
    <t>Long Term Operating Lease Liabilities</t>
  </si>
  <si>
    <t>Total Liabilities</t>
  </si>
  <si>
    <t xml:space="preserve">  Stockholder Equity</t>
  </si>
  <si>
    <t>Preferred Stock</t>
  </si>
  <si>
    <t>Common Stock</t>
  </si>
  <si>
    <t>Additional Paid In Capital</t>
  </si>
  <si>
    <t>Treasury Stock (Amount)</t>
  </si>
  <si>
    <t>Accumulated Other Comprehensive Income</t>
  </si>
  <si>
    <t>Retained Earnings (Accumulated Deficit)</t>
  </si>
  <si>
    <t>Par Value</t>
  </si>
  <si>
    <t>Treasury Shares (Number)</t>
  </si>
  <si>
    <t>Common Stock &amp; APIC</t>
  </si>
  <si>
    <t>Shares Issued</t>
  </si>
  <si>
    <t>Total Shareholders Equity</t>
  </si>
  <si>
    <t>Shares Authorized</t>
  </si>
  <si>
    <t>Total Liabilities and Shareholders Equity</t>
  </si>
  <si>
    <t xml:space="preserve">  Reference Items</t>
  </si>
  <si>
    <t>Land</t>
  </si>
  <si>
    <t>Buildings</t>
  </si>
  <si>
    <t>Construction In Progress</t>
  </si>
  <si>
    <t>Furniture/Machinery/Equipment</t>
  </si>
  <si>
    <t>Property Plant &amp; Equipment - Gross</t>
  </si>
  <si>
    <t>Accumulated Depreciation</t>
  </si>
  <si>
    <t>Deferred Income Tax Asset (LT)</t>
  </si>
  <si>
    <t>Patents/Trademarks/Copyrights</t>
  </si>
  <si>
    <t>Raw Materials</t>
  </si>
  <si>
    <t>Work In Progress</t>
  </si>
  <si>
    <t>Finished Goods</t>
  </si>
  <si>
    <t>Other Gross Fixed Assets</t>
  </si>
  <si>
    <t>Total Line of Credit</t>
  </si>
  <si>
    <t>Total Available Line of Credit</t>
  </si>
  <si>
    <t>Future Minimum Operating Lease Obligations</t>
  </si>
  <si>
    <t>Current Rental Expense</t>
  </si>
  <si>
    <t>Rental Expense - Year 1</t>
  </si>
  <si>
    <t>Rental Expense - Year 2</t>
  </si>
  <si>
    <t>Rental Expense - Year 3</t>
  </si>
  <si>
    <t>Rental Expense - Year 4</t>
  </si>
  <si>
    <t>Rental Expense - Year 5</t>
  </si>
  <si>
    <t>Rental Expense - Beyond Year 5</t>
  </si>
  <si>
    <t>Total Capital Leases</t>
  </si>
  <si>
    <t>Capitalized Software - Gross</t>
  </si>
  <si>
    <t>Derivative Assets Short-Term</t>
  </si>
  <si>
    <t>Commercial Paper Outstanding</t>
  </si>
  <si>
    <t>Derivative Liabilities</t>
  </si>
  <si>
    <t>Other Accruals</t>
  </si>
  <si>
    <t>Derivative Assets (Long-Term)</t>
  </si>
  <si>
    <t>Letters of Credit</t>
  </si>
  <si>
    <t>Derivative Liabilities (Short-Term)</t>
  </si>
  <si>
    <t>Derivative Liabilities (Long-Term)</t>
  </si>
  <si>
    <t>Shares Outstanding From The Front Cover</t>
  </si>
  <si>
    <t>Licenses</t>
  </si>
  <si>
    <t>Accumulated Amortization Of Goodwill</t>
  </si>
  <si>
    <t>Accumulated Amortization Intangible Assets</t>
  </si>
  <si>
    <t>Cash Equivalents And Marketable Securities</t>
  </si>
  <si>
    <t>Total Contingent Payable</t>
  </si>
  <si>
    <t>Options Granted During Period</t>
  </si>
  <si>
    <t>Options Outstanding End Period</t>
  </si>
  <si>
    <t>Options Exercised During the Period</t>
  </si>
  <si>
    <t>Accrued Expenses And Other (ST)</t>
  </si>
  <si>
    <t>Total Credit Utilized</t>
  </si>
  <si>
    <t>Cash Equivalents</t>
  </si>
  <si>
    <t>Debt Schedule In Yr 1</t>
  </si>
  <si>
    <t>Debt Schedule In Yr 4</t>
  </si>
  <si>
    <t>Debt Schedule Thereafter</t>
  </si>
  <si>
    <t>Debt Schedule - Total Debt</t>
  </si>
  <si>
    <t>Debt Schedule - Total Long Term Debt</t>
  </si>
  <si>
    <t>Number of Common Shares Repurchased</t>
  </si>
  <si>
    <t>Value of Common Shares Repurchased</t>
  </si>
  <si>
    <t>ARDR Total Operating Liabilities</t>
  </si>
  <si>
    <t>Fair Value Assets Recur - Level 1</t>
  </si>
  <si>
    <t>Fair Value Assets Recur - Level 2</t>
  </si>
  <si>
    <t>Fair Value Assets Recur - Level 3</t>
  </si>
  <si>
    <t>Fair Value Assets Recur - Total</t>
  </si>
  <si>
    <t>Fair Value Liab Recur - Level 1</t>
  </si>
  <si>
    <t>Fair Value Liab Recur - Level 2</t>
  </si>
  <si>
    <t>Fair Value Liab Recur - Level 3</t>
  </si>
  <si>
    <t>Fair Value Liab Recur - Total</t>
  </si>
  <si>
    <t>ARDR Options Cancelled or Forfeited</t>
  </si>
  <si>
    <t>Contractual Obligations - Year 1</t>
  </si>
  <si>
    <t>Contractual Obligations Years - 2 &amp; 3</t>
  </si>
  <si>
    <t>Contractual Obligations Years - 4 &amp; 5</t>
  </si>
  <si>
    <t>Contractual Obligations - Beyond Year 5</t>
  </si>
  <si>
    <t>Total Contractual Obligations</t>
  </si>
  <si>
    <t>Capital Lease Year 1</t>
  </si>
  <si>
    <t>Capital Lease Year 2</t>
  </si>
  <si>
    <t>Capital Lease Year 3</t>
  </si>
  <si>
    <t>Capital Lease Year 4</t>
  </si>
  <si>
    <t>Capital Lease Year 5</t>
  </si>
  <si>
    <t>Capital Lease Beyond Year 5</t>
  </si>
  <si>
    <t>Total Capital Lease</t>
  </si>
  <si>
    <t>PV of Future Min Op Lease Obligations</t>
  </si>
  <si>
    <t>Debt Schedule - Years 2 - 3</t>
  </si>
  <si>
    <t>Debt Schedule - Years 4 - 5</t>
  </si>
  <si>
    <t>Weighted Average Cost of Options Granted</t>
  </si>
  <si>
    <t>Stock Opt Valuation - Risk Free Rate (%)</t>
  </si>
  <si>
    <t>Stock Opt Valuation - Expected Life (Yrs)</t>
  </si>
  <si>
    <t>Stock Opt Valuation - Expected Volatil (%)</t>
  </si>
  <si>
    <t>Stock Opt Valuation - Dividend Yield (%)</t>
  </si>
  <si>
    <t>Avg Exercise Price (Options Exercisable)</t>
  </si>
  <si>
    <t>Avg Exercise Price (Options Outstanding)</t>
  </si>
  <si>
    <t>Options Exercisable End of Period</t>
  </si>
  <si>
    <t>Capital Lease Interest</t>
  </si>
  <si>
    <t>Deferred Tax Asset - Valuation Allowance</t>
  </si>
  <si>
    <t>Shares Authorized for Repurchase Amount</t>
  </si>
  <si>
    <t>Remaining Shares Auth for Repurchase Amt</t>
  </si>
  <si>
    <t>FV Assets Rec L1: Trading Treasuries</t>
  </si>
  <si>
    <t>FV Assets Rec L1: Trading Bonds</t>
  </si>
  <si>
    <t>FV Assets Rec L1: Trading CDO CLO</t>
  </si>
  <si>
    <t>FV Assets Rec L1: AFS Treasuries</t>
  </si>
  <si>
    <t>FV Assets Rec L1: AFS Corporate Bonds</t>
  </si>
  <si>
    <t>FV Assets Rec L1: Other</t>
  </si>
  <si>
    <t>FV Assets Rec L2: Trading Treasuries</t>
  </si>
  <si>
    <t>FV Assets Rec L2: Trading Bonds</t>
  </si>
  <si>
    <t>FV Assets Rec L2: Trading CDO CLO</t>
  </si>
  <si>
    <t>FV Assets Rec L2: Trading Other</t>
  </si>
  <si>
    <t>FV Assets Rec L2: AFS Treasuries</t>
  </si>
  <si>
    <t>FV Assets Rec L2: AFS Corp Bonds</t>
  </si>
  <si>
    <t>FV Assets Rec L2: HTM Treasuries</t>
  </si>
  <si>
    <t>FV Assets Rec L2: Derivatives</t>
  </si>
  <si>
    <t>FV Assets Rec L2: Other</t>
  </si>
  <si>
    <t>FV Assets Rec L3: Trading Treasuries</t>
  </si>
  <si>
    <t>FV Assets Rec L3: Trading Bonds</t>
  </si>
  <si>
    <t>FV Assets Rec L3: AFS Corporate Bonds</t>
  </si>
  <si>
    <t>FV Assets Rec L3: Derivatives</t>
  </si>
  <si>
    <t>FV Assets Rec L3: Other</t>
  </si>
  <si>
    <t>FV Liabs Rec L1: Derivatives</t>
  </si>
  <si>
    <t>FV Liabs Rec L1: Other</t>
  </si>
  <si>
    <t>FV Liabs Rec L2: Derivatives</t>
  </si>
  <si>
    <t>FV Liabs Rec L2: Other</t>
  </si>
  <si>
    <t>FV Liabs Rec L3: Derivatives</t>
  </si>
  <si>
    <t>FV Liabs Rec L3: Other</t>
  </si>
  <si>
    <t>FV Liabs Rec Total: Derivatives</t>
  </si>
  <si>
    <t>FV Liabs Rec Total: Other</t>
  </si>
  <si>
    <t>FV Hedging Derivative Assets-Foreign Exch</t>
  </si>
  <si>
    <t>FV Non-Hedging Deriv Assets - FX Contract</t>
  </si>
  <si>
    <t>FV Non-Hedging Deriv Liabs - FX Contract</t>
  </si>
  <si>
    <t>Pension Liabilities</t>
  </si>
  <si>
    <t>Hedging Derivative Liabs-Foreign Exchange</t>
  </si>
  <si>
    <t>DTA - Net Operating Loss Carryforward</t>
  </si>
  <si>
    <t>Deferred Tax Assets - Tax Credits</t>
  </si>
  <si>
    <t>FV Hedging Deriv Assets-Int Rate Contract</t>
  </si>
  <si>
    <t>FV Hedging Deriv Liabs - Int Rate Contract</t>
  </si>
  <si>
    <t>As Reported Data Reference FV Hedging Total Assets</t>
  </si>
  <si>
    <t>ARDR FV Hedging Total Liabilities</t>
  </si>
  <si>
    <t>Fair Value Non Hedging Total Assets</t>
  </si>
  <si>
    <t>Fair Value Non Hedging Total Liabilities</t>
  </si>
  <si>
    <t>Options at Beginning of Period</t>
  </si>
  <si>
    <t>Options Adjustment</t>
  </si>
  <si>
    <t>Average Price per Share Repurchased</t>
  </si>
  <si>
    <t>UTB Balance at Beginning Period</t>
  </si>
  <si>
    <t>UTB Balance at Period End</t>
  </si>
  <si>
    <t>Additions for Tax Positions of the Crnt Yr</t>
  </si>
  <si>
    <t>Additions for Tax Positions of Prior Years</t>
  </si>
  <si>
    <t>Reductions for Tax Positions for Prior Yrs</t>
  </si>
  <si>
    <t>Settlements</t>
  </si>
  <si>
    <t>Statutes of Limitations under UTB</t>
  </si>
  <si>
    <t>Total Derivative Assets</t>
  </si>
  <si>
    <t>As Reported Data Reference Restricted Stock Units</t>
  </si>
  <si>
    <t>ARDR Restricted Stock Unit WAvg FV PS</t>
  </si>
  <si>
    <t>ARDR Capital Lease in Other Current Liabilities</t>
  </si>
  <si>
    <t>ARDR Capital Lease in Other Noncurrent Liabilities</t>
  </si>
  <si>
    <t>ARDR Other Post Retirement Benefits Liabilities</t>
  </si>
  <si>
    <t>As Reported Data Reference Cash Held Overseas</t>
  </si>
  <si>
    <t>Stock Option Valuation - RFR % - Low</t>
  </si>
  <si>
    <t>Stock Option Valuation - RFR % - High</t>
  </si>
  <si>
    <t>Stock Opt Val - Expected Life Years - Low</t>
  </si>
  <si>
    <t>Stock Opt Val - Expected Life Years - High</t>
  </si>
  <si>
    <t>Stock Opt Val - Expctd Volatility % - Low</t>
  </si>
  <si>
    <t>Stock Opt Val - Expctd Volatility % - High</t>
  </si>
  <si>
    <t>ARDR Number Shares Repurchased Repurchase Program</t>
  </si>
  <si>
    <t>Source: Bloomberg</t>
  </si>
  <si>
    <t>Right click to show data transparency (not supported for all values)</t>
  </si>
  <si>
    <t>Alexion Pharmaceuticals Inc/MA (ALXN US) - Standardized</t>
  </si>
  <si>
    <t>Cash from Operating Activities</t>
  </si>
  <si>
    <t xml:space="preserve">  + Net Income</t>
  </si>
  <si>
    <t xml:space="preserve">  + Depreciation &amp; Amortization</t>
  </si>
  <si>
    <t xml:space="preserve">  + Non-Cash Items</t>
  </si>
  <si>
    <t xml:space="preserve">    + Stock-Based Compensation</t>
  </si>
  <si>
    <t xml:space="preserve">    + Deferred Income Taxes</t>
  </si>
  <si>
    <t xml:space="preserve">    + Other Non-Cash Adj</t>
  </si>
  <si>
    <t xml:space="preserve">  + Chg in Non-Cash Work Cap</t>
  </si>
  <si>
    <t xml:space="preserve">    + (Inc) Dec in Accts Receiv</t>
  </si>
  <si>
    <t xml:space="preserve">    + (Inc) Dec in Inventories</t>
  </si>
  <si>
    <t xml:space="preserve">    + Inc (Dec) in Other</t>
  </si>
  <si>
    <t xml:space="preserve">  + Net Cash From Disc Ops</t>
  </si>
  <si>
    <t>Cash from Investing Activities</t>
  </si>
  <si>
    <t xml:space="preserve">  + Change in Fixed &amp; Intang</t>
  </si>
  <si>
    <t xml:space="preserve">    + Disp in Fixed &amp; Intang</t>
  </si>
  <si>
    <t xml:space="preserve">    + Disp of Fixed Prod Assets</t>
  </si>
  <si>
    <t xml:space="preserve">    + Disp of Intangible Assets</t>
  </si>
  <si>
    <t xml:space="preserve">    + Acq of Fixed &amp; Intang</t>
  </si>
  <si>
    <t xml:space="preserve">    + Acq of Fixed Prod Assets</t>
  </si>
  <si>
    <t xml:space="preserve">    + Acq of Intangible Assets</t>
  </si>
  <si>
    <t xml:space="preserve">  + Net Change in LT Investment</t>
  </si>
  <si>
    <t xml:space="preserve">    + Dec in LT Investment</t>
  </si>
  <si>
    <t xml:space="preserve">    + Inc in LT Investment</t>
  </si>
  <si>
    <t xml:space="preserve">  + Net Cash From Acq &amp; Div</t>
  </si>
  <si>
    <t xml:space="preserve">    + Cash from Divestitures</t>
  </si>
  <si>
    <t xml:space="preserve">    + Cash for Acq of Subs</t>
  </si>
  <si>
    <t xml:space="preserve">    + Cash for JVs</t>
  </si>
  <si>
    <t xml:space="preserve">  + Other Investing Activities</t>
  </si>
  <si>
    <t>Cash from Financing Activities</t>
  </si>
  <si>
    <t xml:space="preserve">  + Dividends Paid</t>
  </si>
  <si>
    <t xml:space="preserve">  + Cash From (Repayment) Debt</t>
  </si>
  <si>
    <t xml:space="preserve">    + Cash From (Repay) ST Debt</t>
  </si>
  <si>
    <t xml:space="preserve">    + Cash From LT Debt</t>
  </si>
  <si>
    <t xml:space="preserve">    + Repayments of LT Debt</t>
  </si>
  <si>
    <t xml:space="preserve">  + Cash (Repurchase) of Equity</t>
  </si>
  <si>
    <t xml:space="preserve">    + Increase in Capital Stock</t>
  </si>
  <si>
    <t xml:space="preserve">    + Decrease in Capital Stock</t>
  </si>
  <si>
    <t xml:space="preserve">  + Other Financing Activities</t>
  </si>
  <si>
    <t xml:space="preserve">  Effect of Foreign Exchange Rates</t>
  </si>
  <si>
    <t>Net Changes in Cash</t>
  </si>
  <si>
    <t>Cash Paid for Taxes</t>
  </si>
  <si>
    <t>Cash Paid for Interest</t>
  </si>
  <si>
    <t>Reference Items</t>
  </si>
  <si>
    <t>EBITDA</t>
  </si>
  <si>
    <t>Trailing 12M EBITDA Margin</t>
  </si>
  <si>
    <t>Net Cash Paid for Acquisitions</t>
  </si>
  <si>
    <t>Tax Benefit from Stock Options</t>
  </si>
  <si>
    <t>Free Cash Flow</t>
  </si>
  <si>
    <t>Free Cash Flow to Firm</t>
  </si>
  <si>
    <t>Free Cash Flow to Equity</t>
  </si>
  <si>
    <t>Free Cash Flow per Basic Share</t>
  </si>
  <si>
    <t>Price to Free Cash Flow</t>
  </si>
  <si>
    <t>Cash Flow to Net Income</t>
  </si>
  <si>
    <t>Net Income Avail to Common, Adj</t>
  </si>
  <si>
    <t xml:space="preserve">  Net Abnormal Losses (Gains)</t>
  </si>
  <si>
    <t xml:space="preserve">  Net Extraordinary Losses (Gains)</t>
  </si>
  <si>
    <t>Basic Weighted Avg Shares</t>
  </si>
  <si>
    <t>Basic EPS, GAAP</t>
  </si>
  <si>
    <t>Basic EPS from Cont Ops, GAAP</t>
  </si>
  <si>
    <t>Basic EPS from Cont Ops, Adjusted</t>
  </si>
  <si>
    <t>Diluted Weighted Avg Shares</t>
  </si>
  <si>
    <t>Diluted EPS, GAAP</t>
  </si>
  <si>
    <t>Diluted EPS from Cont Ops, GAAP</t>
  </si>
  <si>
    <t>Diluted EPS from Cont Ops, Adjusted</t>
  </si>
  <si>
    <t>Accounting Standard</t>
  </si>
  <si>
    <t>US GAAP</t>
  </si>
  <si>
    <t>EBITDA Margin (T12M)</t>
  </si>
  <si>
    <t>EBITA</t>
  </si>
  <si>
    <t>EBIT</t>
  </si>
  <si>
    <t>Gross Margin</t>
  </si>
  <si>
    <t>Operating Margin</t>
  </si>
  <si>
    <t>Profit Margin</t>
  </si>
  <si>
    <t>Sales per Employee</t>
  </si>
  <si>
    <t>Dividends per Share</t>
  </si>
  <si>
    <t>Total Cash Common Dividends</t>
  </si>
  <si>
    <t>Capitalized Interest Expense</t>
  </si>
  <si>
    <t>Depreciation Expense</t>
  </si>
  <si>
    <t>Rental Expense</t>
  </si>
  <si>
    <t>Revenue Growth Calculations</t>
  </si>
  <si>
    <t>TAX RATE</t>
  </si>
  <si>
    <t xml:space="preserve">TAX RATE </t>
  </si>
  <si>
    <t>TAX RATE AVERAGED OUT</t>
  </si>
  <si>
    <t>X</t>
  </si>
  <si>
    <t>AztraZeneca-Alexion DCF</t>
  </si>
  <si>
    <t>Income Statement</t>
  </si>
  <si>
    <t>FY 2021 E</t>
  </si>
  <si>
    <t>FY 2022 E</t>
  </si>
  <si>
    <t>FY 2023 E</t>
  </si>
  <si>
    <t>FY 2024 E</t>
  </si>
  <si>
    <t>FY 2025 E</t>
  </si>
  <si>
    <t xml:space="preserve">% Growth </t>
  </si>
  <si>
    <t>---</t>
  </si>
  <si>
    <t>% of sales</t>
  </si>
  <si>
    <t xml:space="preserve">Tax Rate </t>
  </si>
  <si>
    <t>NOPAT</t>
  </si>
  <si>
    <t>Depreciation &amp; Amortization</t>
  </si>
  <si>
    <t>% of revenue</t>
  </si>
  <si>
    <t>CapEx</t>
  </si>
  <si>
    <t xml:space="preserve">% of revenue </t>
  </si>
  <si>
    <t>Assumption</t>
  </si>
  <si>
    <t>A normalized statutory tax rate of 25% is applied to EBIT to estimate NOPAT, eliminating the noise from historical tax credits, deferred benefits, and merger-related tax impacts.</t>
  </si>
  <si>
    <r>
      <t xml:space="preserve">Given Alexion's transition to a more mature operational phase and reduced investment intensity in recent years, we assume a normalized CapEx rate of </t>
    </r>
    <r>
      <rPr>
        <b/>
        <sz val="11"/>
        <color theme="1"/>
        <rFont val="Arial"/>
        <family val="2"/>
      </rPr>
      <t>3.5% of revenue</t>
    </r>
    <r>
      <rPr>
        <sz val="11"/>
        <color theme="1"/>
        <rFont val="Arial"/>
        <family val="2"/>
      </rPr>
      <t xml:space="preserve"> for the forecast period (2021–2025), reflecting a conservative yet realistic outlook.</t>
    </r>
  </si>
  <si>
    <t>NWC (Year)</t>
  </si>
  <si>
    <t>ΔNWC</t>
  </si>
  <si>
    <t>For the forecast period (2021–2025), ΔNWC was modeled as a constant 4.74% of revenue. This percentage reflects the average of stabilized historical years (2016–2018 and 2020), excluding anomalous swings in 2015 and 2019. This assumption ensures consistency in working capital behavior during the steady-state growth phase.</t>
  </si>
  <si>
    <t>FCFF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</si>
  <si>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</si>
  <si>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</si>
  <si>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</si>
  <si>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</si>
  <si>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</si>
  <si>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</si>
  <si>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</si>
  <si>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</si>
  <si>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</si>
  <si>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WACC</t>
  </si>
  <si>
    <t>Net Income</t>
  </si>
  <si>
    <t xml:space="preserve">Earning Per Share </t>
  </si>
  <si>
    <t xml:space="preserve">Total Shares </t>
  </si>
  <si>
    <t xml:space="preserve">Share Price </t>
  </si>
  <si>
    <t xml:space="preserve">Internet Research </t>
  </si>
  <si>
    <t>Market Cap</t>
  </si>
  <si>
    <t xml:space="preserve">% of Equity </t>
  </si>
  <si>
    <t xml:space="preserve">Risk Free Rate </t>
  </si>
  <si>
    <t xml:space="preserve">Beta </t>
  </si>
  <si>
    <t xml:space="preserve">2020 risk free rate Fred </t>
  </si>
  <si>
    <t>From Damodaran (Beta for drugs(pharmaceutical) sector)</t>
  </si>
  <si>
    <t xml:space="preserve">Market Risk Premium </t>
  </si>
  <si>
    <t xml:space="preserve">From Damodaran  </t>
  </si>
  <si>
    <t xml:space="preserve">Debt </t>
  </si>
  <si>
    <t xml:space="preserve">% of Debt </t>
  </si>
  <si>
    <t>Cost of Debt</t>
  </si>
  <si>
    <t xml:space="preserve">Cost of Equity </t>
  </si>
  <si>
    <t xml:space="preserve">Pre Tax Cost of Debt </t>
  </si>
  <si>
    <t>Total</t>
  </si>
  <si>
    <t>E/V</t>
  </si>
  <si>
    <t>D/V</t>
  </si>
  <si>
    <t>WACC CALCULATIONS</t>
  </si>
  <si>
    <t xml:space="preserve">Present Value of FCFF </t>
  </si>
  <si>
    <t>Terminal Value</t>
  </si>
  <si>
    <t>Discounted Terminal Value</t>
  </si>
  <si>
    <t xml:space="preserve">Enterprise Value </t>
  </si>
  <si>
    <t xml:space="preserve">(+) Cash </t>
  </si>
  <si>
    <t xml:space="preserve">(-) Debt </t>
  </si>
  <si>
    <t xml:space="preserve">Equity Value </t>
  </si>
  <si>
    <t xml:space="preserve">Diluted Shares </t>
  </si>
  <si>
    <t xml:space="preserve">Implied Stock Price </t>
  </si>
  <si>
    <t>Annual Synergies</t>
  </si>
  <si>
    <t xml:space="preserve">Deal Value </t>
  </si>
  <si>
    <t>Base Ev</t>
  </si>
  <si>
    <t>$38,850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</si>
</sst>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00%"/>
    <numFmt numFmtId="166" formatCode="_-[$$-409]* #,##0.00_ ;_-[$$-409]* \-#,##0.00\ ;_-[$$-409]* &quot;-&quot;??_ ;_-@_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b/>
      <u/>
      <sz val="12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6" fillId="33" borderId="0"/>
    <xf numFmtId="0" fontId="17" fillId="33" borderId="10">
      <alignment horizontal="right"/>
    </xf>
    <xf numFmtId="0" fontId="19" fillId="4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10" fontId="0" fillId="0" borderId="0" xfId="0" applyNumberFormat="1"/>
    <xf numFmtId="0" fontId="14" fillId="0" borderId="0" xfId="0" applyFont="1"/>
    <xf numFmtId="0" fontId="20" fillId="0" borderId="0" xfId="0" applyFont="1"/>
    <xf numFmtId="2" fontId="0" fillId="0" borderId="0" xfId="0" applyNumberFormat="1"/>
    <xf numFmtId="0" fontId="24" fillId="0" borderId="0" xfId="0" applyFont="1"/>
    <xf numFmtId="0" fontId="24" fillId="35" borderId="0" xfId="0" quotePrefix="1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2" fontId="25" fillId="35" borderId="0" xfId="0" applyNumberFormat="1" applyFont="1" applyFill="1" applyAlignment="1">
      <alignment horizontal="center"/>
    </xf>
    <xf numFmtId="2" fontId="25" fillId="35" borderId="11" xfId="0" applyNumberFormat="1" applyFont="1" applyFill="1" applyBorder="1" applyAlignment="1">
      <alignment horizontal="center"/>
    </xf>
    <xf numFmtId="0" fontId="26" fillId="35" borderId="0" xfId="0" applyFont="1" applyFill="1" applyAlignment="1">
      <alignment horizontal="center"/>
    </xf>
    <xf numFmtId="10" fontId="24" fillId="35" borderId="0" xfId="1" applyNumberFormat="1" applyFont="1" applyFill="1" applyBorder="1" applyAlignment="1">
      <alignment horizontal="center"/>
    </xf>
    <xf numFmtId="10" fontId="24" fillId="35" borderId="11" xfId="1" applyNumberFormat="1" applyFont="1" applyFill="1" applyBorder="1" applyAlignment="1">
      <alignment horizontal="center"/>
    </xf>
    <xf numFmtId="10" fontId="27" fillId="35" borderId="0" xfId="1" applyNumberFormat="1" applyFont="1" applyFill="1" applyBorder="1" applyAlignment="1">
      <alignment horizontal="center"/>
    </xf>
    <xf numFmtId="2" fontId="24" fillId="35" borderId="0" xfId="0" applyNumberFormat="1" applyFont="1" applyFill="1" applyAlignment="1">
      <alignment horizontal="center"/>
    </xf>
    <xf numFmtId="2" fontId="24" fillId="35" borderId="11" xfId="0" applyNumberFormat="1" applyFont="1" applyFill="1" applyBorder="1" applyAlignment="1">
      <alignment horizontal="center"/>
    </xf>
    <xf numFmtId="9" fontId="24" fillId="35" borderId="0" xfId="0" applyNumberFormat="1" applyFont="1" applyFill="1" applyAlignment="1">
      <alignment horizontal="center"/>
    </xf>
    <xf numFmtId="0" fontId="24" fillId="35" borderId="11" xfId="0" applyFont="1" applyFill="1" applyBorder="1" applyAlignment="1">
      <alignment horizontal="center"/>
    </xf>
    <xf numFmtId="2" fontId="24" fillId="0" borderId="0" xfId="0" applyNumberFormat="1" applyFont="1" applyAlignment="1">
      <alignment horizontal="center"/>
    </xf>
    <xf numFmtId="9" fontId="24" fillId="35" borderId="0" xfId="1" applyFont="1" applyFill="1" applyAlignment="1">
      <alignment horizontal="center"/>
    </xf>
    <xf numFmtId="0" fontId="29" fillId="35" borderId="0" xfId="0" applyFont="1" applyFill="1" applyAlignment="1">
      <alignment horizontal="center"/>
    </xf>
    <xf numFmtId="10" fontId="24" fillId="35" borderId="0" xfId="1" applyNumberFormat="1" applyFont="1" applyFill="1" applyAlignment="1">
      <alignment horizontal="center"/>
    </xf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8" borderId="0" xfId="0" quotePrefix="1" applyFill="1"/>
    <xf numFmtId="0" fontId="24" fillId="35" borderId="0" xfId="1" applyNumberFormat="1" applyFont="1" applyFill="1" applyAlignment="1">
      <alignment horizontal="center"/>
    </xf>
    <xf numFmtId="2" fontId="24" fillId="35" borderId="0" xfId="1" applyNumberFormat="1" applyFont="1" applyFill="1" applyAlignment="1">
      <alignment horizontal="center"/>
    </xf>
    <xf numFmtId="0" fontId="0" fillId="35" borderId="0" xfId="0" applyFill="1" applyAlignment="1">
      <alignment wrapText="1"/>
    </xf>
    <xf numFmtId="0" fontId="0" fillId="35" borderId="0" xfId="0" applyFill="1"/>
    <xf numFmtId="0" fontId="14" fillId="35" borderId="0" xfId="0" applyFont="1" applyFill="1"/>
    <xf numFmtId="2" fontId="0" fillId="35" borderId="0" xfId="0" applyNumberFormat="1" applyFill="1"/>
    <xf numFmtId="9" fontId="0" fillId="35" borderId="0" xfId="1" applyFont="1" applyFill="1"/>
    <xf numFmtId="9" fontId="0" fillId="35" borderId="0" xfId="0" applyNumberFormat="1" applyFill="1"/>
    <xf numFmtId="0" fontId="30" fillId="35" borderId="0" xfId="0" applyFont="1" applyFill="1" applyAlignment="1">
      <alignment wrapText="1"/>
    </xf>
    <xf numFmtId="10" fontId="0" fillId="35" borderId="0" xfId="0" applyNumberFormat="1" applyFill="1"/>
    <xf numFmtId="10" fontId="0" fillId="35" borderId="0" xfId="1" applyNumberFormat="1" applyFont="1" applyFill="1"/>
    <xf numFmtId="0" fontId="31" fillId="35" borderId="0" xfId="0" applyFont="1" applyFill="1" applyAlignment="1">
      <alignment wrapText="1"/>
    </xf>
    <xf numFmtId="43" fontId="23" fillId="35" borderId="0" xfId="45" applyFont="1" applyFill="1" applyAlignment="1">
      <alignment horizontal="center"/>
    </xf>
    <xf numFmtId="43" fontId="24" fillId="35" borderId="0" xfId="0" applyNumberFormat="1" applyFont="1" applyFill="1" applyAlignment="1">
      <alignment horizontal="center"/>
    </xf>
    <xf numFmtId="0" fontId="24" fillId="35" borderId="0" xfId="0" applyFont="1" applyFill="1"/>
    <xf numFmtId="9" fontId="24" fillId="35" borderId="0" xfId="0" applyNumberFormat="1" applyFont="1" applyFill="1"/>
    <xf numFmtId="43" fontId="24" fillId="35" borderId="0" xfId="0" applyNumberFormat="1" applyFont="1" applyFill="1"/>
    <xf numFmtId="165" fontId="0" fillId="35" borderId="0" xfId="1" applyNumberFormat="1" applyFont="1" applyFill="1"/>
    <xf numFmtId="164" fontId="24" fillId="35" borderId="0" xfId="1" applyNumberFormat="1" applyFont="1" applyFill="1"/>
    <xf numFmtId="0" fontId="23" fillId="39" borderId="0" xfId="0" applyFont="1" applyFill="1"/>
    <xf numFmtId="0" fontId="23" fillId="0" borderId="0" xfId="0" applyFont="1" applyAlignment="1">
      <alignment horizontal="center"/>
    </xf>
    <xf numFmtId="0" fontId="23" fillId="40" borderId="0" xfId="0" applyFont="1" applyFill="1" applyAlignment="1">
      <alignment horizontal="center"/>
    </xf>
    <xf numFmtId="0" fontId="23" fillId="40" borderId="11" xfId="0" applyFont="1" applyFill="1" applyBorder="1" applyAlignment="1">
      <alignment horizontal="center"/>
    </xf>
    <xf numFmtId="43" fontId="23" fillId="35" borderId="0" xfId="0" applyNumberFormat="1" applyFont="1" applyFill="1" applyAlignment="1">
      <alignment horizontal="center"/>
    </xf>
    <xf numFmtId="2" fontId="24" fillId="0" borderId="11" xfId="0" applyNumberFormat="1" applyFont="1" applyBorder="1" applyAlignment="1">
      <alignment horizontal="center"/>
    </xf>
    <xf numFmtId="9" fontId="24" fillId="35" borderId="11" xfId="1" applyFont="1" applyFill="1" applyBorder="1" applyAlignment="1">
      <alignment horizontal="center"/>
    </xf>
    <xf numFmtId="2" fontId="24" fillId="35" borderId="11" xfId="1" applyNumberFormat="1" applyFont="1" applyFill="1" applyBorder="1" applyAlignment="1">
      <alignment horizontal="center"/>
    </xf>
    <xf numFmtId="0" fontId="28" fillId="36" borderId="0" xfId="0" applyFont="1" applyFill="1" applyAlignment="1">
      <alignment horizontal="left"/>
    </xf>
    <xf numFmtId="0" fontId="27" fillId="35" borderId="13" xfId="0" applyFont="1" applyFill="1" applyBorder="1" applyAlignment="1">
      <alignment horizontal="center"/>
    </xf>
    <xf numFmtId="0" fontId="27" fillId="35" borderId="10" xfId="0" applyFont="1" applyFill="1" applyBorder="1" applyAlignment="1">
      <alignment horizontal="center"/>
    </xf>
    <xf numFmtId="0" fontId="27" fillId="35" borderId="14" xfId="0" applyFont="1" applyFill="1" applyBorder="1" applyAlignment="1">
      <alignment horizontal="center"/>
    </xf>
    <xf numFmtId="0" fontId="24" fillId="35" borderId="15" xfId="0" applyFont="1" applyFill="1" applyBorder="1" applyAlignment="1">
      <alignment horizontal="center"/>
    </xf>
    <xf numFmtId="0" fontId="24" fillId="35" borderId="12" xfId="0" applyFont="1" applyFill="1" applyBorder="1" applyAlignment="1">
      <alignment horizontal="center"/>
    </xf>
    <xf numFmtId="0" fontId="24" fillId="35" borderId="16" xfId="0" applyFont="1" applyFill="1" applyBorder="1" applyAlignment="1">
      <alignment horizontal="center"/>
    </xf>
    <xf numFmtId="166" fontId="24" fillId="35" borderId="12" xfId="0" applyNumberFormat="1" applyFont="1" applyFill="1" applyBorder="1" applyAlignment="1">
      <alignment horizontal="center"/>
    </xf>
    <xf numFmtId="0" fontId="23" fillId="35" borderId="15" xfId="0" applyFont="1" applyFill="1" applyBorder="1" applyAlignment="1">
      <alignment horizontal="center"/>
    </xf>
    <xf numFmtId="166" fontId="23" fillId="35" borderId="12" xfId="0" applyNumberFormat="1" applyFont="1" applyFill="1" applyBorder="1" applyAlignment="1">
      <alignment horizontal="center"/>
    </xf>
    <xf numFmtId="0" fontId="23" fillId="35" borderId="16" xfId="0" applyFont="1" applyFill="1" applyBorder="1" applyAlignment="1">
      <alignment horizontal="center"/>
    </xf>
    <xf numFmtId="0" fontId="24" fillId="35" borderId="17" xfId="0" applyFont="1" applyFill="1" applyBorder="1" applyAlignment="1">
      <alignment horizontal="center"/>
    </xf>
    <xf numFmtId="166" fontId="24" fillId="35" borderId="18" xfId="0" applyNumberFormat="1" applyFont="1" applyFill="1" applyBorder="1" applyAlignment="1">
      <alignment horizontal="center"/>
    </xf>
    <xf numFmtId="0" fontId="24" fillId="35" borderId="19" xfId="0" applyFont="1" applyFill="1" applyBorder="1" applyAlignment="1">
      <alignment horizontal="center"/>
    </xf>
  </cellXfs>
  <cellStyles count="46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35A16C87-2D21-4214-B965-3E44D8FFF736}"/>
    <cellStyle name="60% - Accent2 2" xfId="36" xr:uid="{162FE768-90D8-440E-AC4A-EB5EA4E4B371}"/>
    <cellStyle name="60% - Accent3 2" xfId="37" xr:uid="{9D268934-7ED8-479D-A54E-250FA0D9CEAA}"/>
    <cellStyle name="60% - Accent4 2" xfId="38" xr:uid="{2BA560E3-49E1-4E4C-9C05-6BDD861BC5F2}"/>
    <cellStyle name="60% - Accent5 2" xfId="39" xr:uid="{8FC3DECC-2E54-4556-9592-935BC7F4953A}"/>
    <cellStyle name="60% - Accent6 2" xfId="40" xr:uid="{6B19762C-759A-4441-9BF5-6B44971F2D39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blp_column_header" xfId="41" xr:uid="{C79F7D54-FF7F-4AF6-A72C-8E7D50D11D1E}"/>
    <cellStyle name="Calculation" xfId="10" builtinId="22" customBuiltin="1"/>
    <cellStyle name="Check Cell" xfId="12" builtinId="23" customBuiltin="1"/>
    <cellStyle name="Comma" xfId="45" builtinId="3"/>
    <cellStyle name="Explanatory Text" xfId="15" builtinId="53" customBuiltin="1"/>
    <cellStyle name="fa_column_header_bottom" xfId="42" xr:uid="{EF36ECDD-B68C-42B5-B733-32408619F044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3" xr:uid="{FDF6AFE3-A843-4486-A6D4-0303A250E63B}"/>
    <cellStyle name="Normal" xfId="0" builtinId="0"/>
    <cellStyle name="Note" xfId="14" builtinId="10" customBuiltin="1"/>
    <cellStyle name="Output" xfId="9" builtinId="21" customBuiltin="1"/>
    <cellStyle name="Percent" xfId="1" builtinId="5"/>
    <cellStyle name="Title 2" xfId="44" xr:uid="{10A52FD9-C5DD-4202-BE59-09F8EE99A5DE}"/>
    <cellStyle name="Total" xfId="16" builtinId="25" customBuiltin="1"/>
    <cellStyle name="Warning Text" xfId="13" builtinId="11" customBuiltin="1"/>
  </cellStyles>
  <dxfs count="26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EC94C3-4691-4A33-8D41-212D09AB1250}" name="Table2" displayName="Table2" ref="B2:F29" totalsRowShown="0" headerRowDxfId="14" dataDxfId="13">
  <tableColumns count="5">
    <tableColumn id="1" xr3:uid="{F013A6E0-2EA5-4707-A13B-FBB12D5634B7}" name="WACC CALCULATIONS" dataDxfId="12"/>
    <tableColumn id="2" xr3:uid="{C56C463D-9376-453D-ACDE-CF9FF4D53DE5}" name="Column1" dataDxfId="11"/>
    <tableColumn id="3" xr3:uid="{4D5BED43-7883-4F1E-8378-E51E2F837ED6}" name="Column2" dataDxfId="10"/>
    <tableColumn id="4" xr3:uid="{715DAC3A-ECB7-4AFB-9CAA-C11DE999CA63}" name="Column3" dataDxfId="9"/>
    <tableColumn id="5" xr3:uid="{E951A719-6575-4727-A656-F9B952BB2866}" name="Column4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6C8196-953E-46BD-9B61-E2DCBBF42061}" name="Table4" displayName="Table4" ref="A2:C11" totalsRowShown="0" headerRowDxfId="1" dataDxfId="0" headerRowBorderDxfId="6" tableBorderDxfId="7" totalsRowBorderDxfId="5">
  <tableColumns count="3">
    <tableColumn id="1" xr3:uid="{C3A2C939-8872-4913-8128-82B65DEF3A17}" name="Annual Synergies" dataDxfId="4"/>
    <tableColumn id="2" xr3:uid="{983ACBC4-0B76-4AB6-AE8D-57A4E74935B9}" name="Enterprise Value " dataDxfId="3">
      <calculatedColumnFormula>$G$2+(A3*(1-$G$4)/$G$3)</calculatedColumnFormula>
    </tableColumn>
    <tableColumn id="3" xr3:uid="{AA9BC7FE-4487-4686-8C94-8B01D4907456}" name="Deal Value 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E0CFA-603D-4FAD-AAB8-3DE83735A09D}" name="Table1" displayName="Table1" ref="A1:J8" totalsRowShown="0" headerRowDxfId="25" dataDxfId="24">
  <tableColumns count="10">
    <tableColumn id="1" xr3:uid="{425FC63E-924D-4256-BE42-20AFF335F6B7}" name="Column1" dataDxfId="23"/>
    <tableColumn id="2" xr3:uid="{01E1B687-1EC1-4DDF-8D2F-67DBF69B612C}" name="TAX RATE"/>
    <tableColumn id="3" xr3:uid="{94CE83F7-D0F8-480D-9C3E-5FB7BD65CB9C}" name="Column2" dataDxfId="22"/>
    <tableColumn id="4" xr3:uid="{0E826380-9A70-446E-BFA8-C2AD4E601EF3}" name="Column3" dataDxfId="21"/>
    <tableColumn id="5" xr3:uid="{7F5227FF-0926-4EA7-ABD5-FB423361A857}" name="Column4" dataDxfId="20"/>
    <tableColumn id="6" xr3:uid="{0160FCC0-F95C-48CC-833A-7DA22B60364F}" name="Column5" dataDxfId="19"/>
    <tableColumn id="7" xr3:uid="{36F90EB9-82EE-41EF-AC6F-4C23F99DB2D9}" name="Column6" dataDxfId="18"/>
    <tableColumn id="8" xr3:uid="{C83FC9CB-62AE-4486-992B-2C0A019E7C95}" name="Column7" dataDxfId="17"/>
    <tableColumn id="9" xr3:uid="{9C71B8D7-36C9-4C6C-B831-0D8EFDFDF0F1}" name="Column8" dataDxfId="16"/>
    <tableColumn id="10" xr3:uid="{3766A9E4-FDAD-49DA-8F05-356EACB57672}" name="Column9" dataDxfId="15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02D9-2062-4587-B190-7D550B07A257}">
  <dimension ref="A1:T49"/>
  <sheetViews>
    <sheetView tabSelected="1" workbookViewId="0">
      <selection activeCell="F19" sqref="F19"/>
    </sheetView>
  </sheetViews>
  <sheetFormatPr defaultRowHeight="15" x14ac:dyDescent="0.25"/>
  <cols>
    <col min="1" max="1" width="2.109375" style="8" bestFit="1" customWidth="1"/>
    <col min="2" max="2" width="30.88671875" style="8" bestFit="1" customWidth="1"/>
    <col min="3" max="3" width="11.6640625" style="8" bestFit="1" customWidth="1"/>
    <col min="4" max="4" width="11.77734375" style="8" bestFit="1" customWidth="1"/>
    <col min="5" max="7" width="9.77734375" style="8" bestFit="1" customWidth="1"/>
    <col min="8" max="8" width="11" style="8" bestFit="1" customWidth="1"/>
    <col min="9" max="9" width="9.77734375" style="8" bestFit="1" customWidth="1"/>
    <col min="10" max="10" width="10.44140625" style="8" bestFit="1" customWidth="1"/>
    <col min="11" max="13" width="12.21875" style="8" bestFit="1" customWidth="1"/>
    <col min="14" max="14" width="12.44140625" style="8" bestFit="1" customWidth="1"/>
    <col min="15" max="19" width="8.88671875" style="8"/>
    <col min="20" max="20" width="178.88671875" style="8" bestFit="1" customWidth="1"/>
    <col min="21" max="16384" width="8.88671875" style="8"/>
  </cols>
  <sheetData>
    <row r="1" spans="1:14" s="54" customFormat="1" ht="24.6" x14ac:dyDescent="0.4">
      <c r="A1" s="54" t="s">
        <v>365</v>
      </c>
    </row>
    <row r="2" spans="1:14" s="54" customFormat="1" ht="24.6" x14ac:dyDescent="0.4"/>
    <row r="5" spans="1:14" ht="15.6" x14ac:dyDescent="0.3">
      <c r="A5" s="48" t="s">
        <v>364</v>
      </c>
      <c r="B5" s="48" t="s">
        <v>366</v>
      </c>
      <c r="C5" s="48" t="s">
        <v>1</v>
      </c>
      <c r="D5" s="48" t="s">
        <v>2</v>
      </c>
      <c r="E5" s="48" t="s">
        <v>3</v>
      </c>
      <c r="F5" s="48" t="s">
        <v>4</v>
      </c>
      <c r="G5" s="48" t="s">
        <v>5</v>
      </c>
      <c r="H5" s="48" t="s">
        <v>6</v>
      </c>
      <c r="I5" s="49" t="s">
        <v>7</v>
      </c>
      <c r="J5" s="48" t="s">
        <v>367</v>
      </c>
      <c r="K5" s="48" t="s">
        <v>368</v>
      </c>
      <c r="L5" s="48" t="s">
        <v>369</v>
      </c>
      <c r="M5" s="48" t="s">
        <v>370</v>
      </c>
      <c r="N5" s="48" t="s">
        <v>371</v>
      </c>
    </row>
    <row r="6" spans="1:14" ht="15.6" x14ac:dyDescent="0.3">
      <c r="B6" s="7" t="s">
        <v>22</v>
      </c>
      <c r="C6" s="9">
        <v>2234</v>
      </c>
      <c r="D6" s="9">
        <v>2604</v>
      </c>
      <c r="E6" s="9">
        <v>3084.1</v>
      </c>
      <c r="F6" s="9">
        <v>3551.1</v>
      </c>
      <c r="G6" s="9">
        <v>4131.2</v>
      </c>
      <c r="H6" s="9">
        <v>4991.1000000000004</v>
      </c>
      <c r="I6" s="10">
        <v>6069.9</v>
      </c>
      <c r="J6" s="11">
        <f>I6*(1+18%)</f>
        <v>7162.4819999999991</v>
      </c>
      <c r="K6" s="11">
        <f>J6*(1+16%)</f>
        <v>8308.4791199999981</v>
      </c>
      <c r="L6" s="11">
        <f>K6*(1+14%)</f>
        <v>9471.6661967999989</v>
      </c>
      <c r="M6" s="11">
        <f>L6*(1+12%)</f>
        <v>10608.266140415999</v>
      </c>
      <c r="N6" s="11">
        <f>M6*(1+10%)</f>
        <v>11669.092754457601</v>
      </c>
    </row>
    <row r="7" spans="1:14" x14ac:dyDescent="0.25">
      <c r="B7" s="8" t="s">
        <v>372</v>
      </c>
      <c r="C7" s="6" t="s">
        <v>373</v>
      </c>
      <c r="D7" s="12">
        <f>(D6-C6)/C6</f>
        <v>0.16562220232766339</v>
      </c>
      <c r="E7" s="12">
        <f t="shared" ref="E7:I7" si="0">(E6-D6)/D6</f>
        <v>0.18437019969278029</v>
      </c>
      <c r="F7" s="12">
        <f t="shared" si="0"/>
        <v>0.15142180863136734</v>
      </c>
      <c r="G7" s="12">
        <f t="shared" si="0"/>
        <v>0.16335783278420768</v>
      </c>
      <c r="H7" s="12">
        <f t="shared" si="0"/>
        <v>0.20814775367931851</v>
      </c>
      <c r="I7" s="13">
        <f t="shared" si="0"/>
        <v>0.21614473763298656</v>
      </c>
      <c r="J7" s="14">
        <f>(J6-I6)/I6</f>
        <v>0.17999999999999991</v>
      </c>
      <c r="K7" s="14">
        <f t="shared" ref="K7:N7" si="1">(K6-J6)/J6</f>
        <v>0.15999999999999989</v>
      </c>
      <c r="L7" s="14">
        <f t="shared" si="1"/>
        <v>0.14000000000000012</v>
      </c>
      <c r="M7" s="14">
        <f t="shared" si="1"/>
        <v>0.12000000000000001</v>
      </c>
      <c r="N7" s="14">
        <f t="shared" si="1"/>
        <v>0.10000000000000017</v>
      </c>
    </row>
    <row r="8" spans="1:14" x14ac:dyDescent="0.25">
      <c r="I8" s="18"/>
    </row>
    <row r="9" spans="1:14" ht="15.6" x14ac:dyDescent="0.3">
      <c r="B9" s="7" t="s">
        <v>350</v>
      </c>
      <c r="C9" s="15">
        <f>Income_statement!B34</f>
        <v>872</v>
      </c>
      <c r="D9" s="15">
        <f>Income_statement!C34</f>
        <v>498.1</v>
      </c>
      <c r="E9" s="15">
        <f>Income_statement!D34</f>
        <v>576.20000000000005</v>
      </c>
      <c r="F9" s="15">
        <f>Income_statement!E34</f>
        <v>547.79999999999995</v>
      </c>
      <c r="G9" s="15">
        <f>Income_statement!F34</f>
        <v>242.2</v>
      </c>
      <c r="H9" s="15">
        <f>Income_statement!G34</f>
        <v>2178.8000000000002</v>
      </c>
      <c r="I9" s="16">
        <f>Income_statement!H34</f>
        <v>569</v>
      </c>
      <c r="J9" s="8">
        <f>J6*J10</f>
        <v>787.87301999999988</v>
      </c>
      <c r="K9" s="8">
        <f>K6*K10</f>
        <v>997.01749439999969</v>
      </c>
      <c r="L9" s="8">
        <f>L6*L10</f>
        <v>1231.3166055839999</v>
      </c>
      <c r="M9" s="8">
        <f>M6*M10</f>
        <v>1485.15725965824</v>
      </c>
      <c r="N9" s="8">
        <f>N6*N10</f>
        <v>1750.36391316864</v>
      </c>
    </row>
    <row r="10" spans="1:14" ht="15.6" x14ac:dyDescent="0.3">
      <c r="B10" s="7" t="s">
        <v>374</v>
      </c>
      <c r="C10" s="12">
        <f>C9/C6</f>
        <v>0.39033124440465533</v>
      </c>
      <c r="D10" s="12">
        <f t="shared" ref="D10:I10" si="2">D9/D6</f>
        <v>0.19128264208909371</v>
      </c>
      <c r="E10" s="12">
        <f t="shared" si="2"/>
        <v>0.18682922084238515</v>
      </c>
      <c r="F10" s="12">
        <f t="shared" si="2"/>
        <v>0.15426205964349074</v>
      </c>
      <c r="G10" s="12">
        <f t="shared" si="2"/>
        <v>5.8627033307513558E-2</v>
      </c>
      <c r="H10" s="12">
        <f t="shared" si="2"/>
        <v>0.43653703592394461</v>
      </c>
      <c r="I10" s="13">
        <f t="shared" si="2"/>
        <v>9.3741247796504071E-2</v>
      </c>
      <c r="J10" s="17">
        <v>0.11</v>
      </c>
      <c r="K10" s="17">
        <v>0.12</v>
      </c>
      <c r="L10" s="17">
        <v>0.13</v>
      </c>
      <c r="M10" s="17">
        <v>0.14000000000000001</v>
      </c>
      <c r="N10" s="17">
        <v>0.15</v>
      </c>
    </row>
    <row r="11" spans="1:14" x14ac:dyDescent="0.25">
      <c r="I11" s="18"/>
    </row>
    <row r="12" spans="1:14" x14ac:dyDescent="0.25">
      <c r="B12" s="8" t="s">
        <v>375</v>
      </c>
      <c r="C12" s="17">
        <v>0.25</v>
      </c>
      <c r="I12" s="18"/>
    </row>
    <row r="13" spans="1:14" x14ac:dyDescent="0.25">
      <c r="I13" s="18"/>
    </row>
    <row r="14" spans="1:14" ht="15.6" x14ac:dyDescent="0.3">
      <c r="B14" s="7" t="s">
        <v>376</v>
      </c>
      <c r="C14" s="8">
        <f>C9*(1-0.25)</f>
        <v>654</v>
      </c>
      <c r="D14" s="8">
        <f t="shared" ref="D14:N14" si="3">D9*(1-0.25)</f>
        <v>373.57500000000005</v>
      </c>
      <c r="E14" s="8">
        <f t="shared" si="3"/>
        <v>432.15000000000003</v>
      </c>
      <c r="F14" s="8">
        <f t="shared" si="3"/>
        <v>410.84999999999997</v>
      </c>
      <c r="G14" s="8">
        <f t="shared" si="3"/>
        <v>181.64999999999998</v>
      </c>
      <c r="H14" s="8">
        <f t="shared" si="3"/>
        <v>1634.1000000000001</v>
      </c>
      <c r="I14" s="18">
        <f t="shared" si="3"/>
        <v>426.75</v>
      </c>
      <c r="J14" s="15">
        <f t="shared" si="3"/>
        <v>590.90476499999988</v>
      </c>
      <c r="K14" s="15">
        <f t="shared" si="3"/>
        <v>747.7631207999998</v>
      </c>
      <c r="L14" s="15">
        <f t="shared" si="3"/>
        <v>923.4874541879999</v>
      </c>
      <c r="M14" s="15">
        <f t="shared" si="3"/>
        <v>1113.86794474368</v>
      </c>
      <c r="N14" s="15">
        <f t="shared" si="3"/>
        <v>1312.7729348764801</v>
      </c>
    </row>
    <row r="15" spans="1:14" x14ac:dyDescent="0.25">
      <c r="I15" s="18"/>
    </row>
    <row r="16" spans="1:14" ht="15.6" x14ac:dyDescent="0.3">
      <c r="B16" s="7" t="s">
        <v>377</v>
      </c>
      <c r="C16" s="19">
        <v>47</v>
      </c>
      <c r="D16" s="19">
        <v>166.6</v>
      </c>
      <c r="E16" s="19">
        <v>396.4</v>
      </c>
      <c r="F16" s="19">
        <v>496.7</v>
      </c>
      <c r="G16" s="19">
        <v>405.3</v>
      </c>
      <c r="H16" s="19">
        <v>376.8</v>
      </c>
      <c r="I16" s="51">
        <v>329.4</v>
      </c>
      <c r="J16" s="19">
        <f>J6*J17</f>
        <v>594.78129883402698</v>
      </c>
      <c r="K16" s="19">
        <f t="shared" ref="K16:N16" si="4">K6*K17</f>
        <v>689.94630664747126</v>
      </c>
      <c r="L16" s="19">
        <f t="shared" si="4"/>
        <v>786.5387895781173</v>
      </c>
      <c r="M16" s="19">
        <f t="shared" si="4"/>
        <v>880.92344432749132</v>
      </c>
      <c r="N16" s="19">
        <f t="shared" si="4"/>
        <v>969.01578876024064</v>
      </c>
    </row>
    <row r="17" spans="2:20" x14ac:dyDescent="0.25">
      <c r="B17" s="8" t="s">
        <v>378</v>
      </c>
      <c r="C17" s="20">
        <f>C16/C6</f>
        <v>2.1038495971351837E-2</v>
      </c>
      <c r="D17" s="20">
        <f t="shared" ref="D17:I17" si="5">D16/D6</f>
        <v>6.3978494623655915E-2</v>
      </c>
      <c r="E17" s="20">
        <f t="shared" si="5"/>
        <v>0.12853020330080087</v>
      </c>
      <c r="F17" s="20">
        <f t="shared" si="5"/>
        <v>0.13987215229083946</v>
      </c>
      <c r="G17" s="20">
        <f t="shared" si="5"/>
        <v>9.810708752904726E-2</v>
      </c>
      <c r="H17" s="20">
        <f t="shared" si="5"/>
        <v>7.5494379996393579E-2</v>
      </c>
      <c r="I17" s="52">
        <f t="shared" si="5"/>
        <v>5.4267780358819746E-2</v>
      </c>
      <c r="J17" s="17">
        <f>AVERAGE(C$17:I$17)</f>
        <v>8.3041227724415509E-2</v>
      </c>
      <c r="K17" s="17">
        <f>J17</f>
        <v>8.3041227724415509E-2</v>
      </c>
      <c r="L17" s="17">
        <f>J17</f>
        <v>8.3041227724415509E-2</v>
      </c>
      <c r="M17" s="17">
        <f>J17</f>
        <v>8.3041227724415509E-2</v>
      </c>
      <c r="N17" s="17">
        <f>J17</f>
        <v>8.3041227724415509E-2</v>
      </c>
    </row>
    <row r="18" spans="2:20" ht="15.6" x14ac:dyDescent="0.3">
      <c r="I18" s="18"/>
      <c r="S18" s="21" t="s">
        <v>381</v>
      </c>
    </row>
    <row r="19" spans="2:20" ht="15.6" x14ac:dyDescent="0.3">
      <c r="B19" s="7" t="s">
        <v>379</v>
      </c>
      <c r="C19" s="8">
        <f>Cash_flow_statement!D23</f>
        <v>-137</v>
      </c>
      <c r="D19" s="8">
        <f>Cash_flow_statement!E23</f>
        <v>-286.3</v>
      </c>
      <c r="E19" s="8">
        <f>Cash_flow_statement!F23</f>
        <v>-332.7</v>
      </c>
      <c r="F19" s="8">
        <f>Cash_flow_statement!G23</f>
        <v>-357.3</v>
      </c>
      <c r="G19" s="8">
        <f>Cash_flow_statement!H23</f>
        <v>-213</v>
      </c>
      <c r="H19" s="8">
        <f>Cash_flow_statement!I23</f>
        <v>-170.7</v>
      </c>
      <c r="I19" s="18">
        <f>Cash_flow_statement!J23</f>
        <v>-106.7</v>
      </c>
      <c r="J19" s="8">
        <f>J6*0.035</f>
        <v>250.68687</v>
      </c>
      <c r="K19" s="8">
        <f t="shared" ref="K19:N19" si="6">K6*0.035</f>
        <v>290.79676919999997</v>
      </c>
      <c r="L19" s="8">
        <f t="shared" si="6"/>
        <v>331.50831688799997</v>
      </c>
      <c r="M19" s="8">
        <f t="shared" si="6"/>
        <v>371.28931491456001</v>
      </c>
      <c r="N19" s="8">
        <f t="shared" si="6"/>
        <v>408.41824640601607</v>
      </c>
      <c r="S19" s="8">
        <v>1</v>
      </c>
      <c r="T19" s="8" t="s">
        <v>382</v>
      </c>
    </row>
    <row r="20" spans="2:20" x14ac:dyDescent="0.25">
      <c r="B20" s="8" t="s">
        <v>380</v>
      </c>
      <c r="C20" s="20">
        <f>ABS(C19)/C6</f>
        <v>6.132497761862131E-2</v>
      </c>
      <c r="D20" s="20">
        <f t="shared" ref="D20:I20" si="7">ABS(D19)/D6</f>
        <v>0.10994623655913979</v>
      </c>
      <c r="E20" s="20">
        <f t="shared" si="7"/>
        <v>0.1078758795110405</v>
      </c>
      <c r="F20" s="20">
        <f t="shared" si="7"/>
        <v>0.10061671031511363</v>
      </c>
      <c r="G20" s="20">
        <f t="shared" si="7"/>
        <v>5.1558869093725798E-2</v>
      </c>
      <c r="H20" s="20">
        <f t="shared" si="7"/>
        <v>3.4200877562060465E-2</v>
      </c>
      <c r="I20" s="52">
        <f t="shared" si="7"/>
        <v>1.7578543303843557E-2</v>
      </c>
      <c r="J20" s="22">
        <f>ABS(J19)/J6</f>
        <v>3.5000000000000003E-2</v>
      </c>
      <c r="K20" s="22">
        <f t="shared" ref="K20:N20" si="8">ABS(K19)/K6</f>
        <v>3.5000000000000003E-2</v>
      </c>
      <c r="L20" s="22">
        <f t="shared" si="8"/>
        <v>3.5000000000000003E-2</v>
      </c>
      <c r="M20" s="22">
        <f t="shared" si="8"/>
        <v>3.5000000000000003E-2</v>
      </c>
      <c r="N20" s="22">
        <f t="shared" si="8"/>
        <v>3.5000000000000003E-2</v>
      </c>
      <c r="S20" s="8">
        <v>2</v>
      </c>
      <c r="T20" s="8" t="s">
        <v>383</v>
      </c>
    </row>
    <row r="21" spans="2:20" x14ac:dyDescent="0.25">
      <c r="I21" s="18"/>
      <c r="S21" s="8">
        <v>3</v>
      </c>
      <c r="T21" s="5" t="s">
        <v>386</v>
      </c>
    </row>
    <row r="22" spans="2:20" ht="15.6" x14ac:dyDescent="0.3">
      <c r="B22" s="47" t="s">
        <v>385</v>
      </c>
      <c r="C22" s="8" t="str">
        <f>Balance_sheet!E14</f>
        <v>---</v>
      </c>
      <c r="D22" s="8">
        <f>Balance_sheet!F14</f>
        <v>-482.28899999999976</v>
      </c>
      <c r="E22" s="8">
        <f>Balance_sheet!G14</f>
        <v>48.299999999999727</v>
      </c>
      <c r="F22" s="8">
        <f>Balance_sheet!H14</f>
        <v>246.10000000000036</v>
      </c>
      <c r="G22" s="8">
        <f>Balance_sheet!I14</f>
        <v>209.59999999999991</v>
      </c>
      <c r="H22" s="8">
        <f>Balance_sheet!J14</f>
        <v>1671.0999999999995</v>
      </c>
      <c r="I22" s="18">
        <f>Balance_sheet!K14</f>
        <v>326.20000000000073</v>
      </c>
      <c r="J22" s="15">
        <f>J6*J23/100</f>
        <v>339.21495578316581</v>
      </c>
      <c r="K22" s="15">
        <f t="shared" ref="K22:N22" si="9">K6*K23/100</f>
        <v>393.48934870847222</v>
      </c>
      <c r="L22" s="15">
        <f t="shared" si="9"/>
        <v>448.57785752765841</v>
      </c>
      <c r="M22" s="15">
        <f t="shared" si="9"/>
        <v>502.40720043097747</v>
      </c>
      <c r="N22" s="15">
        <f t="shared" si="9"/>
        <v>552.64792047407525</v>
      </c>
    </row>
    <row r="23" spans="2:20" x14ac:dyDescent="0.25">
      <c r="B23" s="8" t="s">
        <v>378</v>
      </c>
      <c r="C23" s="27">
        <v>0</v>
      </c>
      <c r="D23" s="28">
        <f>D22/D6*100</f>
        <v>-18.521082949308745</v>
      </c>
      <c r="E23" s="28">
        <f t="shared" ref="E23:I23" si="10">E22/E6*100</f>
        <v>1.5660970785642401</v>
      </c>
      <c r="F23" s="28">
        <f t="shared" si="10"/>
        <v>6.9302469657289398</v>
      </c>
      <c r="G23" s="28">
        <f t="shared" si="10"/>
        <v>5.0735863671572412</v>
      </c>
      <c r="H23" s="28">
        <f t="shared" si="10"/>
        <v>33.481597243092693</v>
      </c>
      <c r="I23" s="53">
        <f t="shared" si="10"/>
        <v>5.3740588807064489</v>
      </c>
      <c r="J23" s="28">
        <f>(I23+G23+F23+E23)/4</f>
        <v>4.7359973230392178</v>
      </c>
      <c r="K23" s="28">
        <f>J23</f>
        <v>4.7359973230392178</v>
      </c>
      <c r="L23" s="28">
        <f>K23</f>
        <v>4.7359973230392178</v>
      </c>
      <c r="M23" s="28">
        <f>L23</f>
        <v>4.7359973230392178</v>
      </c>
      <c r="N23" s="28">
        <f>M23</f>
        <v>4.7359973230392178</v>
      </c>
    </row>
    <row r="24" spans="2:20" x14ac:dyDescent="0.25">
      <c r="I24" s="18"/>
    </row>
    <row r="25" spans="2:20" ht="15.6" x14ac:dyDescent="0.3">
      <c r="B25" s="7" t="s">
        <v>387</v>
      </c>
      <c r="C25" s="15"/>
      <c r="I25" s="18"/>
      <c r="J25" s="15">
        <f>J14+J16-J19-J22</f>
        <v>595.78423805086095</v>
      </c>
      <c r="K25" s="15">
        <f t="shared" ref="K25:N25" si="11">K14+K16-K19-K22</f>
        <v>753.42330953899898</v>
      </c>
      <c r="L25" s="15">
        <f t="shared" si="11"/>
        <v>929.94006935045877</v>
      </c>
      <c r="M25" s="15">
        <f t="shared" si="11"/>
        <v>1121.094873725634</v>
      </c>
      <c r="N25" s="15">
        <f t="shared" si="11"/>
        <v>1320.7225567566293</v>
      </c>
    </row>
    <row r="26" spans="2:20" x14ac:dyDescent="0.25">
      <c r="B26" s="8" t="s">
        <v>420</v>
      </c>
      <c r="I26" s="18"/>
      <c r="J26" s="15">
        <f>J25/(1+0.0545)^1</f>
        <v>564.99216505534469</v>
      </c>
      <c r="K26" s="15">
        <f>K25/(1+0.0545)^2</f>
        <v>677.55707451615638</v>
      </c>
      <c r="L26" s="15">
        <f>L25/(1+0.0545)^3</f>
        <v>793.07673285955798</v>
      </c>
      <c r="M26" s="15">
        <f>M25/(1+0.0545)^4</f>
        <v>906.68416390697189</v>
      </c>
      <c r="N26" s="15">
        <f>N25/(1+0.0545)^5</f>
        <v>1012.9282298378112</v>
      </c>
    </row>
    <row r="27" spans="2:20" x14ac:dyDescent="0.25">
      <c r="I27" s="18"/>
    </row>
    <row r="28" spans="2:20" x14ac:dyDescent="0.25">
      <c r="I28" s="18"/>
    </row>
    <row r="29" spans="2:20" ht="15.6" x14ac:dyDescent="0.3">
      <c r="B29" s="7" t="s">
        <v>421</v>
      </c>
      <c r="I29" s="18"/>
      <c r="N29" s="39">
        <f>N25*(1+0.03)/(0.0642-0.03)</f>
        <v>39776.147177173349</v>
      </c>
    </row>
    <row r="30" spans="2:20" x14ac:dyDescent="0.25">
      <c r="B30" s="8" t="s">
        <v>422</v>
      </c>
      <c r="I30" s="18"/>
      <c r="N30" s="40">
        <f>N29/(1+0.0642)^5</f>
        <v>29141.133533192387</v>
      </c>
    </row>
    <row r="31" spans="2:20" x14ac:dyDescent="0.25">
      <c r="I31" s="18"/>
    </row>
    <row r="32" spans="2:20" ht="15.6" x14ac:dyDescent="0.3">
      <c r="B32" s="7" t="s">
        <v>423</v>
      </c>
      <c r="I32" s="18"/>
      <c r="N32" s="40">
        <f>J26+K26+L26+M26+N26+N30</f>
        <v>33096.371899368227</v>
      </c>
    </row>
    <row r="33" spans="2:14" x14ac:dyDescent="0.25">
      <c r="B33" s="8" t="s">
        <v>424</v>
      </c>
      <c r="I33" s="18"/>
      <c r="N33" s="8">
        <f>Balance_sheet!K5</f>
        <v>2964.5</v>
      </c>
    </row>
    <row r="34" spans="2:14" x14ac:dyDescent="0.25">
      <c r="B34" s="8" t="s">
        <v>425</v>
      </c>
      <c r="I34" s="18"/>
      <c r="N34" s="8">
        <f>WACC!F15</f>
        <v>2419.6</v>
      </c>
    </row>
    <row r="35" spans="2:14" x14ac:dyDescent="0.25">
      <c r="I35" s="18"/>
    </row>
    <row r="36" spans="2:14" ht="15.6" x14ac:dyDescent="0.3">
      <c r="B36" s="7" t="s">
        <v>426</v>
      </c>
      <c r="I36" s="18"/>
      <c r="N36" s="40">
        <f>(N32+N33)- N34</f>
        <v>33641.271899368228</v>
      </c>
    </row>
    <row r="37" spans="2:14" x14ac:dyDescent="0.25">
      <c r="I37" s="18"/>
    </row>
    <row r="38" spans="2:14" x14ac:dyDescent="0.25">
      <c r="B38" s="8" t="s">
        <v>427</v>
      </c>
      <c r="I38" s="18"/>
      <c r="N38" s="15">
        <f>Income_statement!H58</f>
        <v>222</v>
      </c>
    </row>
    <row r="39" spans="2:14" x14ac:dyDescent="0.25">
      <c r="I39" s="18"/>
    </row>
    <row r="40" spans="2:14" ht="15.6" x14ac:dyDescent="0.3">
      <c r="B40" s="7" t="s">
        <v>428</v>
      </c>
      <c r="I40" s="18"/>
      <c r="N40" s="50">
        <f>N36/N38</f>
        <v>151.537260807965</v>
      </c>
    </row>
    <row r="41" spans="2:14" x14ac:dyDescent="0.25">
      <c r="I41" s="18"/>
    </row>
    <row r="42" spans="2:14" x14ac:dyDescent="0.25">
      <c r="I42" s="18"/>
    </row>
    <row r="43" spans="2:14" x14ac:dyDescent="0.25">
      <c r="I43" s="18"/>
    </row>
    <row r="44" spans="2:14" x14ac:dyDescent="0.25">
      <c r="I44" s="18"/>
    </row>
    <row r="45" spans="2:14" x14ac:dyDescent="0.25">
      <c r="I45" s="18"/>
    </row>
    <row r="46" spans="2:14" x14ac:dyDescent="0.25">
      <c r="I46" s="18"/>
    </row>
    <row r="47" spans="2:14" x14ac:dyDescent="0.25">
      <c r="I47" s="18"/>
    </row>
    <row r="48" spans="2:14" x14ac:dyDescent="0.25">
      <c r="I48" s="18"/>
    </row>
    <row r="49" spans="9:9" x14ac:dyDescent="0.25">
      <c r="I49" s="18"/>
    </row>
  </sheetData>
  <mergeCells count="2">
    <mergeCell ref="A1:XFD1"/>
    <mergeCell ref="A2:XF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C2C5-FEE0-4BCB-AD56-9F3DBE4E5CCD}">
  <dimension ref="B2:H29"/>
  <sheetViews>
    <sheetView topLeftCell="A16" workbookViewId="0">
      <selection activeCell="F29" sqref="F29"/>
    </sheetView>
  </sheetViews>
  <sheetFormatPr defaultRowHeight="14.4" x14ac:dyDescent="0.3"/>
  <cols>
    <col min="1" max="1" width="1.6640625" style="30" customWidth="1"/>
    <col min="2" max="2" width="19.109375" style="30" customWidth="1"/>
    <col min="3" max="6" width="10.44140625" style="30" customWidth="1"/>
    <col min="7" max="16384" width="8.88671875" style="30"/>
  </cols>
  <sheetData>
    <row r="2" spans="2:8" ht="28.8" x14ac:dyDescent="0.3">
      <c r="B2" s="38" t="s">
        <v>419</v>
      </c>
      <c r="C2" s="29" t="s">
        <v>388</v>
      </c>
      <c r="D2" s="29" t="s">
        <v>389</v>
      </c>
      <c r="E2" s="29" t="s">
        <v>390</v>
      </c>
      <c r="F2" s="29" t="s">
        <v>391</v>
      </c>
    </row>
    <row r="3" spans="2:8" x14ac:dyDescent="0.3">
      <c r="B3" s="30" t="s">
        <v>398</v>
      </c>
      <c r="F3" s="32">
        <f>Income_statement!H49</f>
        <v>2419.5183999999999</v>
      </c>
    </row>
    <row r="4" spans="2:8" x14ac:dyDescent="0.3">
      <c r="B4" s="30" t="s">
        <v>399</v>
      </c>
      <c r="F4" s="32">
        <f>Income_statement!H54</f>
        <v>2.74</v>
      </c>
    </row>
    <row r="5" spans="2:8" x14ac:dyDescent="0.3">
      <c r="B5" s="30" t="s">
        <v>400</v>
      </c>
      <c r="F5" s="30">
        <f>F3/F4</f>
        <v>883.03591240875903</v>
      </c>
    </row>
    <row r="6" spans="2:8" x14ac:dyDescent="0.3">
      <c r="B6" s="30" t="s">
        <v>401</v>
      </c>
      <c r="F6" s="30">
        <v>120.98</v>
      </c>
      <c r="H6" s="30" t="s">
        <v>402</v>
      </c>
    </row>
    <row r="7" spans="2:8" x14ac:dyDescent="0.3">
      <c r="B7" s="30" t="s">
        <v>403</v>
      </c>
      <c r="F7" s="30">
        <f>F6*F5</f>
        <v>106829.68468321167</v>
      </c>
    </row>
    <row r="8" spans="2:8" x14ac:dyDescent="0.3">
      <c r="B8" s="30" t="s">
        <v>404</v>
      </c>
    </row>
    <row r="9" spans="2:8" x14ac:dyDescent="0.3">
      <c r="B9" s="30" t="s">
        <v>405</v>
      </c>
      <c r="F9" s="36">
        <v>9.2999999999999992E-3</v>
      </c>
      <c r="H9" s="30" t="s">
        <v>407</v>
      </c>
    </row>
    <row r="10" spans="2:8" x14ac:dyDescent="0.3">
      <c r="B10" s="30" t="s">
        <v>406</v>
      </c>
      <c r="F10" s="30">
        <v>1.07</v>
      </c>
      <c r="H10" s="30" t="s">
        <v>408</v>
      </c>
    </row>
    <row r="11" spans="2:8" x14ac:dyDescent="0.3">
      <c r="B11" s="30" t="s">
        <v>409</v>
      </c>
      <c r="F11" s="37">
        <v>5.1999999999999998E-2</v>
      </c>
      <c r="H11" s="30" t="s">
        <v>410</v>
      </c>
    </row>
    <row r="13" spans="2:8" x14ac:dyDescent="0.3">
      <c r="B13" s="30" t="s">
        <v>414</v>
      </c>
      <c r="F13" s="44">
        <f>F9+F10*F11</f>
        <v>6.4939999999999998E-2</v>
      </c>
    </row>
    <row r="15" spans="2:8" x14ac:dyDescent="0.3">
      <c r="B15" s="30" t="s">
        <v>411</v>
      </c>
      <c r="F15" s="30">
        <v>2419.6</v>
      </c>
    </row>
    <row r="16" spans="2:8" x14ac:dyDescent="0.3">
      <c r="B16" s="30" t="s">
        <v>412</v>
      </c>
      <c r="F16" s="37">
        <f>F15/F23</f>
        <v>2.2147513432386065E-2</v>
      </c>
    </row>
    <row r="18" spans="2:6" x14ac:dyDescent="0.3">
      <c r="B18" s="30" t="s">
        <v>415</v>
      </c>
      <c r="F18" s="37">
        <f>Income_statement!H17/F15</f>
        <v>4.3271615142998848E-2</v>
      </c>
    </row>
    <row r="19" spans="2:6" x14ac:dyDescent="0.3">
      <c r="B19" s="30" t="s">
        <v>413</v>
      </c>
      <c r="F19" s="37">
        <f>F18*(1-0.25)</f>
        <v>3.2453711357249136E-2</v>
      </c>
    </row>
    <row r="21" spans="2:6" x14ac:dyDescent="0.3">
      <c r="B21" s="30" t="s">
        <v>375</v>
      </c>
      <c r="F21" s="34">
        <v>0.25</v>
      </c>
    </row>
    <row r="23" spans="2:6" x14ac:dyDescent="0.3">
      <c r="B23" s="30" t="s">
        <v>416</v>
      </c>
      <c r="F23" s="30">
        <f>F7+F15</f>
        <v>109249.28468321168</v>
      </c>
    </row>
    <row r="25" spans="2:6" x14ac:dyDescent="0.3">
      <c r="B25" s="30" t="s">
        <v>417</v>
      </c>
      <c r="F25" s="30">
        <f>F7/F23</f>
        <v>0.97785248656761392</v>
      </c>
    </row>
    <row r="27" spans="2:6" x14ac:dyDescent="0.3">
      <c r="B27" s="30" t="s">
        <v>418</v>
      </c>
      <c r="F27" s="30">
        <f>F15/F23</f>
        <v>2.2147513432386065E-2</v>
      </c>
    </row>
    <row r="29" spans="2:6" x14ac:dyDescent="0.3">
      <c r="B29" s="30" t="s">
        <v>397</v>
      </c>
      <c r="F29" s="37">
        <f>(F25*F13)+(F27*F19)</f>
        <v>6.4220509485916302E-2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44CB-91AA-4FE6-B000-0FF186CF824F}">
  <dimension ref="A2:G11"/>
  <sheetViews>
    <sheetView workbookViewId="0">
      <selection activeCell="B18" sqref="B18"/>
    </sheetView>
  </sheetViews>
  <sheetFormatPr defaultRowHeight="15" x14ac:dyDescent="0.25"/>
  <cols>
    <col min="1" max="1" width="21.21875" style="41" customWidth="1"/>
    <col min="2" max="2" width="20.88671875" style="41" customWidth="1"/>
    <col min="3" max="3" width="14.5546875" style="41" customWidth="1"/>
    <col min="4" max="5" width="8.88671875" style="41"/>
    <col min="6" max="6" width="10.5546875" style="41" bestFit="1" customWidth="1"/>
    <col min="7" max="7" width="12.44140625" style="41" bestFit="1" customWidth="1"/>
    <col min="8" max="16384" width="8.88671875" style="41"/>
  </cols>
  <sheetData>
    <row r="2" spans="1:7" x14ac:dyDescent="0.25">
      <c r="A2" s="55" t="s">
        <v>429</v>
      </c>
      <c r="B2" s="56" t="s">
        <v>423</v>
      </c>
      <c r="C2" s="57" t="s">
        <v>430</v>
      </c>
      <c r="F2" s="41" t="s">
        <v>431</v>
      </c>
      <c r="G2" s="43">
        <f>DCF_FCFF!N32</f>
        <v>33096.371899368227</v>
      </c>
    </row>
    <row r="3" spans="1:7" x14ac:dyDescent="0.25">
      <c r="A3" s="58"/>
      <c r="B3" s="59"/>
      <c r="C3" s="60"/>
      <c r="F3" s="41" t="s">
        <v>397</v>
      </c>
      <c r="G3" s="45">
        <f>WACC!F29</f>
        <v>6.4220509485916302E-2</v>
      </c>
    </row>
    <row r="4" spans="1:7" x14ac:dyDescent="0.25">
      <c r="A4" s="58">
        <v>0</v>
      </c>
      <c r="B4" s="61">
        <f>$G$2+(A4*(1-$G$4)/$G$3)</f>
        <v>33096.371899368227</v>
      </c>
      <c r="C4" s="60" t="s">
        <v>432</v>
      </c>
      <c r="F4" s="41" t="s">
        <v>375</v>
      </c>
      <c r="G4" s="42">
        <v>0.25</v>
      </c>
    </row>
    <row r="5" spans="1:7" x14ac:dyDescent="0.25">
      <c r="A5" s="58">
        <v>100</v>
      </c>
      <c r="B5" s="61">
        <f t="shared" ref="B5:B11" si="0">$G$2+(A5*(1-$G$4)/$G$3)</f>
        <v>34264.223113884793</v>
      </c>
      <c r="C5" s="60" t="s">
        <v>432</v>
      </c>
    </row>
    <row r="6" spans="1:7" x14ac:dyDescent="0.25">
      <c r="A6" s="58">
        <v>200</v>
      </c>
      <c r="B6" s="61">
        <f t="shared" si="0"/>
        <v>35432.074328401359</v>
      </c>
      <c r="C6" s="60" t="s">
        <v>432</v>
      </c>
    </row>
    <row r="7" spans="1:7" x14ac:dyDescent="0.25">
      <c r="A7" s="58">
        <v>300</v>
      </c>
      <c r="B7" s="61">
        <f t="shared" si="0"/>
        <v>36599.925542917925</v>
      </c>
      <c r="C7" s="60" t="s">
        <v>432</v>
      </c>
    </row>
    <row r="8" spans="1:7" x14ac:dyDescent="0.25">
      <c r="A8" s="58">
        <v>400</v>
      </c>
      <c r="B8" s="61">
        <f t="shared" si="0"/>
        <v>37767.776757434491</v>
      </c>
      <c r="C8" s="60" t="s">
        <v>432</v>
      </c>
    </row>
    <row r="9" spans="1:7" s="46" customFormat="1" ht="15.6" x14ac:dyDescent="0.3">
      <c r="A9" s="62">
        <v>500</v>
      </c>
      <c r="B9" s="63">
        <f t="shared" si="0"/>
        <v>38935.627971951057</v>
      </c>
      <c r="C9" s="64" t="s">
        <v>432</v>
      </c>
    </row>
    <row r="10" spans="1:7" x14ac:dyDescent="0.25">
      <c r="A10" s="58">
        <v>600</v>
      </c>
      <c r="B10" s="61">
        <f t="shared" si="0"/>
        <v>40103.479186467623</v>
      </c>
      <c r="C10" s="60" t="s">
        <v>432</v>
      </c>
    </row>
    <row r="11" spans="1:7" x14ac:dyDescent="0.25">
      <c r="A11" s="65">
        <v>700</v>
      </c>
      <c r="B11" s="66">
        <f t="shared" si="0"/>
        <v>41271.330400984189</v>
      </c>
      <c r="C11" s="67" t="s">
        <v>432</v>
      </c>
    </row>
  </sheetData>
  <phoneticPr fontId="3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D667-E26A-495B-AD39-31C49ACD968B}">
  <dimension ref="A1:K8"/>
  <sheetViews>
    <sheetView workbookViewId="0">
      <selection activeCell="D17" sqref="D17"/>
    </sheetView>
  </sheetViews>
  <sheetFormatPr defaultRowHeight="14.4" x14ac:dyDescent="0.3"/>
  <cols>
    <col min="1" max="1" width="10.44140625" style="30" customWidth="1"/>
    <col min="2" max="2" width="11" style="30" customWidth="1"/>
    <col min="3" max="10" width="10.44140625" style="30" customWidth="1"/>
    <col min="11" max="16384" width="8.88671875" style="30"/>
  </cols>
  <sheetData>
    <row r="1" spans="1:11" x14ac:dyDescent="0.3">
      <c r="A1" s="29" t="s">
        <v>388</v>
      </c>
      <c r="B1" s="35" t="s">
        <v>361</v>
      </c>
      <c r="C1" s="29" t="s">
        <v>389</v>
      </c>
      <c r="D1" s="29" t="s">
        <v>390</v>
      </c>
      <c r="E1" s="29" t="s">
        <v>391</v>
      </c>
      <c r="F1" s="29" t="s">
        <v>392</v>
      </c>
      <c r="G1" s="29" t="s">
        <v>393</v>
      </c>
      <c r="H1" s="29" t="s">
        <v>394</v>
      </c>
      <c r="I1" s="29" t="s">
        <v>395</v>
      </c>
      <c r="J1" s="29" t="s">
        <v>396</v>
      </c>
    </row>
    <row r="2" spans="1:11" x14ac:dyDescent="0.3"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1" t="s">
        <v>7</v>
      </c>
      <c r="I2" s="31" t="s">
        <v>9</v>
      </c>
      <c r="J2" s="31" t="s">
        <v>10</v>
      </c>
    </row>
    <row r="3" spans="1:11" x14ac:dyDescent="0.3">
      <c r="A3" s="30" t="s">
        <v>54</v>
      </c>
      <c r="B3" s="32">
        <v>872</v>
      </c>
      <c r="C3" s="32">
        <v>498.1</v>
      </c>
      <c r="D3" s="32">
        <v>576.20000000000005</v>
      </c>
      <c r="E3" s="32">
        <v>547.79999999999995</v>
      </c>
      <c r="F3" s="32">
        <v>242.2</v>
      </c>
      <c r="G3" s="32">
        <v>2178.8000000000002</v>
      </c>
      <c r="H3" s="32">
        <v>569</v>
      </c>
      <c r="I3" s="32">
        <v>3640</v>
      </c>
      <c r="J3" s="32">
        <v>3943.8330000000001</v>
      </c>
      <c r="K3" s="32"/>
    </row>
    <row r="4" spans="1:11" x14ac:dyDescent="0.3">
      <c r="A4" s="30" t="s">
        <v>55</v>
      </c>
      <c r="B4" s="32">
        <v>215</v>
      </c>
      <c r="C4" s="32">
        <v>353.7</v>
      </c>
      <c r="D4" s="32">
        <v>176.8</v>
      </c>
      <c r="E4" s="32">
        <v>104.5</v>
      </c>
      <c r="F4" s="32">
        <v>164.6</v>
      </c>
      <c r="G4" s="32">
        <v>-225.5</v>
      </c>
      <c r="H4" s="32">
        <v>-34.4</v>
      </c>
      <c r="I4" s="32"/>
      <c r="J4" s="32"/>
      <c r="K4" s="32"/>
    </row>
    <row r="6" spans="1:11" x14ac:dyDescent="0.3">
      <c r="A6" s="30" t="s">
        <v>362</v>
      </c>
      <c r="B6" s="33">
        <f>B4/B3</f>
        <v>0.24655963302752293</v>
      </c>
      <c r="C6" s="33">
        <f t="shared" ref="C6:J6" si="0">C4/C3</f>
        <v>0.71009837382051788</v>
      </c>
      <c r="D6" s="33">
        <f t="shared" si="0"/>
        <v>0.30683790350572715</v>
      </c>
      <c r="E6" s="33">
        <f t="shared" si="0"/>
        <v>0.19076305220883535</v>
      </c>
      <c r="F6" s="33">
        <f t="shared" si="0"/>
        <v>0.67960363336085883</v>
      </c>
      <c r="G6" s="33">
        <f t="shared" si="0"/>
        <v>-0.10349733798421148</v>
      </c>
      <c r="H6" s="33">
        <f t="shared" si="0"/>
        <v>-6.0456942003514938E-2</v>
      </c>
      <c r="I6" s="33">
        <f t="shared" si="0"/>
        <v>0</v>
      </c>
      <c r="J6" s="33">
        <f t="shared" si="0"/>
        <v>0</v>
      </c>
    </row>
    <row r="8" spans="1:11" x14ac:dyDescent="0.3">
      <c r="A8" s="30" t="s">
        <v>363</v>
      </c>
      <c r="B8" s="34">
        <f>(B6+D6+E6)/3</f>
        <v>0.24805352958069515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4358-664F-4FFA-9032-6D63C6EFA735}">
  <dimension ref="A1:T78"/>
  <sheetViews>
    <sheetView topLeftCell="A13" workbookViewId="0">
      <selection activeCell="A62" sqref="A62"/>
    </sheetView>
  </sheetViews>
  <sheetFormatPr defaultRowHeight="14.4" x14ac:dyDescent="0.3"/>
  <cols>
    <col min="1" max="1" width="51.5546875" bestFit="1" customWidth="1"/>
    <col min="2" max="11" width="10.77734375" bestFit="1" customWidth="1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K1" s="2" t="s">
        <v>8</v>
      </c>
      <c r="M1" s="2" t="s">
        <v>360</v>
      </c>
    </row>
    <row r="2" spans="1:20" x14ac:dyDescent="0.3">
      <c r="A2" s="3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20</v>
      </c>
      <c r="J2" s="2" t="s">
        <v>21</v>
      </c>
      <c r="K2" s="2" t="s">
        <v>19</v>
      </c>
    </row>
    <row r="3" spans="1:20" x14ac:dyDescent="0.3">
      <c r="A3" t="s">
        <v>22</v>
      </c>
      <c r="B3" s="4">
        <v>2234</v>
      </c>
      <c r="C3" s="4">
        <v>2604</v>
      </c>
      <c r="D3" s="4">
        <v>3084.1</v>
      </c>
      <c r="E3" s="4">
        <v>3551.1</v>
      </c>
      <c r="F3" s="4">
        <v>4131.2</v>
      </c>
      <c r="G3" s="4">
        <v>4991.1000000000004</v>
      </c>
      <c r="H3" s="4">
        <v>6069.9</v>
      </c>
      <c r="I3" s="4">
        <v>6743.125</v>
      </c>
      <c r="J3" s="4">
        <v>7238.125</v>
      </c>
      <c r="K3" s="4"/>
      <c r="M3" s="1">
        <f t="shared" ref="M3:R3" si="0">(C3-B3)/B3</f>
        <v>0.16562220232766339</v>
      </c>
      <c r="N3" s="1">
        <f t="shared" si="0"/>
        <v>0.18437019969278029</v>
      </c>
      <c r="O3" s="1">
        <f t="shared" si="0"/>
        <v>0.15142180863136734</v>
      </c>
      <c r="P3" s="1">
        <f t="shared" si="0"/>
        <v>0.16335783278420768</v>
      </c>
      <c r="Q3" s="1">
        <f t="shared" si="0"/>
        <v>0.20814775367931851</v>
      </c>
      <c r="R3" s="1">
        <f t="shared" si="0"/>
        <v>0.21614473763298656</v>
      </c>
      <c r="S3" s="1">
        <f t="shared" ref="S3" si="1">(I3-H3)/H3</f>
        <v>0.11091204138453688</v>
      </c>
      <c r="T3" s="1">
        <f>(J3-I3)/I3</f>
        <v>7.340810084345166E-2</v>
      </c>
    </row>
    <row r="4" spans="1:20" x14ac:dyDescent="0.3">
      <c r="A4" t="s">
        <v>23</v>
      </c>
      <c r="B4" s="4">
        <v>2234</v>
      </c>
      <c r="C4" s="4">
        <v>2602.5</v>
      </c>
      <c r="D4" s="4">
        <v>3081.7</v>
      </c>
      <c r="E4" s="4">
        <v>3549.5</v>
      </c>
      <c r="F4" s="4">
        <v>4130.1000000000004</v>
      </c>
      <c r="G4" s="4">
        <v>4990</v>
      </c>
      <c r="H4" s="4">
        <v>6069.1</v>
      </c>
      <c r="I4" s="4"/>
      <c r="J4" s="4"/>
      <c r="K4" s="4"/>
    </row>
    <row r="5" spans="1:20" x14ac:dyDescent="0.3">
      <c r="A5" t="s">
        <v>24</v>
      </c>
      <c r="B5" s="4" t="s">
        <v>25</v>
      </c>
      <c r="C5" s="4">
        <v>1.5</v>
      </c>
      <c r="D5" s="4">
        <v>2.4</v>
      </c>
      <c r="E5" s="4">
        <v>1.6</v>
      </c>
      <c r="F5" s="4">
        <v>1.1000000000000001</v>
      </c>
      <c r="G5" s="4">
        <v>1.1000000000000001</v>
      </c>
      <c r="H5" s="4">
        <v>0.8</v>
      </c>
      <c r="I5" s="4"/>
      <c r="J5" s="4"/>
      <c r="K5" s="4"/>
    </row>
    <row r="6" spans="1:20" x14ac:dyDescent="0.3">
      <c r="A6" t="s">
        <v>26</v>
      </c>
      <c r="B6" s="4">
        <v>174</v>
      </c>
      <c r="C6" s="4">
        <v>233.1</v>
      </c>
      <c r="D6" s="4">
        <v>258.3</v>
      </c>
      <c r="E6" s="4">
        <v>302.10000000000002</v>
      </c>
      <c r="F6" s="4">
        <v>368.5</v>
      </c>
      <c r="G6" s="4">
        <v>394.5</v>
      </c>
      <c r="H6" s="4">
        <v>553.5</v>
      </c>
      <c r="I6" s="4"/>
      <c r="J6" s="4"/>
      <c r="K6" s="4"/>
    </row>
    <row r="7" spans="1:20" x14ac:dyDescent="0.3">
      <c r="A7" t="s">
        <v>27</v>
      </c>
      <c r="B7" s="4">
        <v>174</v>
      </c>
      <c r="C7" s="4">
        <v>233.1</v>
      </c>
      <c r="D7" s="4">
        <v>258.3</v>
      </c>
      <c r="E7" s="4">
        <v>302.10000000000002</v>
      </c>
      <c r="F7" s="4">
        <v>368.5</v>
      </c>
      <c r="G7" s="4">
        <v>394.5</v>
      </c>
      <c r="H7" s="4">
        <v>553.5</v>
      </c>
      <c r="I7" s="4"/>
      <c r="J7" s="4"/>
      <c r="K7" s="4"/>
    </row>
    <row r="8" spans="1:20" x14ac:dyDescent="0.3">
      <c r="A8" t="s">
        <v>28</v>
      </c>
      <c r="B8" s="4">
        <v>2060</v>
      </c>
      <c r="C8" s="4">
        <v>2370.9</v>
      </c>
      <c r="D8" s="4">
        <v>2825.8</v>
      </c>
      <c r="E8" s="4">
        <v>3249</v>
      </c>
      <c r="F8" s="4">
        <v>3762.7</v>
      </c>
      <c r="G8" s="4">
        <v>4596.6000000000004</v>
      </c>
      <c r="H8" s="4">
        <v>5516.4</v>
      </c>
      <c r="I8" s="4">
        <v>6231.79383125</v>
      </c>
      <c r="J8" s="4">
        <v>6643.9473187499998</v>
      </c>
      <c r="K8" s="4"/>
    </row>
    <row r="9" spans="1:20" x14ac:dyDescent="0.3">
      <c r="A9" t="s">
        <v>29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/>
      <c r="J9" s="4"/>
      <c r="K9" s="4"/>
    </row>
    <row r="10" spans="1:20" x14ac:dyDescent="0.3">
      <c r="A10" t="s">
        <v>30</v>
      </c>
      <c r="B10" s="4">
        <v>1144</v>
      </c>
      <c r="C10" s="4">
        <v>1559</v>
      </c>
      <c r="D10" s="4">
        <v>2022.8</v>
      </c>
      <c r="E10" s="4">
        <v>2213.6999999999998</v>
      </c>
      <c r="F10" s="4">
        <v>2106.6999999999998</v>
      </c>
      <c r="G10" s="4">
        <v>2353.1999999999998</v>
      </c>
      <c r="H10" s="4">
        <v>2634.9</v>
      </c>
      <c r="I10" s="4"/>
      <c r="J10" s="4"/>
      <c r="K10" s="4"/>
    </row>
    <row r="11" spans="1:20" x14ac:dyDescent="0.3">
      <c r="A11" t="s">
        <v>31</v>
      </c>
      <c r="B11" s="4">
        <v>630</v>
      </c>
      <c r="C11" s="4">
        <v>862.6</v>
      </c>
      <c r="D11" s="4">
        <v>953</v>
      </c>
      <c r="E11" s="4">
        <v>978.9</v>
      </c>
      <c r="F11" s="4">
        <v>1082.9000000000001</v>
      </c>
      <c r="G11" s="4">
        <v>1261</v>
      </c>
      <c r="H11" s="4">
        <v>1378.3</v>
      </c>
      <c r="I11" s="4"/>
      <c r="J11" s="4"/>
      <c r="K11" s="4"/>
    </row>
    <row r="12" spans="1:20" x14ac:dyDescent="0.3">
      <c r="A12" t="s">
        <v>32</v>
      </c>
      <c r="B12" s="4">
        <v>514</v>
      </c>
      <c r="C12" s="4">
        <v>579.5</v>
      </c>
      <c r="D12" s="4">
        <v>757.2</v>
      </c>
      <c r="E12" s="4">
        <v>862.1</v>
      </c>
      <c r="F12" s="4">
        <v>730.3</v>
      </c>
      <c r="G12" s="4">
        <v>782.6</v>
      </c>
      <c r="H12" s="4">
        <v>1002.9</v>
      </c>
      <c r="I12" s="4"/>
      <c r="J12" s="4"/>
      <c r="K12" s="4"/>
    </row>
    <row r="13" spans="1:20" x14ac:dyDescent="0.3">
      <c r="A13" t="s">
        <v>33</v>
      </c>
      <c r="B13" s="4">
        <v>0</v>
      </c>
      <c r="C13" s="4">
        <v>116.9</v>
      </c>
      <c r="D13" s="4">
        <v>312.60000000000002</v>
      </c>
      <c r="E13" s="4">
        <v>372.7</v>
      </c>
      <c r="F13" s="4">
        <v>293.5</v>
      </c>
      <c r="G13" s="4">
        <v>309.60000000000002</v>
      </c>
      <c r="H13" s="4">
        <v>253.7</v>
      </c>
      <c r="I13" s="4"/>
      <c r="J13" s="4"/>
      <c r="K13" s="4"/>
    </row>
    <row r="14" spans="1:20" x14ac:dyDescent="0.3">
      <c r="A14" t="s">
        <v>34</v>
      </c>
      <c r="B14" s="4">
        <v>916</v>
      </c>
      <c r="C14" s="4">
        <v>811.9</v>
      </c>
      <c r="D14" s="4">
        <v>803</v>
      </c>
      <c r="E14" s="4">
        <v>1035.3</v>
      </c>
      <c r="F14" s="4">
        <v>1656</v>
      </c>
      <c r="G14" s="4">
        <v>2243.4</v>
      </c>
      <c r="H14" s="4">
        <v>2881.5</v>
      </c>
      <c r="I14" s="4">
        <v>3842</v>
      </c>
      <c r="J14" s="4">
        <v>4119.2</v>
      </c>
      <c r="K14" s="4"/>
    </row>
    <row r="15" spans="1:20" x14ac:dyDescent="0.3">
      <c r="A15" t="s">
        <v>35</v>
      </c>
      <c r="B15" s="4">
        <v>-3</v>
      </c>
      <c r="C15" s="4">
        <v>38.6</v>
      </c>
      <c r="D15" s="4">
        <v>91.2</v>
      </c>
      <c r="E15" s="4">
        <v>79.599999999999994</v>
      </c>
      <c r="F15" s="4">
        <v>70.5</v>
      </c>
      <c r="G15" s="4">
        <v>33.299999999999997</v>
      </c>
      <c r="H15" s="4">
        <v>89.9</v>
      </c>
      <c r="I15" s="4"/>
      <c r="J15" s="4"/>
      <c r="K15" s="4"/>
    </row>
    <row r="16" spans="1:20" x14ac:dyDescent="0.3">
      <c r="A16" t="s">
        <v>36</v>
      </c>
      <c r="B16" s="4" t="s">
        <v>25</v>
      </c>
      <c r="C16" s="4" t="s">
        <v>25</v>
      </c>
      <c r="D16" s="4">
        <v>96.9</v>
      </c>
      <c r="E16" s="4" t="s">
        <v>25</v>
      </c>
      <c r="F16" s="4" t="s">
        <v>25</v>
      </c>
      <c r="G16" s="4" t="s">
        <v>25</v>
      </c>
      <c r="H16" s="4" t="s">
        <v>25</v>
      </c>
      <c r="I16" s="4"/>
      <c r="J16" s="4"/>
      <c r="K16" s="4"/>
    </row>
    <row r="17" spans="1:11" x14ac:dyDescent="0.3">
      <c r="A17" t="s">
        <v>37</v>
      </c>
      <c r="B17" s="4">
        <v>3</v>
      </c>
      <c r="C17" s="4">
        <v>47.8</v>
      </c>
      <c r="D17" s="4">
        <v>96.9</v>
      </c>
      <c r="E17" s="4">
        <v>98.4</v>
      </c>
      <c r="F17" s="4">
        <v>98.2</v>
      </c>
      <c r="G17" s="4">
        <v>77.8</v>
      </c>
      <c r="H17" s="4">
        <v>104.7</v>
      </c>
      <c r="I17" s="4"/>
      <c r="J17" s="4"/>
      <c r="K17" s="4"/>
    </row>
    <row r="18" spans="1:11" x14ac:dyDescent="0.3">
      <c r="A18" t="s">
        <v>38</v>
      </c>
      <c r="B18" s="4" t="s">
        <v>25</v>
      </c>
      <c r="C18" s="4" t="s">
        <v>25</v>
      </c>
      <c r="D18" s="4">
        <v>0</v>
      </c>
      <c r="E18" s="4" t="s">
        <v>25</v>
      </c>
      <c r="F18" s="4" t="s">
        <v>25</v>
      </c>
      <c r="G18" s="4" t="s">
        <v>25</v>
      </c>
      <c r="H18" s="4" t="s">
        <v>25</v>
      </c>
      <c r="I18" s="4"/>
      <c r="J18" s="4"/>
      <c r="K18" s="4"/>
    </row>
    <row r="19" spans="1:11" x14ac:dyDescent="0.3">
      <c r="A19" t="s">
        <v>39</v>
      </c>
      <c r="B19" s="4">
        <v>-8</v>
      </c>
      <c r="C19" s="4">
        <v>-8.5</v>
      </c>
      <c r="D19" s="4">
        <v>-10.9</v>
      </c>
      <c r="E19" s="4">
        <v>-18.5</v>
      </c>
      <c r="F19" s="4">
        <v>-65.3</v>
      </c>
      <c r="G19" s="4">
        <v>-100.3</v>
      </c>
      <c r="H19" s="4">
        <v>-44.7</v>
      </c>
      <c r="I19" s="4"/>
      <c r="J19" s="4"/>
      <c r="K19" s="4"/>
    </row>
    <row r="20" spans="1:11" x14ac:dyDescent="0.3">
      <c r="A20" t="s">
        <v>40</v>
      </c>
      <c r="B20" s="4">
        <v>2</v>
      </c>
      <c r="C20" s="4">
        <v>-1</v>
      </c>
      <c r="D20" s="4">
        <v>73</v>
      </c>
      <c r="E20" s="4">
        <v>28.9</v>
      </c>
      <c r="F20" s="4">
        <v>-1.8</v>
      </c>
      <c r="G20" s="4">
        <v>36.799999999999997</v>
      </c>
      <c r="H20" s="4">
        <v>4.7</v>
      </c>
      <c r="I20" s="4"/>
      <c r="J20" s="4"/>
      <c r="K20" s="4"/>
    </row>
    <row r="21" spans="1:11" x14ac:dyDescent="0.3">
      <c r="A21" t="s">
        <v>41</v>
      </c>
      <c r="B21" s="4" t="s">
        <v>25</v>
      </c>
      <c r="C21" s="4" t="s">
        <v>25</v>
      </c>
      <c r="D21" s="4" t="s">
        <v>25</v>
      </c>
      <c r="E21" s="4" t="s">
        <v>25</v>
      </c>
      <c r="F21" s="4" t="s">
        <v>25</v>
      </c>
      <c r="G21" s="4" t="s">
        <v>25</v>
      </c>
      <c r="H21" s="4" t="s">
        <v>25</v>
      </c>
      <c r="I21" s="4"/>
      <c r="J21" s="4"/>
      <c r="K21" s="4"/>
    </row>
    <row r="22" spans="1:11" x14ac:dyDescent="0.3">
      <c r="A22" t="s">
        <v>42</v>
      </c>
      <c r="B22" s="4">
        <v>0</v>
      </c>
      <c r="C22" s="4">
        <v>0.3</v>
      </c>
      <c r="D22" s="4">
        <v>-67.8</v>
      </c>
      <c r="E22" s="4">
        <v>-29.2</v>
      </c>
      <c r="F22" s="4">
        <v>39.4</v>
      </c>
      <c r="G22" s="4">
        <v>19</v>
      </c>
      <c r="H22" s="4">
        <v>25.2</v>
      </c>
      <c r="I22" s="4"/>
      <c r="J22" s="4"/>
      <c r="K22" s="4"/>
    </row>
    <row r="23" spans="1:11" x14ac:dyDescent="0.3">
      <c r="A23" t="s">
        <v>43</v>
      </c>
      <c r="B23" s="4">
        <v>919</v>
      </c>
      <c r="C23" s="4">
        <v>773.3</v>
      </c>
      <c r="D23" s="4">
        <v>711.8</v>
      </c>
      <c r="E23" s="4">
        <v>955.7</v>
      </c>
      <c r="F23" s="4">
        <v>1585.5</v>
      </c>
      <c r="G23" s="4">
        <v>2210.1</v>
      </c>
      <c r="H23" s="4">
        <v>2791.6</v>
      </c>
      <c r="I23" s="4">
        <v>3640</v>
      </c>
      <c r="J23" s="4">
        <v>3943.8330000000001</v>
      </c>
      <c r="K23" s="4"/>
    </row>
    <row r="24" spans="1:11" x14ac:dyDescent="0.3">
      <c r="A24" t="s">
        <v>44</v>
      </c>
      <c r="B24" s="4">
        <v>47</v>
      </c>
      <c r="C24" s="4">
        <v>275.2</v>
      </c>
      <c r="D24" s="4">
        <v>135.6</v>
      </c>
      <c r="E24" s="4">
        <v>407.9</v>
      </c>
      <c r="F24" s="4">
        <v>1343.3</v>
      </c>
      <c r="G24" s="4">
        <v>31.3</v>
      </c>
      <c r="H24" s="4">
        <v>2222.6</v>
      </c>
      <c r="I24" s="4"/>
      <c r="J24" s="4"/>
      <c r="K24" s="4"/>
    </row>
    <row r="25" spans="1:11" x14ac:dyDescent="0.3">
      <c r="A25" t="s">
        <v>45</v>
      </c>
      <c r="B25" s="4" t="s">
        <v>25</v>
      </c>
      <c r="C25" s="4" t="s">
        <v>25</v>
      </c>
      <c r="D25" s="4" t="s">
        <v>25</v>
      </c>
      <c r="E25" s="4" t="s">
        <v>25</v>
      </c>
      <c r="F25" s="4">
        <v>1183</v>
      </c>
      <c r="G25" s="4">
        <v>-4.0999999999999996</v>
      </c>
      <c r="H25" s="4" t="s">
        <v>25</v>
      </c>
      <c r="I25" s="4"/>
      <c r="J25" s="4"/>
      <c r="K25" s="4"/>
    </row>
    <row r="26" spans="1:11" x14ac:dyDescent="0.3">
      <c r="A26" t="s">
        <v>46</v>
      </c>
      <c r="B26" s="4">
        <v>20</v>
      </c>
      <c r="C26" s="4">
        <v>103.2</v>
      </c>
      <c r="D26" s="4">
        <v>38</v>
      </c>
      <c r="E26" s="4" t="s">
        <v>25</v>
      </c>
      <c r="F26" s="4" t="s">
        <v>25</v>
      </c>
      <c r="G26" s="4" t="s">
        <v>25</v>
      </c>
      <c r="H26" s="4">
        <v>178.8</v>
      </c>
      <c r="I26" s="4"/>
      <c r="J26" s="4"/>
      <c r="K26" s="4"/>
    </row>
    <row r="27" spans="1:11" x14ac:dyDescent="0.3">
      <c r="A27" t="s">
        <v>47</v>
      </c>
      <c r="B27" s="4" t="s">
        <v>25</v>
      </c>
      <c r="C27" s="4" t="s">
        <v>25</v>
      </c>
      <c r="D27" s="4" t="s">
        <v>25</v>
      </c>
      <c r="E27" s="4" t="s">
        <v>25</v>
      </c>
      <c r="F27" s="4" t="s">
        <v>25</v>
      </c>
      <c r="G27" s="4">
        <v>-32</v>
      </c>
      <c r="H27" s="4" t="s">
        <v>25</v>
      </c>
      <c r="I27" s="4"/>
      <c r="J27" s="4"/>
      <c r="K27" s="4"/>
    </row>
    <row r="28" spans="1:11" x14ac:dyDescent="0.3">
      <c r="A28" t="s">
        <v>48</v>
      </c>
      <c r="B28" s="4" t="s">
        <v>25</v>
      </c>
      <c r="C28" s="4" t="s">
        <v>25</v>
      </c>
      <c r="D28" s="4" t="s">
        <v>25</v>
      </c>
      <c r="E28" s="4" t="s">
        <v>25</v>
      </c>
      <c r="F28" s="4">
        <v>-3.5</v>
      </c>
      <c r="G28" s="4" t="s">
        <v>25</v>
      </c>
      <c r="H28" s="4">
        <v>-14.8</v>
      </c>
      <c r="I28" s="4"/>
      <c r="J28" s="4"/>
      <c r="K28" s="4"/>
    </row>
    <row r="29" spans="1:11" x14ac:dyDescent="0.3">
      <c r="A29" t="s">
        <v>49</v>
      </c>
      <c r="B29" s="4">
        <v>12</v>
      </c>
      <c r="C29" s="4" t="s">
        <v>25</v>
      </c>
      <c r="D29" s="4">
        <v>85</v>
      </c>
      <c r="E29" s="4">
        <v>31</v>
      </c>
      <c r="F29" s="4" t="s">
        <v>25</v>
      </c>
      <c r="G29" s="4" t="s">
        <v>25</v>
      </c>
      <c r="H29" s="4">
        <v>2053.3000000000002</v>
      </c>
      <c r="I29" s="4"/>
      <c r="J29" s="4"/>
      <c r="K29" s="4"/>
    </row>
    <row r="30" spans="1:11" x14ac:dyDescent="0.3">
      <c r="A30" t="s">
        <v>50</v>
      </c>
      <c r="B30" s="4" t="s">
        <v>25</v>
      </c>
      <c r="C30" s="4" t="s">
        <v>25</v>
      </c>
      <c r="D30" s="4" t="s">
        <v>25</v>
      </c>
      <c r="E30" s="4" t="s">
        <v>25</v>
      </c>
      <c r="F30" s="4">
        <v>13</v>
      </c>
      <c r="G30" s="4">
        <v>0.1</v>
      </c>
      <c r="H30" s="4">
        <v>21.6</v>
      </c>
      <c r="I30" s="4"/>
      <c r="J30" s="4"/>
      <c r="K30" s="4"/>
    </row>
    <row r="31" spans="1:11" x14ac:dyDescent="0.3">
      <c r="A31" t="s">
        <v>51</v>
      </c>
      <c r="B31" s="4">
        <v>15</v>
      </c>
      <c r="C31" s="4">
        <v>42</v>
      </c>
      <c r="D31" s="4">
        <v>3</v>
      </c>
      <c r="E31" s="4">
        <v>286.5</v>
      </c>
      <c r="F31" s="4">
        <v>50.7</v>
      </c>
      <c r="G31" s="4">
        <v>12</v>
      </c>
      <c r="H31" s="4">
        <v>10.3</v>
      </c>
      <c r="I31" s="4"/>
      <c r="J31" s="4"/>
      <c r="K31" s="4"/>
    </row>
    <row r="32" spans="1:11" x14ac:dyDescent="0.3">
      <c r="A32" t="s">
        <v>52</v>
      </c>
      <c r="B32" s="4" t="s">
        <v>25</v>
      </c>
      <c r="C32" s="4" t="s">
        <v>25</v>
      </c>
      <c r="D32" s="4" t="s">
        <v>25</v>
      </c>
      <c r="E32" s="4">
        <v>41</v>
      </c>
      <c r="F32" s="4">
        <v>73.400000000000006</v>
      </c>
      <c r="G32" s="4">
        <v>-48.1</v>
      </c>
      <c r="H32" s="4">
        <v>-26.6</v>
      </c>
      <c r="I32" s="4"/>
      <c r="J32" s="4"/>
      <c r="K32" s="4"/>
    </row>
    <row r="33" spans="1:11" x14ac:dyDescent="0.3">
      <c r="A33" t="s">
        <v>53</v>
      </c>
      <c r="B33" s="4" t="s">
        <v>25</v>
      </c>
      <c r="C33" s="4">
        <v>130</v>
      </c>
      <c r="D33" s="4">
        <v>9.6</v>
      </c>
      <c r="E33" s="4">
        <v>49.4</v>
      </c>
      <c r="F33" s="4">
        <v>26.7</v>
      </c>
      <c r="G33" s="4">
        <v>103.4</v>
      </c>
      <c r="H33" s="4" t="s">
        <v>25</v>
      </c>
      <c r="I33" s="4"/>
      <c r="J33" s="4"/>
      <c r="K33" s="4"/>
    </row>
    <row r="34" spans="1:11" x14ac:dyDescent="0.3">
      <c r="A34" t="s">
        <v>54</v>
      </c>
      <c r="B34" s="4">
        <v>872</v>
      </c>
      <c r="C34" s="4">
        <v>498.1</v>
      </c>
      <c r="D34" s="4">
        <v>576.20000000000005</v>
      </c>
      <c r="E34" s="4">
        <v>547.79999999999995</v>
      </c>
      <c r="F34" s="4">
        <v>242.2</v>
      </c>
      <c r="G34" s="4">
        <v>2178.8000000000002</v>
      </c>
      <c r="H34" s="4">
        <v>569</v>
      </c>
      <c r="I34" s="4">
        <v>3640</v>
      </c>
      <c r="J34" s="4">
        <v>3943.8330000000001</v>
      </c>
      <c r="K34" s="4"/>
    </row>
    <row r="35" spans="1:11" x14ac:dyDescent="0.3">
      <c r="A35" t="s">
        <v>55</v>
      </c>
      <c r="B35" s="4">
        <v>215</v>
      </c>
      <c r="C35" s="4">
        <v>353.7</v>
      </c>
      <c r="D35" s="4">
        <v>176.8</v>
      </c>
      <c r="E35" s="4">
        <v>104.5</v>
      </c>
      <c r="F35" s="4">
        <v>164.6</v>
      </c>
      <c r="G35" s="4">
        <v>-225.5</v>
      </c>
      <c r="H35" s="4">
        <v>-34.4</v>
      </c>
      <c r="I35" s="4"/>
      <c r="J35" s="4"/>
      <c r="K35" s="4"/>
    </row>
    <row r="36" spans="1:11" x14ac:dyDescent="0.3">
      <c r="A36" t="s">
        <v>56</v>
      </c>
      <c r="B36" s="4">
        <v>367</v>
      </c>
      <c r="C36" s="4">
        <v>-38.6</v>
      </c>
      <c r="D36" s="4">
        <v>72.5</v>
      </c>
      <c r="E36" s="4">
        <v>150.4</v>
      </c>
      <c r="F36" s="4">
        <v>131.69999999999999</v>
      </c>
      <c r="G36" s="4">
        <v>230</v>
      </c>
      <c r="H36" s="4">
        <v>249</v>
      </c>
      <c r="I36" s="4"/>
      <c r="J36" s="4"/>
      <c r="K36" s="4"/>
    </row>
    <row r="37" spans="1:11" x14ac:dyDescent="0.3">
      <c r="A37" t="s">
        <v>57</v>
      </c>
      <c r="B37" s="4">
        <v>-152</v>
      </c>
      <c r="C37" s="4">
        <v>392.3</v>
      </c>
      <c r="D37" s="4">
        <v>104.3</v>
      </c>
      <c r="E37" s="4">
        <v>-45.9</v>
      </c>
      <c r="F37" s="4">
        <v>32.9</v>
      </c>
      <c r="G37" s="4">
        <v>-455.5</v>
      </c>
      <c r="H37" s="4">
        <v>-283.39999999999998</v>
      </c>
      <c r="I37" s="4"/>
      <c r="J37" s="4"/>
      <c r="K37" s="4"/>
    </row>
    <row r="38" spans="1:11" x14ac:dyDescent="0.3">
      <c r="A38" t="s">
        <v>58</v>
      </c>
      <c r="B38" s="4">
        <v>657</v>
      </c>
      <c r="C38" s="4">
        <v>144.4</v>
      </c>
      <c r="D38" s="4">
        <v>399.4</v>
      </c>
      <c r="E38" s="4">
        <v>443.3</v>
      </c>
      <c r="F38" s="4">
        <v>77.599999999999994</v>
      </c>
      <c r="G38" s="4">
        <v>2404.3000000000002</v>
      </c>
      <c r="H38" s="4">
        <v>603.4</v>
      </c>
      <c r="I38" s="4">
        <v>2416.5</v>
      </c>
      <c r="J38" s="4">
        <v>2606.25</v>
      </c>
      <c r="K38" s="4"/>
    </row>
    <row r="39" spans="1:11" x14ac:dyDescent="0.3">
      <c r="A39" t="s">
        <v>59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/>
      <c r="J39" s="4"/>
      <c r="K39" s="4"/>
    </row>
    <row r="40" spans="1:11" x14ac:dyDescent="0.3">
      <c r="A40" t="s">
        <v>60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/>
      <c r="J40" s="4"/>
      <c r="K40" s="4"/>
    </row>
    <row r="41" spans="1:11" x14ac:dyDescent="0.3">
      <c r="A41" t="s">
        <v>61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/>
      <c r="J41" s="4"/>
      <c r="K41" s="4"/>
    </row>
    <row r="42" spans="1:11" x14ac:dyDescent="0.3">
      <c r="A42" t="s">
        <v>62</v>
      </c>
      <c r="B42" s="4">
        <v>657</v>
      </c>
      <c r="C42" s="4">
        <v>144.4</v>
      </c>
      <c r="D42" s="4">
        <v>399.4</v>
      </c>
      <c r="E42" s="4">
        <v>443.3</v>
      </c>
      <c r="F42" s="4">
        <v>77.599999999999994</v>
      </c>
      <c r="G42" s="4">
        <v>2404.3000000000002</v>
      </c>
      <c r="H42" s="4">
        <v>603.4</v>
      </c>
      <c r="I42" s="4"/>
      <c r="J42" s="4"/>
      <c r="K42" s="4"/>
    </row>
    <row r="43" spans="1:11" x14ac:dyDescent="0.3">
      <c r="A43" t="s">
        <v>63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/>
      <c r="J43" s="4"/>
      <c r="K43" s="4"/>
    </row>
    <row r="44" spans="1:11" x14ac:dyDescent="0.3">
      <c r="A44" t="s">
        <v>64</v>
      </c>
      <c r="B44" s="4">
        <v>657</v>
      </c>
      <c r="C44" s="4">
        <v>144.4</v>
      </c>
      <c r="D44" s="4">
        <v>399.4</v>
      </c>
      <c r="E44" s="4">
        <v>443.3</v>
      </c>
      <c r="F44" s="4">
        <v>77.599999999999994</v>
      </c>
      <c r="G44" s="4">
        <v>2404.3000000000002</v>
      </c>
      <c r="H44" s="4">
        <v>603.4</v>
      </c>
      <c r="I44" s="4">
        <v>2416.5</v>
      </c>
      <c r="J44" s="4">
        <v>2606.25</v>
      </c>
      <c r="K44" s="4"/>
    </row>
    <row r="45" spans="1:11" x14ac:dyDescent="0.3">
      <c r="A45" t="s">
        <v>65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/>
      <c r="J45" s="4"/>
      <c r="K45" s="4"/>
    </row>
    <row r="46" spans="1:11" x14ac:dyDescent="0.3">
      <c r="A46" t="s">
        <v>66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/>
      <c r="J46" s="4"/>
      <c r="K46" s="4"/>
    </row>
    <row r="47" spans="1:11" x14ac:dyDescent="0.3">
      <c r="A47" t="s">
        <v>67</v>
      </c>
      <c r="B47" s="4">
        <v>657</v>
      </c>
      <c r="C47" s="4">
        <v>144.4</v>
      </c>
      <c r="D47" s="4">
        <v>399.4</v>
      </c>
      <c r="E47" s="4">
        <v>443.3</v>
      </c>
      <c r="F47" s="4">
        <v>77.599999999999994</v>
      </c>
      <c r="G47" s="4">
        <v>2404.3000000000002</v>
      </c>
      <c r="H47" s="4">
        <v>603.4</v>
      </c>
      <c r="I47" s="4">
        <v>2416.5</v>
      </c>
      <c r="J47" s="4">
        <v>2606.25</v>
      </c>
      <c r="K47" s="4"/>
    </row>
    <row r="49" spans="1:11" x14ac:dyDescent="0.3">
      <c r="A49" t="s">
        <v>335</v>
      </c>
      <c r="B49" s="4">
        <v>687.55</v>
      </c>
      <c r="C49" s="4">
        <v>574.28</v>
      </c>
      <c r="D49" s="4">
        <v>533.76909999999998</v>
      </c>
      <c r="E49" s="4">
        <v>862.66020000000003</v>
      </c>
      <c r="F49" s="4">
        <v>1316.8116</v>
      </c>
      <c r="G49" s="4">
        <v>1987.1790000000001</v>
      </c>
      <c r="H49" s="4">
        <v>2419.5183999999999</v>
      </c>
      <c r="I49" s="4">
        <v>3088.1669999999999</v>
      </c>
      <c r="J49" s="4">
        <v>3200.3330000000001</v>
      </c>
      <c r="K49" s="4"/>
    </row>
    <row r="50" spans="1:11" x14ac:dyDescent="0.3">
      <c r="A50" t="s">
        <v>336</v>
      </c>
      <c r="B50" s="4">
        <v>30.55</v>
      </c>
      <c r="C50" s="4">
        <v>429.88</v>
      </c>
      <c r="D50" s="4">
        <v>134.3691</v>
      </c>
      <c r="E50" s="4">
        <v>419.36020000000002</v>
      </c>
      <c r="F50" s="4">
        <v>1239.2116000000001</v>
      </c>
      <c r="G50" s="4">
        <v>-417.12099999999998</v>
      </c>
      <c r="H50" s="4">
        <v>1816.1184000000001</v>
      </c>
      <c r="I50" s="4"/>
      <c r="J50" s="4"/>
      <c r="K50" s="4"/>
    </row>
    <row r="51" spans="1:11" x14ac:dyDescent="0.3">
      <c r="A51" t="s">
        <v>337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/>
      <c r="J51" s="4"/>
      <c r="K51" s="4"/>
    </row>
    <row r="52" spans="1:11" x14ac:dyDescent="0.3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3">
      <c r="A53" t="s">
        <v>338</v>
      </c>
      <c r="B53" s="4">
        <v>198</v>
      </c>
      <c r="C53" s="4">
        <v>213.4</v>
      </c>
      <c r="D53" s="4">
        <v>224.3</v>
      </c>
      <c r="E53" s="4">
        <v>223.9</v>
      </c>
      <c r="F53" s="4">
        <v>222.7</v>
      </c>
      <c r="G53" s="4">
        <v>223.2</v>
      </c>
      <c r="H53" s="4">
        <v>220.1</v>
      </c>
      <c r="I53" s="4"/>
      <c r="J53" s="4"/>
      <c r="K53" s="4">
        <v>220.1</v>
      </c>
    </row>
    <row r="54" spans="1:11" x14ac:dyDescent="0.3">
      <c r="A54" t="s">
        <v>339</v>
      </c>
      <c r="B54" s="4">
        <v>3.32</v>
      </c>
      <c r="C54" s="4">
        <v>0.68</v>
      </c>
      <c r="D54" s="4">
        <v>1.78</v>
      </c>
      <c r="E54" s="4">
        <v>1.98</v>
      </c>
      <c r="F54" s="4">
        <v>0.35</v>
      </c>
      <c r="G54" s="4">
        <v>10.77</v>
      </c>
      <c r="H54" s="4">
        <v>2.74</v>
      </c>
      <c r="I54" s="4">
        <v>10.946999999999999</v>
      </c>
      <c r="J54" s="4">
        <v>12.047000000000001</v>
      </c>
      <c r="K54" s="4"/>
    </row>
    <row r="55" spans="1:11" x14ac:dyDescent="0.3">
      <c r="A55" t="s">
        <v>340</v>
      </c>
      <c r="B55" s="4">
        <v>3.32</v>
      </c>
      <c r="C55" s="4">
        <v>0.68</v>
      </c>
      <c r="D55" s="4">
        <v>1.78</v>
      </c>
      <c r="E55" s="4">
        <v>1.98</v>
      </c>
      <c r="F55" s="4">
        <v>0.35</v>
      </c>
      <c r="G55" s="4">
        <v>10.77</v>
      </c>
      <c r="H55" s="4">
        <v>2.74</v>
      </c>
      <c r="I55" s="4">
        <v>10.946999999999999</v>
      </c>
      <c r="J55" s="4">
        <v>12.047000000000001</v>
      </c>
      <c r="K55" s="4"/>
    </row>
    <row r="56" spans="1:11" x14ac:dyDescent="0.3">
      <c r="A56" t="s">
        <v>341</v>
      </c>
      <c r="B56" s="4">
        <v>3.4725000000000001</v>
      </c>
      <c r="C56" s="4">
        <v>2.6911</v>
      </c>
      <c r="D56" s="4">
        <v>2.3797000000000001</v>
      </c>
      <c r="E56" s="4">
        <v>3.8529</v>
      </c>
      <c r="F56" s="4">
        <v>5.9128999999999996</v>
      </c>
      <c r="G56" s="4">
        <v>8.9031000000000002</v>
      </c>
      <c r="H56" s="4">
        <v>10.992800000000001</v>
      </c>
      <c r="I56" s="4">
        <v>13.759</v>
      </c>
      <c r="J56" s="4">
        <v>14.454000000000001</v>
      </c>
      <c r="K56" s="4"/>
    </row>
    <row r="57" spans="1:11" x14ac:dyDescent="0.3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3">
      <c r="A58" t="s">
        <v>342</v>
      </c>
      <c r="B58" s="4">
        <v>202</v>
      </c>
      <c r="C58" s="4">
        <v>215.9</v>
      </c>
      <c r="D58" s="4">
        <v>226.3</v>
      </c>
      <c r="E58" s="4">
        <v>225.4</v>
      </c>
      <c r="F58" s="4">
        <v>224.5</v>
      </c>
      <c r="G58" s="4">
        <v>224.8</v>
      </c>
      <c r="H58" s="4">
        <v>222</v>
      </c>
      <c r="I58" s="4"/>
      <c r="J58" s="4"/>
      <c r="K58" s="4">
        <v>222.6</v>
      </c>
    </row>
    <row r="59" spans="1:11" x14ac:dyDescent="0.3">
      <c r="A59" t="s">
        <v>343</v>
      </c>
      <c r="B59" s="4">
        <v>3.26</v>
      </c>
      <c r="C59" s="4">
        <v>0.67</v>
      </c>
      <c r="D59" s="4">
        <v>1.76</v>
      </c>
      <c r="E59" s="4">
        <v>1.97</v>
      </c>
      <c r="F59" s="4">
        <v>0.35</v>
      </c>
      <c r="G59" s="4">
        <v>10.7</v>
      </c>
      <c r="H59" s="4">
        <v>2.72</v>
      </c>
      <c r="I59" s="4">
        <v>10.946999999999999</v>
      </c>
      <c r="J59" s="4">
        <v>12.047000000000001</v>
      </c>
      <c r="K59" s="4"/>
    </row>
    <row r="60" spans="1:11" x14ac:dyDescent="0.3">
      <c r="A60" t="s">
        <v>344</v>
      </c>
      <c r="B60" s="4">
        <v>3.26</v>
      </c>
      <c r="C60" s="4">
        <v>0.67</v>
      </c>
      <c r="D60" s="4">
        <v>1.76</v>
      </c>
      <c r="E60" s="4">
        <v>1.97</v>
      </c>
      <c r="F60" s="4">
        <v>0.35</v>
      </c>
      <c r="G60" s="4">
        <v>10.7</v>
      </c>
      <c r="H60" s="4">
        <v>2.72</v>
      </c>
      <c r="I60" s="4">
        <v>10.946999999999999</v>
      </c>
      <c r="J60" s="4">
        <v>12.047000000000001</v>
      </c>
      <c r="K60" s="4"/>
    </row>
    <row r="61" spans="1:11" x14ac:dyDescent="0.3">
      <c r="A61" t="s">
        <v>345</v>
      </c>
      <c r="B61" s="4">
        <v>3.4112</v>
      </c>
      <c r="C61" s="4">
        <v>2.6610999999999998</v>
      </c>
      <c r="D61" s="4">
        <v>2.3538000000000001</v>
      </c>
      <c r="E61" s="4">
        <v>3.8304999999999998</v>
      </c>
      <c r="F61" s="4">
        <v>5.8699000000000003</v>
      </c>
      <c r="G61" s="4">
        <v>8.8445</v>
      </c>
      <c r="H61" s="4">
        <v>10.900700000000001</v>
      </c>
      <c r="I61" s="4">
        <v>13.759</v>
      </c>
      <c r="J61" s="4">
        <v>14.454000000000001</v>
      </c>
      <c r="K61" s="4"/>
    </row>
    <row r="62" spans="1:11" x14ac:dyDescent="0.3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3">
      <c r="A63" t="s">
        <v>324</v>
      </c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3">
      <c r="A64" t="s">
        <v>346</v>
      </c>
      <c r="B64" s="4" t="s">
        <v>347</v>
      </c>
      <c r="C64" s="4" t="s">
        <v>347</v>
      </c>
      <c r="D64" s="4" t="s">
        <v>347</v>
      </c>
      <c r="E64" s="4" t="s">
        <v>347</v>
      </c>
      <c r="F64" s="4" t="s">
        <v>347</v>
      </c>
      <c r="G64" s="4" t="s">
        <v>347</v>
      </c>
      <c r="H64" s="4" t="s">
        <v>347</v>
      </c>
      <c r="I64" s="4"/>
      <c r="J64" s="4"/>
      <c r="K64" s="4"/>
    </row>
    <row r="65" spans="1:11" x14ac:dyDescent="0.3">
      <c r="A65" t="s">
        <v>325</v>
      </c>
      <c r="B65" s="4">
        <v>963</v>
      </c>
      <c r="C65" s="4">
        <v>978.5</v>
      </c>
      <c r="D65" s="4">
        <v>1199.4000000000001</v>
      </c>
      <c r="E65" s="4">
        <v>1532</v>
      </c>
      <c r="F65" s="4">
        <v>2061.3000000000002</v>
      </c>
      <c r="G65" s="4">
        <v>2654.5</v>
      </c>
      <c r="H65" s="4">
        <v>3249</v>
      </c>
      <c r="I65" s="4">
        <v>3802.6669999999999</v>
      </c>
      <c r="J65" s="4">
        <v>4133.3329999999996</v>
      </c>
      <c r="K65" s="4"/>
    </row>
    <row r="66" spans="1:11" x14ac:dyDescent="0.3">
      <c r="A66" t="s">
        <v>348</v>
      </c>
      <c r="B66" s="4">
        <v>43.106499999999997</v>
      </c>
      <c r="C66" s="4">
        <v>37.576799999999999</v>
      </c>
      <c r="D66" s="4">
        <v>38.889800000000001</v>
      </c>
      <c r="E66" s="4">
        <v>43.141599999999997</v>
      </c>
      <c r="F66" s="4">
        <v>49.895899999999997</v>
      </c>
      <c r="G66" s="4">
        <v>53.184699999999999</v>
      </c>
      <c r="H66" s="4">
        <v>53.526400000000002</v>
      </c>
      <c r="I66" s="4">
        <v>56.393244971730503</v>
      </c>
      <c r="J66" s="4">
        <v>57.105023745790497</v>
      </c>
      <c r="K66" s="4">
        <v>52.322090200587702</v>
      </c>
    </row>
    <row r="67" spans="1:11" x14ac:dyDescent="0.3">
      <c r="A67" t="s">
        <v>349</v>
      </c>
      <c r="B67" s="4">
        <v>921</v>
      </c>
      <c r="C67" s="4">
        <v>924.9</v>
      </c>
      <c r="D67" s="4">
        <v>1123</v>
      </c>
      <c r="E67" s="4">
        <v>1420.2</v>
      </c>
      <c r="F67" s="4">
        <v>1966</v>
      </c>
      <c r="G67" s="4">
        <v>2582.4</v>
      </c>
      <c r="H67" s="4">
        <v>3176.3</v>
      </c>
      <c r="I67" s="4"/>
      <c r="J67" s="4"/>
      <c r="K67" s="4"/>
    </row>
    <row r="68" spans="1:11" x14ac:dyDescent="0.3">
      <c r="A68" t="s">
        <v>350</v>
      </c>
      <c r="B68" s="4">
        <v>916</v>
      </c>
      <c r="C68" s="4">
        <v>811.9</v>
      </c>
      <c r="D68" s="4">
        <v>803</v>
      </c>
      <c r="E68" s="4">
        <v>1035.3</v>
      </c>
      <c r="F68" s="4">
        <v>1656</v>
      </c>
      <c r="G68" s="4">
        <v>2243.4</v>
      </c>
      <c r="H68" s="4">
        <v>2881.5</v>
      </c>
      <c r="I68" s="4">
        <v>3842</v>
      </c>
      <c r="J68" s="4">
        <v>4119.2</v>
      </c>
      <c r="K68" s="4"/>
    </row>
    <row r="69" spans="1:11" x14ac:dyDescent="0.3">
      <c r="A69" t="s">
        <v>351</v>
      </c>
      <c r="B69" s="4">
        <v>92.211299999999994</v>
      </c>
      <c r="C69" s="4">
        <v>91.048400000000001</v>
      </c>
      <c r="D69" s="4">
        <v>91.624799999999993</v>
      </c>
      <c r="E69" s="4">
        <v>91.492800000000003</v>
      </c>
      <c r="F69" s="4">
        <v>91.080100000000002</v>
      </c>
      <c r="G69" s="4">
        <v>92.0959</v>
      </c>
      <c r="H69" s="4">
        <v>90.881200000000007</v>
      </c>
      <c r="I69" s="4">
        <v>92.417000000000002</v>
      </c>
      <c r="J69" s="4">
        <v>91.790999999999997</v>
      </c>
      <c r="K69" s="4"/>
    </row>
    <row r="70" spans="1:11" x14ac:dyDescent="0.3">
      <c r="A70" t="s">
        <v>352</v>
      </c>
      <c r="B70" s="4">
        <v>41.002699999999997</v>
      </c>
      <c r="C70" s="4">
        <v>31.178999999999998</v>
      </c>
      <c r="D70" s="4">
        <v>26.036799999999999</v>
      </c>
      <c r="E70" s="4">
        <v>29.154299999999999</v>
      </c>
      <c r="F70" s="4">
        <v>40.0852</v>
      </c>
      <c r="G70" s="4">
        <v>44.948</v>
      </c>
      <c r="H70" s="4">
        <v>47.472000000000001</v>
      </c>
      <c r="I70" s="4">
        <v>56.976550190008297</v>
      </c>
      <c r="J70" s="4">
        <v>56.909765996028</v>
      </c>
      <c r="K70" s="4"/>
    </row>
    <row r="71" spans="1:11" x14ac:dyDescent="0.3">
      <c r="A71" t="s">
        <v>353</v>
      </c>
      <c r="B71" s="4">
        <v>30.776599999999998</v>
      </c>
      <c r="C71" s="4">
        <v>22.053799999999999</v>
      </c>
      <c r="D71" s="4">
        <v>17.307099999999998</v>
      </c>
      <c r="E71" s="4">
        <v>24.2928</v>
      </c>
      <c r="F71" s="4">
        <v>31.8748</v>
      </c>
      <c r="G71" s="4">
        <v>39.814399999999999</v>
      </c>
      <c r="H71" s="4">
        <v>39.860900000000001</v>
      </c>
      <c r="I71" s="4">
        <v>45.797267587357503</v>
      </c>
      <c r="J71" s="4">
        <v>44.214945168810999</v>
      </c>
      <c r="K71" s="4"/>
    </row>
    <row r="72" spans="1:11" x14ac:dyDescent="0.3">
      <c r="A72" t="s">
        <v>354</v>
      </c>
      <c r="B72" s="4">
        <v>982842.05900000001</v>
      </c>
      <c r="C72" s="4">
        <v>890560.87549999997</v>
      </c>
      <c r="D72" s="4">
        <v>988176.86640000006</v>
      </c>
      <c r="E72" s="4">
        <v>1406376.2376000001</v>
      </c>
      <c r="F72" s="4">
        <v>1555421.6867</v>
      </c>
      <c r="G72" s="4">
        <v>1473604.9601</v>
      </c>
      <c r="H72" s="4">
        <v>1792116.9176</v>
      </c>
      <c r="I72" s="4"/>
      <c r="J72" s="4"/>
      <c r="K72" s="4"/>
    </row>
    <row r="73" spans="1:11" x14ac:dyDescent="0.3">
      <c r="A73" t="s">
        <v>355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/>
    </row>
    <row r="74" spans="1:11" x14ac:dyDescent="0.3">
      <c r="A74" t="s">
        <v>356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/>
      <c r="J74" s="4"/>
      <c r="K74" s="4"/>
    </row>
    <row r="75" spans="1:11" x14ac:dyDescent="0.3">
      <c r="A75" t="s">
        <v>357</v>
      </c>
      <c r="B75" s="4" t="s">
        <v>25</v>
      </c>
      <c r="C75" s="4" t="s">
        <v>25</v>
      </c>
      <c r="D75" s="4" t="s">
        <v>25</v>
      </c>
      <c r="E75" s="4" t="s">
        <v>25</v>
      </c>
      <c r="F75" s="4" t="s">
        <v>25</v>
      </c>
      <c r="G75" s="4" t="s">
        <v>25</v>
      </c>
      <c r="H75" s="4" t="s">
        <v>25</v>
      </c>
      <c r="I75" s="4"/>
      <c r="J75" s="4"/>
      <c r="K75" s="4"/>
    </row>
    <row r="76" spans="1:11" x14ac:dyDescent="0.3">
      <c r="A76" t="s">
        <v>358</v>
      </c>
      <c r="B76" s="4">
        <v>42</v>
      </c>
      <c r="C76" s="4">
        <v>53.6</v>
      </c>
      <c r="D76" s="4">
        <v>76.400000000000006</v>
      </c>
      <c r="E76" s="4">
        <v>111.8</v>
      </c>
      <c r="F76" s="4">
        <v>95.3</v>
      </c>
      <c r="G76" s="4">
        <v>72.099999999999994</v>
      </c>
      <c r="H76" s="4">
        <v>72.7</v>
      </c>
      <c r="I76" s="4"/>
      <c r="J76" s="4"/>
      <c r="K76" s="4"/>
    </row>
    <row r="77" spans="1:11" x14ac:dyDescent="0.3">
      <c r="A77" t="s">
        <v>359</v>
      </c>
      <c r="B77" s="4">
        <v>23</v>
      </c>
      <c r="C77" s="4">
        <v>27.8</v>
      </c>
      <c r="D77" s="4">
        <v>29.3</v>
      </c>
      <c r="E77" s="4">
        <v>27.2</v>
      </c>
      <c r="F77" s="4">
        <v>24.4</v>
      </c>
      <c r="G77" s="4">
        <v>46.1</v>
      </c>
      <c r="H77" s="4">
        <v>46.8</v>
      </c>
      <c r="I77" s="4"/>
      <c r="J77" s="4"/>
      <c r="K77" s="4"/>
    </row>
    <row r="78" spans="1:11" x14ac:dyDescent="0.3">
      <c r="A78" t="s">
        <v>279</v>
      </c>
      <c r="B78" t="s"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16E3-2804-40B3-BB82-FE3A72A51EE2}">
  <dimension ref="A1:K227"/>
  <sheetViews>
    <sheetView workbookViewId="0">
      <selection activeCell="K36" sqref="K36"/>
    </sheetView>
  </sheetViews>
  <sheetFormatPr defaultRowHeight="14.4" x14ac:dyDescent="0.3"/>
  <cols>
    <col min="1" max="1" width="50.33203125" bestFit="1" customWidth="1"/>
    <col min="2" max="4" width="10.77734375" hidden="1" customWidth="1"/>
    <col min="5" max="11" width="10.77734375" bestFit="1" customWidth="1"/>
  </cols>
  <sheetData>
    <row r="1" spans="1:11" x14ac:dyDescent="0.3">
      <c r="A1" s="2" t="s">
        <v>68</v>
      </c>
      <c r="B1" s="2" t="s">
        <v>69</v>
      </c>
      <c r="C1" s="2" t="s">
        <v>70</v>
      </c>
      <c r="D1" s="2" t="s">
        <v>71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x14ac:dyDescent="0.3">
      <c r="A2" s="3" t="s">
        <v>11</v>
      </c>
      <c r="B2" s="2" t="s">
        <v>72</v>
      </c>
      <c r="C2" s="2" t="s">
        <v>73</v>
      </c>
      <c r="D2" s="2" t="s">
        <v>74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x14ac:dyDescent="0.3">
      <c r="A3" t="s">
        <v>75</v>
      </c>
    </row>
    <row r="4" spans="1:11" x14ac:dyDescent="0.3">
      <c r="A4" t="s">
        <v>76</v>
      </c>
    </row>
    <row r="5" spans="1:11" x14ac:dyDescent="0.3">
      <c r="A5" t="s">
        <v>77</v>
      </c>
      <c r="B5">
        <v>540.86500000000001</v>
      </c>
      <c r="C5">
        <v>989.50099999999998</v>
      </c>
      <c r="D5">
        <v>529.85699999999997</v>
      </c>
      <c r="E5">
        <v>943.99900000000002</v>
      </c>
      <c r="F5">
        <v>1010</v>
      </c>
      <c r="G5">
        <v>966</v>
      </c>
      <c r="H5">
        <v>584.4</v>
      </c>
      <c r="I5">
        <v>1365.5</v>
      </c>
      <c r="J5">
        <v>2685.5</v>
      </c>
      <c r="K5">
        <v>2964.5</v>
      </c>
    </row>
    <row r="6" spans="1:11" x14ac:dyDescent="0.3">
      <c r="A6" t="s">
        <v>78</v>
      </c>
      <c r="B6">
        <v>0</v>
      </c>
      <c r="C6" t="s">
        <v>25</v>
      </c>
      <c r="D6">
        <v>984.99400000000003</v>
      </c>
      <c r="E6">
        <v>1017.567</v>
      </c>
      <c r="F6">
        <v>375</v>
      </c>
      <c r="G6">
        <v>327.39999999999998</v>
      </c>
      <c r="H6">
        <v>889.7</v>
      </c>
      <c r="I6">
        <v>198.3</v>
      </c>
      <c r="J6">
        <v>64</v>
      </c>
      <c r="K6">
        <v>34.9</v>
      </c>
    </row>
    <row r="7" spans="1:11" x14ac:dyDescent="0.3">
      <c r="A7" t="s">
        <v>79</v>
      </c>
      <c r="B7">
        <v>244.28800000000001</v>
      </c>
      <c r="C7">
        <v>295.59800000000001</v>
      </c>
      <c r="D7">
        <v>421.75200000000001</v>
      </c>
      <c r="E7">
        <v>432.88799999999998</v>
      </c>
      <c r="F7">
        <v>533</v>
      </c>
      <c r="G7">
        <v>649.6</v>
      </c>
      <c r="H7">
        <v>726.5</v>
      </c>
      <c r="I7">
        <v>922.3</v>
      </c>
      <c r="J7">
        <v>1243.2</v>
      </c>
      <c r="K7">
        <v>1409.3</v>
      </c>
    </row>
    <row r="8" spans="1:11" x14ac:dyDescent="0.3">
      <c r="A8" t="s">
        <v>80</v>
      </c>
      <c r="B8">
        <v>81.385999999999996</v>
      </c>
      <c r="C8">
        <v>94.521000000000001</v>
      </c>
      <c r="D8">
        <v>102.602</v>
      </c>
      <c r="E8">
        <v>176.441</v>
      </c>
      <c r="F8">
        <v>290</v>
      </c>
      <c r="G8">
        <v>374.7</v>
      </c>
      <c r="H8">
        <v>460.4</v>
      </c>
      <c r="I8">
        <v>472.5</v>
      </c>
      <c r="J8">
        <v>627.6</v>
      </c>
      <c r="K8">
        <v>775.7</v>
      </c>
    </row>
    <row r="9" spans="1:11" x14ac:dyDescent="0.3">
      <c r="A9" t="s">
        <v>81</v>
      </c>
      <c r="B9">
        <v>55.598999999999997</v>
      </c>
      <c r="C9">
        <v>89.894000000000005</v>
      </c>
      <c r="D9">
        <v>18.927</v>
      </c>
      <c r="E9">
        <v>189.40100000000001</v>
      </c>
      <c r="F9">
        <v>208</v>
      </c>
      <c r="G9">
        <v>260.5</v>
      </c>
      <c r="H9">
        <v>292.89999999999998</v>
      </c>
      <c r="I9">
        <v>426.4</v>
      </c>
      <c r="J9">
        <v>456.1</v>
      </c>
      <c r="K9">
        <v>648.6</v>
      </c>
    </row>
    <row r="10" spans="1:11" x14ac:dyDescent="0.3">
      <c r="A10" t="s">
        <v>82</v>
      </c>
      <c r="B10">
        <v>19.132000000000001</v>
      </c>
      <c r="C10">
        <v>26.085999999999999</v>
      </c>
      <c r="D10">
        <v>41.432000000000002</v>
      </c>
      <c r="E10">
        <v>35.732999999999997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</row>
    <row r="11" spans="1:11" x14ac:dyDescent="0.3">
      <c r="A11" t="s">
        <v>83</v>
      </c>
      <c r="B11" t="s">
        <v>25</v>
      </c>
      <c r="C11" t="s">
        <v>25</v>
      </c>
      <c r="D11">
        <v>87.293000000000006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</row>
    <row r="12" spans="1:11" s="23" customFormat="1" x14ac:dyDescent="0.3">
      <c r="A12" s="23" t="s">
        <v>84</v>
      </c>
      <c r="B12" s="23">
        <v>941.27</v>
      </c>
      <c r="C12" s="23">
        <v>1495.6</v>
      </c>
      <c r="D12" s="23">
        <v>2186.857</v>
      </c>
      <c r="E12" s="23">
        <v>2796.029</v>
      </c>
      <c r="F12" s="23">
        <v>2416</v>
      </c>
      <c r="G12" s="23">
        <v>2578.1999999999998</v>
      </c>
      <c r="H12" s="23">
        <v>2953.9</v>
      </c>
      <c r="I12" s="23">
        <v>3385</v>
      </c>
      <c r="J12" s="23">
        <v>5076.3999999999996</v>
      </c>
      <c r="K12" s="23">
        <v>5833</v>
      </c>
    </row>
    <row r="13" spans="1:11" s="24" customFormat="1" x14ac:dyDescent="0.3">
      <c r="A13" s="24" t="s">
        <v>384</v>
      </c>
      <c r="E13" s="24">
        <f>E12-E32</f>
        <v>2189.2889999999998</v>
      </c>
      <c r="F13" s="24">
        <f t="shared" ref="F13:K13" si="0">F12-F32</f>
        <v>1707</v>
      </c>
      <c r="G13" s="24">
        <f t="shared" si="0"/>
        <v>1755.2999999999997</v>
      </c>
      <c r="H13" s="24">
        <f t="shared" si="0"/>
        <v>2001.4</v>
      </c>
      <c r="I13" s="24">
        <f t="shared" si="0"/>
        <v>2211</v>
      </c>
      <c r="J13" s="24">
        <f t="shared" si="0"/>
        <v>3882.0999999999995</v>
      </c>
      <c r="K13" s="24">
        <f t="shared" si="0"/>
        <v>4208.3</v>
      </c>
    </row>
    <row r="14" spans="1:11" s="25" customFormat="1" x14ac:dyDescent="0.3">
      <c r="A14" s="25" t="s">
        <v>385</v>
      </c>
      <c r="E14" s="26" t="s">
        <v>373</v>
      </c>
      <c r="F14" s="25">
        <f t="shared" ref="F14:K14" si="1">F13-E13</f>
        <v>-482.28899999999976</v>
      </c>
      <c r="G14" s="25">
        <f t="shared" si="1"/>
        <v>48.299999999999727</v>
      </c>
      <c r="H14" s="25">
        <f t="shared" si="1"/>
        <v>246.10000000000036</v>
      </c>
      <c r="I14" s="25">
        <f t="shared" si="1"/>
        <v>209.59999999999991</v>
      </c>
      <c r="J14" s="25">
        <f t="shared" si="1"/>
        <v>1671.0999999999995</v>
      </c>
      <c r="K14" s="25">
        <f t="shared" si="1"/>
        <v>326.20000000000073</v>
      </c>
    </row>
    <row r="15" spans="1:11" x14ac:dyDescent="0.3">
      <c r="A15" t="s">
        <v>85</v>
      </c>
    </row>
    <row r="16" spans="1:11" x14ac:dyDescent="0.3">
      <c r="A16" t="s">
        <v>86</v>
      </c>
      <c r="B16">
        <v>165.852</v>
      </c>
      <c r="C16">
        <v>165.62899999999999</v>
      </c>
      <c r="D16">
        <v>201.10900000000001</v>
      </c>
      <c r="E16">
        <v>392.24799999999999</v>
      </c>
      <c r="F16">
        <v>697</v>
      </c>
      <c r="G16">
        <v>1035.5999999999999</v>
      </c>
      <c r="H16">
        <v>1325.4</v>
      </c>
      <c r="I16">
        <v>1471.5</v>
      </c>
      <c r="J16">
        <v>1163.3</v>
      </c>
      <c r="K16">
        <v>1238.8</v>
      </c>
    </row>
    <row r="17" spans="1:11" x14ac:dyDescent="0.3">
      <c r="A17" t="s">
        <v>87</v>
      </c>
      <c r="B17">
        <v>103.86799999999999</v>
      </c>
      <c r="C17">
        <v>13.954000000000001</v>
      </c>
      <c r="D17">
        <v>3.3940000000000001</v>
      </c>
      <c r="E17">
        <v>34.939</v>
      </c>
      <c r="F17" t="s">
        <v>25</v>
      </c>
      <c r="G17" t="s">
        <v>25</v>
      </c>
      <c r="H17" t="s">
        <v>25</v>
      </c>
      <c r="I17">
        <v>101.8</v>
      </c>
      <c r="J17">
        <v>2290.1999999999998</v>
      </c>
      <c r="K17">
        <v>2199.4</v>
      </c>
    </row>
    <row r="18" spans="1:11" x14ac:dyDescent="0.3">
      <c r="A18" t="s">
        <v>88</v>
      </c>
      <c r="B18">
        <v>91.603999999999999</v>
      </c>
      <c r="C18">
        <v>646.678</v>
      </c>
      <c r="D18">
        <v>609.71900000000005</v>
      </c>
      <c r="E18">
        <v>587.04600000000005</v>
      </c>
      <c r="F18">
        <v>4708</v>
      </c>
      <c r="G18">
        <v>4303.1000000000004</v>
      </c>
      <c r="H18">
        <v>3954.4</v>
      </c>
      <c r="I18">
        <v>3641.3</v>
      </c>
      <c r="J18">
        <v>3344.3</v>
      </c>
      <c r="K18">
        <v>3002.4</v>
      </c>
    </row>
    <row r="19" spans="1:11" x14ac:dyDescent="0.3">
      <c r="A19" t="s">
        <v>89</v>
      </c>
      <c r="B19">
        <v>79.638999999999996</v>
      </c>
      <c r="C19">
        <v>253.64500000000001</v>
      </c>
      <c r="D19">
        <v>254.07300000000001</v>
      </c>
      <c r="E19">
        <v>254.07300000000001</v>
      </c>
      <c r="F19">
        <v>5048</v>
      </c>
      <c r="G19">
        <v>5037.3999999999996</v>
      </c>
      <c r="H19">
        <v>5037.3999999999996</v>
      </c>
      <c r="I19">
        <v>5037.3999999999996</v>
      </c>
      <c r="J19">
        <v>5037.3999999999996</v>
      </c>
      <c r="K19">
        <v>5100.1000000000004</v>
      </c>
    </row>
    <row r="20" spans="1:11" x14ac:dyDescent="0.3">
      <c r="A20" t="s">
        <v>90</v>
      </c>
      <c r="B20">
        <v>12.518000000000001</v>
      </c>
      <c r="C20">
        <v>38.054000000000002</v>
      </c>
      <c r="D20">
        <v>62.543999999999997</v>
      </c>
      <c r="E20">
        <v>137.62700000000001</v>
      </c>
      <c r="F20">
        <v>228</v>
      </c>
      <c r="G20">
        <v>299</v>
      </c>
      <c r="H20">
        <v>312.2</v>
      </c>
      <c r="I20">
        <v>294.89999999999998</v>
      </c>
      <c r="J20">
        <v>429</v>
      </c>
      <c r="K20">
        <v>506.2</v>
      </c>
    </row>
    <row r="21" spans="1:11" x14ac:dyDescent="0.3">
      <c r="A21" t="s">
        <v>91</v>
      </c>
      <c r="B21">
        <v>1394.751</v>
      </c>
      <c r="C21">
        <v>2613.56</v>
      </c>
      <c r="D21">
        <v>3317.6959999999999</v>
      </c>
      <c r="E21">
        <v>4201.9620000000004</v>
      </c>
      <c r="F21">
        <v>13097</v>
      </c>
      <c r="G21">
        <v>13253.3</v>
      </c>
      <c r="H21">
        <v>13583.3</v>
      </c>
      <c r="I21">
        <v>13931.9</v>
      </c>
      <c r="J21">
        <v>17544.599999999999</v>
      </c>
      <c r="K21">
        <v>18103</v>
      </c>
    </row>
    <row r="22" spans="1:11" x14ac:dyDescent="0.3">
      <c r="A22" t="s">
        <v>92</v>
      </c>
    </row>
    <row r="23" spans="1:11" x14ac:dyDescent="0.3">
      <c r="A23" t="s">
        <v>93</v>
      </c>
      <c r="B23">
        <v>16.029</v>
      </c>
      <c r="C23">
        <v>21.488</v>
      </c>
      <c r="D23">
        <v>21.596</v>
      </c>
      <c r="E23">
        <v>44.015999999999998</v>
      </c>
      <c r="F23">
        <v>57</v>
      </c>
      <c r="G23">
        <v>64.099999999999994</v>
      </c>
      <c r="H23">
        <v>70.8</v>
      </c>
      <c r="I23" t="s">
        <v>25</v>
      </c>
      <c r="J23" t="s">
        <v>25</v>
      </c>
      <c r="K23" t="s">
        <v>25</v>
      </c>
    </row>
    <row r="24" spans="1:11" x14ac:dyDescent="0.3">
      <c r="A24" t="s">
        <v>94</v>
      </c>
      <c r="B24" t="s">
        <v>25</v>
      </c>
      <c r="C24" t="s">
        <v>25</v>
      </c>
      <c r="D24" t="s">
        <v>25</v>
      </c>
      <c r="E24" t="s">
        <v>25</v>
      </c>
      <c r="F24" t="s">
        <v>25</v>
      </c>
      <c r="G24" t="s">
        <v>25</v>
      </c>
      <c r="H24">
        <v>710.2</v>
      </c>
      <c r="I24">
        <v>698.2</v>
      </c>
      <c r="J24">
        <v>966.7</v>
      </c>
      <c r="K24">
        <v>118.6</v>
      </c>
    </row>
    <row r="25" spans="1:11" x14ac:dyDescent="0.3">
      <c r="A25" t="s">
        <v>95</v>
      </c>
      <c r="B25" t="s">
        <v>25</v>
      </c>
      <c r="C25">
        <v>48</v>
      </c>
      <c r="D25">
        <v>48</v>
      </c>
      <c r="E25">
        <v>48</v>
      </c>
      <c r="F25">
        <v>166</v>
      </c>
      <c r="G25">
        <v>167</v>
      </c>
      <c r="H25">
        <v>167.4</v>
      </c>
      <c r="I25">
        <v>93.8</v>
      </c>
      <c r="J25">
        <v>126.7</v>
      </c>
      <c r="K25">
        <v>142.4</v>
      </c>
    </row>
    <row r="26" spans="1:11" x14ac:dyDescent="0.3">
      <c r="A26" t="s">
        <v>96</v>
      </c>
      <c r="B26" t="s">
        <v>25</v>
      </c>
      <c r="C26" t="s">
        <v>25</v>
      </c>
      <c r="D26" t="s">
        <v>25</v>
      </c>
      <c r="E26" t="s">
        <v>25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  <c r="K26" t="s">
        <v>25</v>
      </c>
    </row>
    <row r="27" spans="1:11" x14ac:dyDescent="0.3">
      <c r="A27" t="s">
        <v>97</v>
      </c>
      <c r="B27" t="s">
        <v>25</v>
      </c>
      <c r="C27" t="s">
        <v>25</v>
      </c>
      <c r="D27" t="s">
        <v>25</v>
      </c>
      <c r="E27" t="s">
        <v>25</v>
      </c>
      <c r="F27" t="s">
        <v>25</v>
      </c>
      <c r="G27" t="s">
        <v>25</v>
      </c>
      <c r="H27" t="s">
        <v>25</v>
      </c>
      <c r="I27">
        <v>250</v>
      </c>
      <c r="J27">
        <v>0</v>
      </c>
      <c r="K27" t="s">
        <v>25</v>
      </c>
    </row>
    <row r="28" spans="1:11" x14ac:dyDescent="0.3">
      <c r="A28" t="s">
        <v>98</v>
      </c>
      <c r="B28">
        <v>183.624</v>
      </c>
      <c r="C28">
        <v>249.78700000000001</v>
      </c>
      <c r="D28">
        <v>402.34399999999999</v>
      </c>
      <c r="E28">
        <v>395.23200000000003</v>
      </c>
      <c r="F28">
        <v>403</v>
      </c>
      <c r="G28">
        <v>508</v>
      </c>
      <c r="H28">
        <v>639.4</v>
      </c>
      <c r="I28" t="s">
        <v>25</v>
      </c>
      <c r="J28" t="s">
        <v>25</v>
      </c>
      <c r="K28">
        <v>1084.7</v>
      </c>
    </row>
    <row r="29" spans="1:11" x14ac:dyDescent="0.3">
      <c r="A29" t="s">
        <v>99</v>
      </c>
      <c r="B29">
        <v>17.905000000000001</v>
      </c>
      <c r="C29">
        <v>31.265999999999998</v>
      </c>
      <c r="D29">
        <v>53.801000000000002</v>
      </c>
      <c r="E29">
        <v>58.837000000000003</v>
      </c>
      <c r="F29">
        <v>21</v>
      </c>
      <c r="G29">
        <v>36.6</v>
      </c>
      <c r="H29">
        <v>15.9</v>
      </c>
      <c r="I29" t="s">
        <v>25</v>
      </c>
      <c r="J29" t="s">
        <v>25</v>
      </c>
      <c r="K29" t="s">
        <v>25</v>
      </c>
    </row>
    <row r="30" spans="1:11" x14ac:dyDescent="0.3">
      <c r="A30" t="s">
        <v>100</v>
      </c>
      <c r="B30">
        <v>10.227</v>
      </c>
      <c r="C30">
        <v>9.548</v>
      </c>
      <c r="D30">
        <v>56.688000000000002</v>
      </c>
      <c r="E30">
        <v>60.655000000000001</v>
      </c>
      <c r="F30">
        <v>62</v>
      </c>
      <c r="G30">
        <v>47.2</v>
      </c>
      <c r="H30">
        <v>59</v>
      </c>
      <c r="I30">
        <v>132</v>
      </c>
      <c r="J30">
        <v>100.9</v>
      </c>
      <c r="K30">
        <v>276</v>
      </c>
    </row>
    <row r="31" spans="1:11" x14ac:dyDescent="0.3">
      <c r="A31" t="s">
        <v>101</v>
      </c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</row>
    <row r="32" spans="1:11" s="23" customFormat="1" x14ac:dyDescent="0.3">
      <c r="A32" s="23" t="s">
        <v>102</v>
      </c>
      <c r="B32" s="23">
        <v>227.785</v>
      </c>
      <c r="C32" s="23">
        <v>360.089</v>
      </c>
      <c r="D32" s="23">
        <v>582.42899999999997</v>
      </c>
      <c r="E32" s="23">
        <v>606.74</v>
      </c>
      <c r="F32" s="23">
        <v>709</v>
      </c>
      <c r="G32" s="23">
        <v>822.9</v>
      </c>
      <c r="H32" s="23">
        <v>952.5</v>
      </c>
      <c r="I32" s="23">
        <v>1174</v>
      </c>
      <c r="J32" s="23">
        <v>1194.3</v>
      </c>
      <c r="K32" s="23">
        <v>1624.7</v>
      </c>
    </row>
    <row r="33" spans="1:11" x14ac:dyDescent="0.3">
      <c r="A33" t="s">
        <v>103</v>
      </c>
    </row>
    <row r="34" spans="1:11" x14ac:dyDescent="0.3">
      <c r="A34" t="s">
        <v>104</v>
      </c>
      <c r="B34" t="s">
        <v>25</v>
      </c>
      <c r="C34" t="s">
        <v>25</v>
      </c>
      <c r="D34">
        <v>32.229999999999997</v>
      </c>
      <c r="E34">
        <v>107.099</v>
      </c>
      <c r="F34">
        <v>151</v>
      </c>
      <c r="G34">
        <v>233.4</v>
      </c>
      <c r="H34">
        <v>342.9</v>
      </c>
      <c r="I34">
        <v>361</v>
      </c>
      <c r="J34" t="s">
        <v>25</v>
      </c>
      <c r="K34" t="s">
        <v>25</v>
      </c>
    </row>
    <row r="35" spans="1:11" x14ac:dyDescent="0.3">
      <c r="A35" t="s">
        <v>105</v>
      </c>
      <c r="B35">
        <v>0</v>
      </c>
      <c r="C35" t="s">
        <v>25</v>
      </c>
      <c r="D35" t="s">
        <v>25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</row>
    <row r="36" spans="1:11" x14ac:dyDescent="0.3">
      <c r="A36" t="s">
        <v>106</v>
      </c>
      <c r="B36" t="s">
        <v>25</v>
      </c>
      <c r="C36">
        <v>101</v>
      </c>
      <c r="D36">
        <v>65</v>
      </c>
      <c r="E36">
        <v>9.5</v>
      </c>
      <c r="F36">
        <v>3254</v>
      </c>
      <c r="G36">
        <v>2888.1</v>
      </c>
      <c r="H36">
        <v>2720.7</v>
      </c>
      <c r="I36">
        <v>2501.6999999999998</v>
      </c>
      <c r="J36">
        <v>2375</v>
      </c>
      <c r="K36">
        <v>2419.6</v>
      </c>
    </row>
    <row r="37" spans="1:11" x14ac:dyDescent="0.3">
      <c r="A37" t="s">
        <v>107</v>
      </c>
      <c r="B37">
        <v>3.0000000000000001E-3</v>
      </c>
      <c r="C37">
        <v>19.827000000000002</v>
      </c>
      <c r="D37">
        <v>101.241</v>
      </c>
      <c r="E37">
        <v>7.0460000000000003</v>
      </c>
      <c r="F37">
        <v>529</v>
      </c>
      <c r="G37">
        <v>395.5</v>
      </c>
      <c r="H37">
        <v>365</v>
      </c>
      <c r="I37">
        <v>391.1</v>
      </c>
      <c r="J37">
        <v>2081.4</v>
      </c>
      <c r="K37">
        <v>1632.2</v>
      </c>
    </row>
    <row r="38" spans="1:11" x14ac:dyDescent="0.3">
      <c r="A38" t="s">
        <v>108</v>
      </c>
      <c r="B38">
        <v>32.470999999999997</v>
      </c>
      <c r="C38">
        <v>161.79400000000001</v>
      </c>
      <c r="D38">
        <v>154.71700000000001</v>
      </c>
      <c r="E38">
        <v>169.559</v>
      </c>
      <c r="F38">
        <v>195</v>
      </c>
      <c r="G38">
        <v>219.6</v>
      </c>
      <c r="H38">
        <v>140.19999999999999</v>
      </c>
      <c r="I38">
        <v>155.6</v>
      </c>
      <c r="J38">
        <v>265.60000000000002</v>
      </c>
      <c r="K38">
        <v>298.8</v>
      </c>
    </row>
    <row r="39" spans="1:11" x14ac:dyDescent="0.3">
      <c r="A39" t="s">
        <v>109</v>
      </c>
      <c r="B39" t="s">
        <v>25</v>
      </c>
      <c r="C39" t="s">
        <v>25</v>
      </c>
      <c r="D39" t="s">
        <v>25</v>
      </c>
      <c r="E39" t="s">
        <v>25</v>
      </c>
      <c r="F39" t="s">
        <v>25</v>
      </c>
      <c r="G39" t="s">
        <v>25</v>
      </c>
      <c r="H39" t="s">
        <v>25</v>
      </c>
      <c r="I39" t="s">
        <v>25</v>
      </c>
      <c r="J39">
        <v>164.1</v>
      </c>
      <c r="K39">
        <v>177.1</v>
      </c>
    </row>
    <row r="40" spans="1:11" x14ac:dyDescent="0.3">
      <c r="A40" t="s">
        <v>110</v>
      </c>
      <c r="B40">
        <v>260.25900000000001</v>
      </c>
      <c r="C40">
        <v>642.71</v>
      </c>
      <c r="D40">
        <v>935.61699999999996</v>
      </c>
      <c r="E40">
        <v>899.94399999999996</v>
      </c>
      <c r="F40">
        <v>4838</v>
      </c>
      <c r="G40">
        <v>4559.5</v>
      </c>
      <c r="H40">
        <v>4690.2</v>
      </c>
      <c r="I40">
        <v>4766.6000000000004</v>
      </c>
      <c r="J40">
        <v>6272.8</v>
      </c>
      <c r="K40">
        <v>6451.8</v>
      </c>
    </row>
    <row r="41" spans="1:11" x14ac:dyDescent="0.3">
      <c r="A41" t="s">
        <v>111</v>
      </c>
    </row>
    <row r="42" spans="1:11" x14ac:dyDescent="0.3">
      <c r="A42" t="s">
        <v>112</v>
      </c>
      <c r="B42" t="s">
        <v>25</v>
      </c>
      <c r="C42">
        <v>0</v>
      </c>
      <c r="D42" t="s">
        <v>25</v>
      </c>
      <c r="E42">
        <v>0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</row>
    <row r="43" spans="1:11" x14ac:dyDescent="0.3">
      <c r="A43" t="s">
        <v>113</v>
      </c>
      <c r="B43">
        <v>1.9E-2</v>
      </c>
      <c r="C43">
        <v>0.02</v>
      </c>
      <c r="D43">
        <v>0.02</v>
      </c>
      <c r="E43">
        <v>0.02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</row>
    <row r="44" spans="1:11" x14ac:dyDescent="0.3">
      <c r="A44" t="s">
        <v>114</v>
      </c>
      <c r="B44">
        <v>1261.5889999999999</v>
      </c>
      <c r="C44">
        <v>1852.221</v>
      </c>
      <c r="D44">
        <v>2106.183</v>
      </c>
      <c r="E44">
        <v>2592.1669999999999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</row>
    <row r="45" spans="1:11" x14ac:dyDescent="0.3">
      <c r="A45" t="s">
        <v>115</v>
      </c>
      <c r="B45">
        <v>-2.6760000000000002</v>
      </c>
      <c r="C45">
        <v>-14.228999999999999</v>
      </c>
      <c r="D45">
        <v>-80.364999999999995</v>
      </c>
      <c r="E45">
        <v>-382.964</v>
      </c>
      <c r="F45">
        <v>-711</v>
      </c>
      <c r="G45">
        <v>-1141.3</v>
      </c>
      <c r="H45">
        <v>-1604.9</v>
      </c>
      <c r="I45">
        <v>-1689.9</v>
      </c>
      <c r="J45">
        <v>-2105.9</v>
      </c>
      <c r="K45">
        <v>-2620.3000000000002</v>
      </c>
    </row>
    <row r="46" spans="1:11" x14ac:dyDescent="0.3">
      <c r="A46" t="s">
        <v>116</v>
      </c>
      <c r="B46">
        <v>4.1790000000000003</v>
      </c>
      <c r="C46">
        <v>6.6349999999999998</v>
      </c>
      <c r="D46">
        <v>-22.856999999999999</v>
      </c>
      <c r="E46">
        <v>56.784999999999997</v>
      </c>
      <c r="F46">
        <v>62</v>
      </c>
      <c r="G46">
        <v>60.5</v>
      </c>
      <c r="H46">
        <v>-34.4</v>
      </c>
      <c r="I46">
        <v>-9.6999999999999993</v>
      </c>
      <c r="J46">
        <v>-66.8</v>
      </c>
      <c r="K46">
        <v>-124.6</v>
      </c>
    </row>
    <row r="47" spans="1:11" x14ac:dyDescent="0.3">
      <c r="A47" t="s">
        <v>117</v>
      </c>
      <c r="B47">
        <v>-128.619</v>
      </c>
      <c r="C47">
        <v>126.203</v>
      </c>
      <c r="D47">
        <v>379.09800000000001</v>
      </c>
      <c r="E47">
        <v>1036.01</v>
      </c>
      <c r="F47">
        <v>1181</v>
      </c>
      <c r="G47">
        <v>1817.6</v>
      </c>
      <c r="H47">
        <v>2242.1</v>
      </c>
      <c r="I47">
        <v>2325.8000000000002</v>
      </c>
      <c r="J47">
        <v>4639.8</v>
      </c>
      <c r="K47">
        <v>5243.2</v>
      </c>
    </row>
    <row r="48" spans="1:11" x14ac:dyDescent="0.3">
      <c r="A48" t="s">
        <v>118</v>
      </c>
      <c r="B48">
        <v>1E-4</v>
      </c>
      <c r="C48">
        <v>1E-4</v>
      </c>
      <c r="D48">
        <v>1E-4</v>
      </c>
      <c r="E48">
        <v>1E-4</v>
      </c>
      <c r="F48">
        <v>1E-4</v>
      </c>
      <c r="G48">
        <v>1E-4</v>
      </c>
      <c r="H48">
        <v>1E-4</v>
      </c>
      <c r="I48">
        <v>1E-4</v>
      </c>
      <c r="J48">
        <v>1E-4</v>
      </c>
      <c r="K48">
        <v>1E-4</v>
      </c>
    </row>
    <row r="49" spans="1:11" x14ac:dyDescent="0.3">
      <c r="A49" t="s">
        <v>119</v>
      </c>
      <c r="B49">
        <v>9.7000000000000003E-2</v>
      </c>
      <c r="C49">
        <v>0.22700000000000001</v>
      </c>
      <c r="D49">
        <v>0.98499999999999999</v>
      </c>
      <c r="E49">
        <v>2.8879999999999999</v>
      </c>
      <c r="F49">
        <v>5</v>
      </c>
      <c r="G49">
        <v>8</v>
      </c>
      <c r="H49">
        <v>12</v>
      </c>
      <c r="I49">
        <v>12.7</v>
      </c>
      <c r="J49">
        <v>16.5</v>
      </c>
      <c r="K49">
        <v>21.4</v>
      </c>
    </row>
    <row r="50" spans="1:11" x14ac:dyDescent="0.3">
      <c r="A50" t="s">
        <v>120</v>
      </c>
      <c r="B50" t="s">
        <v>25</v>
      </c>
      <c r="C50" t="s">
        <v>25</v>
      </c>
      <c r="D50" t="s">
        <v>25</v>
      </c>
      <c r="E50" t="s">
        <v>25</v>
      </c>
      <c r="F50">
        <v>7727</v>
      </c>
      <c r="G50">
        <v>7957</v>
      </c>
      <c r="H50">
        <v>8290.2999999999993</v>
      </c>
      <c r="I50">
        <v>8539.1</v>
      </c>
      <c r="J50">
        <v>8804.7000000000007</v>
      </c>
      <c r="K50">
        <v>9152.9</v>
      </c>
    </row>
    <row r="51" spans="1:11" x14ac:dyDescent="0.3">
      <c r="A51" t="s">
        <v>121</v>
      </c>
      <c r="B51">
        <v>185.61600000000001</v>
      </c>
      <c r="C51">
        <v>194.91800000000001</v>
      </c>
      <c r="D51">
        <v>197.941</v>
      </c>
      <c r="E51">
        <v>201.94399999999999</v>
      </c>
      <c r="F51">
        <v>230</v>
      </c>
      <c r="G51">
        <v>231.9</v>
      </c>
      <c r="H51">
        <v>234.3</v>
      </c>
      <c r="I51">
        <v>236.2</v>
      </c>
      <c r="J51">
        <v>237.8</v>
      </c>
      <c r="K51">
        <v>240.9</v>
      </c>
    </row>
    <row r="52" spans="1:11" x14ac:dyDescent="0.3">
      <c r="A52" t="s">
        <v>122</v>
      </c>
      <c r="B52">
        <v>1134.492</v>
      </c>
      <c r="C52">
        <v>1970.85</v>
      </c>
      <c r="D52">
        <v>2382.0790000000002</v>
      </c>
      <c r="E52">
        <v>3302.018</v>
      </c>
      <c r="F52">
        <v>8259</v>
      </c>
      <c r="G52">
        <v>8693.7999999999993</v>
      </c>
      <c r="H52">
        <v>8893.1</v>
      </c>
      <c r="I52">
        <v>9165.2999999999993</v>
      </c>
      <c r="J52">
        <v>11271.8</v>
      </c>
      <c r="K52">
        <v>11651.2</v>
      </c>
    </row>
    <row r="53" spans="1:11" x14ac:dyDescent="0.3">
      <c r="A53" t="s">
        <v>123</v>
      </c>
      <c r="B53">
        <v>290</v>
      </c>
      <c r="C53">
        <v>290</v>
      </c>
      <c r="D53">
        <v>290</v>
      </c>
      <c r="E53">
        <v>290</v>
      </c>
      <c r="F53">
        <v>290</v>
      </c>
      <c r="G53">
        <v>290</v>
      </c>
      <c r="H53">
        <v>290</v>
      </c>
      <c r="I53">
        <v>290</v>
      </c>
      <c r="J53">
        <v>290</v>
      </c>
      <c r="K53">
        <v>290</v>
      </c>
    </row>
    <row r="54" spans="1:11" x14ac:dyDescent="0.3">
      <c r="A54" t="s">
        <v>124</v>
      </c>
      <c r="B54">
        <v>1394.751</v>
      </c>
      <c r="C54">
        <v>2613.56</v>
      </c>
      <c r="D54">
        <v>3317.6959999999999</v>
      </c>
      <c r="E54">
        <v>4201.9620000000004</v>
      </c>
      <c r="F54">
        <v>13097</v>
      </c>
      <c r="G54">
        <v>13253.3</v>
      </c>
      <c r="H54">
        <v>13583.3</v>
      </c>
      <c r="I54">
        <v>13931.9</v>
      </c>
      <c r="J54">
        <v>17544.599999999999</v>
      </c>
      <c r="K54">
        <v>18103</v>
      </c>
    </row>
    <row r="55" spans="1:11" x14ac:dyDescent="0.3">
      <c r="A55" t="s">
        <v>125</v>
      </c>
    </row>
    <row r="56" spans="1:11" x14ac:dyDescent="0.3">
      <c r="A56" t="s">
        <v>80</v>
      </c>
      <c r="B56">
        <v>81.385999999999996</v>
      </c>
      <c r="C56">
        <v>94.521000000000001</v>
      </c>
      <c r="D56">
        <v>102.602</v>
      </c>
      <c r="E56">
        <v>176.441</v>
      </c>
      <c r="F56">
        <v>290</v>
      </c>
      <c r="G56">
        <v>374.7</v>
      </c>
      <c r="H56">
        <v>460.4</v>
      </c>
      <c r="I56">
        <v>472.5</v>
      </c>
      <c r="J56">
        <v>627.6</v>
      </c>
      <c r="K56">
        <v>775.7</v>
      </c>
    </row>
    <row r="57" spans="1:11" x14ac:dyDescent="0.3">
      <c r="A57" t="s">
        <v>126</v>
      </c>
      <c r="B57">
        <v>0.69199999999999995</v>
      </c>
      <c r="C57">
        <v>0.69199999999999995</v>
      </c>
      <c r="D57">
        <v>0.69199999999999995</v>
      </c>
      <c r="E57">
        <v>9.1300000000000008</v>
      </c>
      <c r="F57">
        <v>9</v>
      </c>
      <c r="G57">
        <v>10.3</v>
      </c>
      <c r="H57">
        <v>9.6</v>
      </c>
      <c r="I57">
        <v>9.6</v>
      </c>
      <c r="J57">
        <v>9.6</v>
      </c>
      <c r="K57">
        <v>9.6</v>
      </c>
    </row>
    <row r="58" spans="1:11" x14ac:dyDescent="0.3">
      <c r="A58" t="s">
        <v>127</v>
      </c>
      <c r="B58">
        <v>141.15700000000001</v>
      </c>
      <c r="C58">
        <v>147.83799999999999</v>
      </c>
      <c r="D58">
        <v>154.99600000000001</v>
      </c>
      <c r="E58">
        <v>170.35499999999999</v>
      </c>
      <c r="F58">
        <v>252</v>
      </c>
      <c r="G58">
        <v>449.9</v>
      </c>
      <c r="H58">
        <v>427.9</v>
      </c>
      <c r="I58">
        <v>520.1</v>
      </c>
      <c r="J58">
        <v>208.7</v>
      </c>
      <c r="K58">
        <v>216.7</v>
      </c>
    </row>
    <row r="59" spans="1:11" x14ac:dyDescent="0.3">
      <c r="A59" t="s">
        <v>128</v>
      </c>
      <c r="B59">
        <v>3.6379999999999999</v>
      </c>
      <c r="C59">
        <v>4.9960000000000004</v>
      </c>
      <c r="D59">
        <v>41.573</v>
      </c>
      <c r="E59">
        <v>214.041</v>
      </c>
      <c r="F59">
        <v>420</v>
      </c>
      <c r="G59">
        <v>495.1</v>
      </c>
      <c r="H59">
        <v>723.7</v>
      </c>
      <c r="I59">
        <v>827.1</v>
      </c>
      <c r="J59">
        <v>734.2</v>
      </c>
      <c r="K59">
        <v>828.7</v>
      </c>
    </row>
    <row r="60" spans="1:11" x14ac:dyDescent="0.3">
      <c r="A60" t="s">
        <v>129</v>
      </c>
      <c r="B60">
        <v>53.183999999999997</v>
      </c>
      <c r="C60">
        <v>58.284999999999997</v>
      </c>
      <c r="D60">
        <v>66.248999999999995</v>
      </c>
      <c r="E60">
        <v>76.45</v>
      </c>
      <c r="F60">
        <v>108</v>
      </c>
      <c r="G60">
        <v>150.6</v>
      </c>
      <c r="H60">
        <v>183</v>
      </c>
      <c r="I60">
        <v>189.2</v>
      </c>
      <c r="J60">
        <v>149.4</v>
      </c>
      <c r="K60">
        <v>159</v>
      </c>
    </row>
    <row r="61" spans="1:11" x14ac:dyDescent="0.3">
      <c r="A61" t="s">
        <v>130</v>
      </c>
      <c r="B61">
        <v>226.459</v>
      </c>
      <c r="C61">
        <v>245.62</v>
      </c>
      <c r="D61">
        <v>305.214</v>
      </c>
      <c r="E61">
        <v>529.90300000000002</v>
      </c>
      <c r="F61">
        <v>873</v>
      </c>
      <c r="G61">
        <v>1229</v>
      </c>
      <c r="H61">
        <v>1485.7</v>
      </c>
      <c r="I61">
        <v>1690.8</v>
      </c>
      <c r="J61">
        <v>1384.2</v>
      </c>
      <c r="K61">
        <v>1513.1</v>
      </c>
    </row>
    <row r="62" spans="1:11" x14ac:dyDescent="0.3">
      <c r="A62" t="s">
        <v>131</v>
      </c>
      <c r="B62">
        <v>60.606999999999999</v>
      </c>
      <c r="C62">
        <v>79.991</v>
      </c>
      <c r="D62">
        <v>104.105</v>
      </c>
      <c r="E62">
        <v>137.655</v>
      </c>
      <c r="F62">
        <v>176</v>
      </c>
      <c r="G62">
        <v>193.4</v>
      </c>
      <c r="H62">
        <v>160.30000000000001</v>
      </c>
      <c r="I62">
        <v>219.3</v>
      </c>
      <c r="J62">
        <v>220.9</v>
      </c>
      <c r="K62">
        <v>274.3</v>
      </c>
    </row>
    <row r="63" spans="1:11" x14ac:dyDescent="0.3">
      <c r="A63" t="s">
        <v>86</v>
      </c>
      <c r="B63">
        <v>165.852</v>
      </c>
      <c r="C63">
        <v>165.62899999999999</v>
      </c>
      <c r="D63">
        <v>201.10900000000001</v>
      </c>
      <c r="E63">
        <v>392.24799999999999</v>
      </c>
      <c r="F63">
        <v>697</v>
      </c>
      <c r="G63">
        <v>1035.5999999999999</v>
      </c>
      <c r="H63">
        <v>1325.4</v>
      </c>
      <c r="I63">
        <v>1471.5</v>
      </c>
      <c r="J63">
        <v>1163.3</v>
      </c>
      <c r="K63">
        <v>1238.8</v>
      </c>
    </row>
    <row r="64" spans="1:11" x14ac:dyDescent="0.3">
      <c r="A64" t="s">
        <v>132</v>
      </c>
      <c r="B64">
        <v>178.60499999999999</v>
      </c>
      <c r="C64">
        <v>61.820999999999998</v>
      </c>
      <c r="D64">
        <v>85.721999999999994</v>
      </c>
      <c r="E64">
        <v>253.34800000000001</v>
      </c>
      <c r="F64">
        <v>567</v>
      </c>
      <c r="G64">
        <v>809.3</v>
      </c>
      <c r="H64">
        <v>696.3</v>
      </c>
      <c r="I64">
        <v>641.5</v>
      </c>
      <c r="J64">
        <v>2517.3000000000002</v>
      </c>
      <c r="K64">
        <v>2670.9</v>
      </c>
    </row>
    <row r="65" spans="1:11" x14ac:dyDescent="0.3">
      <c r="A65" t="s">
        <v>88</v>
      </c>
      <c r="B65">
        <v>72.168000000000006</v>
      </c>
      <c r="C65">
        <v>632.452</v>
      </c>
      <c r="D65">
        <v>598.51400000000001</v>
      </c>
      <c r="E65">
        <v>587</v>
      </c>
      <c r="F65">
        <v>4708</v>
      </c>
      <c r="G65">
        <v>4303.1000000000004</v>
      </c>
      <c r="H65">
        <v>3951.9</v>
      </c>
      <c r="I65">
        <v>3631.6</v>
      </c>
      <c r="J65">
        <v>3322</v>
      </c>
      <c r="K65">
        <v>2983.9</v>
      </c>
    </row>
    <row r="66" spans="1:11" x14ac:dyDescent="0.3">
      <c r="A66" t="s">
        <v>89</v>
      </c>
      <c r="B66">
        <v>79.638999999999996</v>
      </c>
      <c r="C66">
        <v>253.64500000000001</v>
      </c>
      <c r="D66">
        <v>254.07300000000001</v>
      </c>
      <c r="E66">
        <v>254.07300000000001</v>
      </c>
      <c r="F66">
        <v>5048</v>
      </c>
      <c r="G66">
        <v>5037.3999999999996</v>
      </c>
      <c r="H66">
        <v>5037.3999999999996</v>
      </c>
      <c r="I66">
        <v>5037.3999999999996</v>
      </c>
      <c r="J66">
        <v>5037.3999999999996</v>
      </c>
      <c r="K66">
        <v>5100.1000000000004</v>
      </c>
    </row>
    <row r="67" spans="1:11" x14ac:dyDescent="0.3">
      <c r="A67" t="s">
        <v>133</v>
      </c>
      <c r="B67">
        <v>5.4269999999999996</v>
      </c>
      <c r="C67">
        <v>3.69</v>
      </c>
      <c r="D67">
        <v>1.417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93</v>
      </c>
      <c r="B68" t="s">
        <v>25</v>
      </c>
      <c r="C68" t="s">
        <v>25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>
        <v>74.400000000000006</v>
      </c>
      <c r="J68">
        <v>74</v>
      </c>
      <c r="K68" t="s">
        <v>25</v>
      </c>
    </row>
    <row r="69" spans="1:11" x14ac:dyDescent="0.3">
      <c r="A69" t="s">
        <v>95</v>
      </c>
      <c r="B69" t="s">
        <v>25</v>
      </c>
      <c r="C69">
        <v>48</v>
      </c>
      <c r="D69">
        <v>48</v>
      </c>
      <c r="E69" t="s">
        <v>25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 t="s">
        <v>25</v>
      </c>
    </row>
    <row r="70" spans="1:11" x14ac:dyDescent="0.3">
      <c r="A70" t="s">
        <v>104</v>
      </c>
      <c r="B70" t="s">
        <v>25</v>
      </c>
      <c r="C70" t="s">
        <v>25</v>
      </c>
      <c r="D70" t="s">
        <v>25</v>
      </c>
      <c r="E70" t="s">
        <v>25</v>
      </c>
      <c r="F70" t="s">
        <v>25</v>
      </c>
      <c r="G70" t="s">
        <v>25</v>
      </c>
      <c r="H70" t="s">
        <v>25</v>
      </c>
      <c r="I70" t="s">
        <v>25</v>
      </c>
      <c r="J70" t="s">
        <v>25</v>
      </c>
      <c r="K70">
        <v>67.3</v>
      </c>
    </row>
    <row r="71" spans="1:11" x14ac:dyDescent="0.3">
      <c r="A71" t="s">
        <v>107</v>
      </c>
      <c r="B71">
        <v>112.934</v>
      </c>
      <c r="C71">
        <v>42.774999999999999</v>
      </c>
      <c r="D71">
        <v>142.161</v>
      </c>
      <c r="E71">
        <v>202.19800000000001</v>
      </c>
      <c r="F71">
        <v>1082</v>
      </c>
      <c r="G71">
        <v>1187.0999999999999</v>
      </c>
      <c r="H71">
        <v>968.7</v>
      </c>
      <c r="I71">
        <v>930.7</v>
      </c>
      <c r="J71">
        <v>2308.5</v>
      </c>
      <c r="K71">
        <v>2103.6999999999998</v>
      </c>
    </row>
    <row r="72" spans="1:11" x14ac:dyDescent="0.3">
      <c r="A72" t="s">
        <v>113</v>
      </c>
      <c r="B72">
        <v>1.9E-2</v>
      </c>
      <c r="C72">
        <v>0.02</v>
      </c>
      <c r="D72">
        <v>0.02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</row>
    <row r="73" spans="1:11" x14ac:dyDescent="0.3">
      <c r="A73" t="s">
        <v>114</v>
      </c>
      <c r="B73">
        <v>1261.5889999999999</v>
      </c>
      <c r="C73">
        <v>1852.221</v>
      </c>
      <c r="D73">
        <v>2106.183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</row>
    <row r="74" spans="1:11" x14ac:dyDescent="0.3">
      <c r="A74" t="s">
        <v>115</v>
      </c>
      <c r="B74">
        <v>-2.6760000000000002</v>
      </c>
      <c r="C74">
        <v>-14.228999999999999</v>
      </c>
      <c r="D74">
        <v>-80.364999999999995</v>
      </c>
      <c r="E74">
        <v>-383</v>
      </c>
      <c r="F74">
        <v>-711</v>
      </c>
      <c r="G74">
        <v>-1141.3</v>
      </c>
      <c r="H74">
        <v>-1604.9</v>
      </c>
      <c r="I74">
        <v>-1689.9</v>
      </c>
      <c r="J74">
        <v>-2105.9</v>
      </c>
      <c r="K74">
        <v>-2620.3000000000002</v>
      </c>
    </row>
    <row r="75" spans="1:11" x14ac:dyDescent="0.3">
      <c r="A75" t="s">
        <v>116</v>
      </c>
      <c r="B75">
        <v>4.1790000000000003</v>
      </c>
      <c r="C75">
        <v>6.6349999999999998</v>
      </c>
      <c r="D75">
        <v>-22.856999999999999</v>
      </c>
      <c r="E75">
        <v>56</v>
      </c>
      <c r="F75">
        <v>62</v>
      </c>
      <c r="G75">
        <v>60.5</v>
      </c>
      <c r="H75">
        <v>-34.4</v>
      </c>
      <c r="I75">
        <v>-9.6999999999999993</v>
      </c>
      <c r="J75">
        <v>-66.8</v>
      </c>
      <c r="K75">
        <v>-124.6</v>
      </c>
    </row>
    <row r="76" spans="1:11" x14ac:dyDescent="0.3">
      <c r="A76" t="s">
        <v>117</v>
      </c>
      <c r="B76">
        <v>-128.619</v>
      </c>
      <c r="C76">
        <v>126.203</v>
      </c>
      <c r="D76">
        <v>379.09800000000001</v>
      </c>
      <c r="E76">
        <v>1037</v>
      </c>
      <c r="F76">
        <v>1181</v>
      </c>
      <c r="G76">
        <v>1817.6</v>
      </c>
      <c r="H76">
        <v>2242.1</v>
      </c>
      <c r="I76">
        <v>2325.8000000000002</v>
      </c>
      <c r="J76">
        <v>4639.8</v>
      </c>
      <c r="K76">
        <v>5243.2</v>
      </c>
    </row>
    <row r="77" spans="1:11" x14ac:dyDescent="0.3">
      <c r="A77" t="s">
        <v>118</v>
      </c>
      <c r="B77">
        <v>1E-4</v>
      </c>
      <c r="C77" t="s">
        <v>25</v>
      </c>
      <c r="D77" t="s">
        <v>25</v>
      </c>
      <c r="E77" t="s">
        <v>25</v>
      </c>
      <c r="F77">
        <v>1E-4</v>
      </c>
      <c r="G77">
        <v>1E-4</v>
      </c>
      <c r="H77">
        <v>1E-4</v>
      </c>
      <c r="I77">
        <v>1E-4</v>
      </c>
      <c r="J77">
        <v>1E-4</v>
      </c>
      <c r="K77">
        <v>1E-4</v>
      </c>
    </row>
    <row r="78" spans="1:11" x14ac:dyDescent="0.3">
      <c r="A78" t="s">
        <v>119</v>
      </c>
      <c r="B78">
        <v>9.7000000000000003E-2</v>
      </c>
      <c r="C78">
        <v>0.22700000000000001</v>
      </c>
      <c r="D78">
        <v>0.98499999999999999</v>
      </c>
      <c r="E78">
        <v>3</v>
      </c>
      <c r="F78">
        <v>5</v>
      </c>
      <c r="G78">
        <v>8</v>
      </c>
      <c r="H78">
        <v>12</v>
      </c>
      <c r="I78">
        <v>12.7</v>
      </c>
      <c r="J78">
        <v>16.5</v>
      </c>
      <c r="K78">
        <v>0</v>
      </c>
    </row>
    <row r="79" spans="1:11" x14ac:dyDescent="0.3">
      <c r="A79" t="s">
        <v>134</v>
      </c>
      <c r="B79">
        <v>9.6769999999999996</v>
      </c>
      <c r="C79">
        <v>6.4850000000000003</v>
      </c>
      <c r="D79">
        <v>12.17</v>
      </c>
      <c r="E79">
        <v>14.57</v>
      </c>
      <c r="F79">
        <v>18</v>
      </c>
      <c r="G79">
        <v>17.399999999999999</v>
      </c>
      <c r="H79">
        <v>4.7</v>
      </c>
      <c r="I79">
        <v>31.4</v>
      </c>
      <c r="J79">
        <v>41.2</v>
      </c>
      <c r="K79">
        <v>91.2</v>
      </c>
    </row>
    <row r="80" spans="1:11" x14ac:dyDescent="0.3">
      <c r="A80" t="s">
        <v>135</v>
      </c>
      <c r="B80">
        <v>37</v>
      </c>
      <c r="C80">
        <v>43.899000000000001</v>
      </c>
      <c r="D80">
        <v>62.192</v>
      </c>
      <c r="E80">
        <v>107.17</v>
      </c>
      <c r="F80">
        <v>180</v>
      </c>
      <c r="G80">
        <v>142.6</v>
      </c>
      <c r="H80">
        <v>148.6</v>
      </c>
      <c r="I80">
        <v>90.4</v>
      </c>
      <c r="J80">
        <v>180.8</v>
      </c>
      <c r="K80">
        <v>260.8</v>
      </c>
    </row>
    <row r="81" spans="1:11" x14ac:dyDescent="0.3">
      <c r="A81" t="s">
        <v>136</v>
      </c>
      <c r="B81">
        <v>34.709000000000003</v>
      </c>
      <c r="C81">
        <v>44.137</v>
      </c>
      <c r="D81">
        <v>28.24</v>
      </c>
      <c r="E81">
        <v>54.701000000000001</v>
      </c>
      <c r="F81">
        <v>92</v>
      </c>
      <c r="G81">
        <v>214.7</v>
      </c>
      <c r="H81">
        <v>307.10000000000002</v>
      </c>
      <c r="I81">
        <v>350.7</v>
      </c>
      <c r="J81">
        <v>405.6</v>
      </c>
      <c r="K81">
        <v>423.7</v>
      </c>
    </row>
    <row r="82" spans="1:11" x14ac:dyDescent="0.3">
      <c r="A82" t="s">
        <v>120</v>
      </c>
      <c r="B82" t="s">
        <v>25</v>
      </c>
      <c r="C82" t="s">
        <v>25</v>
      </c>
      <c r="D82" t="s">
        <v>25</v>
      </c>
      <c r="E82">
        <v>2593</v>
      </c>
      <c r="F82">
        <v>7727</v>
      </c>
      <c r="G82">
        <v>7957</v>
      </c>
      <c r="H82">
        <v>8290.2999999999993</v>
      </c>
      <c r="I82">
        <v>8539.1</v>
      </c>
      <c r="J82">
        <v>8804.7000000000007</v>
      </c>
      <c r="K82">
        <v>9152.9</v>
      </c>
    </row>
    <row r="83" spans="1:11" x14ac:dyDescent="0.3">
      <c r="A83" t="s">
        <v>121</v>
      </c>
      <c r="B83">
        <v>185.61600000000001</v>
      </c>
      <c r="C83">
        <v>194.91800000000001</v>
      </c>
      <c r="D83">
        <v>197.941</v>
      </c>
      <c r="E83">
        <v>202</v>
      </c>
      <c r="F83">
        <v>230</v>
      </c>
      <c r="G83">
        <v>231.9</v>
      </c>
      <c r="H83">
        <v>234.3</v>
      </c>
      <c r="I83">
        <v>236.2</v>
      </c>
      <c r="J83">
        <v>237.8</v>
      </c>
      <c r="K83">
        <v>240.9</v>
      </c>
    </row>
    <row r="84" spans="1:11" x14ac:dyDescent="0.3">
      <c r="A84" t="s">
        <v>137</v>
      </c>
      <c r="B84" t="s">
        <v>25</v>
      </c>
      <c r="C84" t="s">
        <v>25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>
        <v>0</v>
      </c>
      <c r="J84">
        <v>127.2</v>
      </c>
      <c r="K84">
        <v>127.2</v>
      </c>
    </row>
    <row r="85" spans="1:11" x14ac:dyDescent="0.3">
      <c r="A85" t="s">
        <v>138</v>
      </c>
      <c r="B85">
        <v>100</v>
      </c>
      <c r="C85">
        <v>210</v>
      </c>
      <c r="D85">
        <v>450</v>
      </c>
      <c r="E85">
        <v>200</v>
      </c>
      <c r="F85">
        <v>500</v>
      </c>
      <c r="G85">
        <v>500</v>
      </c>
      <c r="H85">
        <v>500</v>
      </c>
      <c r="I85">
        <v>1000</v>
      </c>
      <c r="J85">
        <v>1000</v>
      </c>
      <c r="K85">
        <v>1000</v>
      </c>
    </row>
    <row r="86" spans="1:11" x14ac:dyDescent="0.3">
      <c r="A86" t="s">
        <v>139</v>
      </c>
      <c r="B86">
        <v>96</v>
      </c>
      <c r="C86">
        <v>190.30500000000001</v>
      </c>
      <c r="D86">
        <v>182.86600000000001</v>
      </c>
      <c r="E86">
        <v>189.71600000000001</v>
      </c>
      <c r="F86">
        <v>486.21600000000001</v>
      </c>
      <c r="G86">
        <v>485</v>
      </c>
      <c r="H86">
        <v>500</v>
      </c>
      <c r="I86" t="s">
        <v>25</v>
      </c>
      <c r="J86" t="s">
        <v>25</v>
      </c>
      <c r="K86">
        <v>0</v>
      </c>
    </row>
    <row r="87" spans="1:11" x14ac:dyDescent="0.3">
      <c r="A87" t="s">
        <v>140</v>
      </c>
      <c r="B87" t="s">
        <v>25</v>
      </c>
      <c r="C87">
        <v>54.040999999999997</v>
      </c>
      <c r="D87">
        <v>62.636000000000003</v>
      </c>
      <c r="E87">
        <v>72.561000000000007</v>
      </c>
      <c r="F87">
        <v>89.635000000000005</v>
      </c>
      <c r="G87">
        <v>90</v>
      </c>
      <c r="H87">
        <v>78.400000000000006</v>
      </c>
      <c r="I87">
        <v>48</v>
      </c>
      <c r="J87">
        <v>223.6</v>
      </c>
      <c r="K87">
        <v>237.9</v>
      </c>
    </row>
    <row r="88" spans="1:11" x14ac:dyDescent="0.3">
      <c r="A88" t="s">
        <v>141</v>
      </c>
      <c r="B88">
        <v>10.423999999999999</v>
      </c>
      <c r="C88">
        <v>16.757999999999999</v>
      </c>
      <c r="D88">
        <v>19.094000000000001</v>
      </c>
      <c r="E88">
        <v>23</v>
      </c>
      <c r="F88">
        <v>27.8</v>
      </c>
      <c r="G88">
        <v>29.3</v>
      </c>
      <c r="H88">
        <v>27.2</v>
      </c>
      <c r="I88">
        <v>24.4</v>
      </c>
      <c r="J88">
        <v>46.1</v>
      </c>
      <c r="K88">
        <v>46.8</v>
      </c>
    </row>
    <row r="89" spans="1:11" x14ac:dyDescent="0.3">
      <c r="A89" t="s">
        <v>142</v>
      </c>
      <c r="B89">
        <v>12.089</v>
      </c>
      <c r="C89">
        <v>16.462</v>
      </c>
      <c r="D89">
        <v>17.640999999999998</v>
      </c>
      <c r="E89">
        <v>21.481000000000002</v>
      </c>
      <c r="F89">
        <v>25.222999999999999</v>
      </c>
      <c r="G89">
        <v>21</v>
      </c>
      <c r="H89">
        <v>22.3</v>
      </c>
      <c r="I89">
        <v>14.1</v>
      </c>
      <c r="J89">
        <v>25.7</v>
      </c>
      <c r="K89">
        <v>34.4</v>
      </c>
    </row>
    <row r="90" spans="1:11" x14ac:dyDescent="0.3">
      <c r="A90" t="s">
        <v>143</v>
      </c>
      <c r="B90">
        <v>10.146000000000001</v>
      </c>
      <c r="C90">
        <v>12.157999999999999</v>
      </c>
      <c r="D90">
        <v>13.484</v>
      </c>
      <c r="E90">
        <v>18.878</v>
      </c>
      <c r="F90">
        <v>18.024000000000001</v>
      </c>
      <c r="G90">
        <v>19</v>
      </c>
      <c r="H90">
        <v>15.5</v>
      </c>
      <c r="I90">
        <v>9.3000000000000007</v>
      </c>
      <c r="J90">
        <v>23</v>
      </c>
      <c r="K90">
        <v>32</v>
      </c>
    </row>
    <row r="91" spans="1:11" x14ac:dyDescent="0.3">
      <c r="A91" t="s">
        <v>144</v>
      </c>
      <c r="B91">
        <v>7.2880000000000003</v>
      </c>
      <c r="C91">
        <v>6.8319999999999999</v>
      </c>
      <c r="D91">
        <v>10.851000000000001</v>
      </c>
      <c r="E91">
        <v>12.074</v>
      </c>
      <c r="F91">
        <v>13.962</v>
      </c>
      <c r="G91">
        <v>13</v>
      </c>
      <c r="H91">
        <v>9.5</v>
      </c>
      <c r="I91">
        <v>5.6</v>
      </c>
      <c r="J91">
        <v>21.6</v>
      </c>
      <c r="K91">
        <v>25.2</v>
      </c>
    </row>
    <row r="92" spans="1:11" x14ac:dyDescent="0.3">
      <c r="A92" t="s">
        <v>145</v>
      </c>
      <c r="B92">
        <v>4.6520000000000001</v>
      </c>
      <c r="C92">
        <v>6.03</v>
      </c>
      <c r="D92">
        <v>7.8040000000000003</v>
      </c>
      <c r="E92">
        <v>8.3710000000000004</v>
      </c>
      <c r="F92">
        <v>9.8339999999999996</v>
      </c>
      <c r="G92">
        <v>7</v>
      </c>
      <c r="H92">
        <v>6.7</v>
      </c>
      <c r="I92">
        <v>3.9</v>
      </c>
      <c r="J92">
        <v>20.9</v>
      </c>
      <c r="K92">
        <v>22.5</v>
      </c>
    </row>
    <row r="93" spans="1:11" x14ac:dyDescent="0.3">
      <c r="A93" t="s">
        <v>146</v>
      </c>
      <c r="B93">
        <v>4.32</v>
      </c>
      <c r="C93">
        <v>4.3319999999999999</v>
      </c>
      <c r="D93">
        <v>6.694</v>
      </c>
      <c r="E93">
        <v>5.4969999999999999</v>
      </c>
      <c r="F93">
        <v>5.1680000000000001</v>
      </c>
      <c r="G93">
        <v>6</v>
      </c>
      <c r="H93">
        <v>6.5</v>
      </c>
      <c r="I93">
        <v>3.5</v>
      </c>
      <c r="J93">
        <v>20.3</v>
      </c>
      <c r="K93">
        <v>20.7</v>
      </c>
    </row>
    <row r="94" spans="1:11" x14ac:dyDescent="0.3">
      <c r="A94" t="s">
        <v>147</v>
      </c>
      <c r="B94">
        <v>11.259</v>
      </c>
      <c r="C94">
        <v>8.2270000000000003</v>
      </c>
      <c r="D94">
        <v>6.1619999999999999</v>
      </c>
      <c r="E94">
        <v>6.26</v>
      </c>
      <c r="F94">
        <v>17.423999999999999</v>
      </c>
      <c r="G94">
        <v>24</v>
      </c>
      <c r="H94">
        <v>17.899999999999999</v>
      </c>
      <c r="I94">
        <v>11.6</v>
      </c>
      <c r="J94">
        <v>112.1</v>
      </c>
      <c r="K94">
        <v>103.1</v>
      </c>
    </row>
    <row r="95" spans="1:11" x14ac:dyDescent="0.3">
      <c r="A95" t="s">
        <v>122</v>
      </c>
      <c r="B95">
        <v>1134.492</v>
      </c>
      <c r="C95">
        <v>1970.85</v>
      </c>
      <c r="D95">
        <v>2382.0790000000002</v>
      </c>
      <c r="E95">
        <v>3303</v>
      </c>
      <c r="F95">
        <v>8259</v>
      </c>
      <c r="G95">
        <v>8693.7999999999993</v>
      </c>
      <c r="H95">
        <v>8893.1</v>
      </c>
      <c r="I95">
        <v>9165.2999999999993</v>
      </c>
      <c r="J95">
        <v>11271.8</v>
      </c>
      <c r="K95">
        <v>11651.2</v>
      </c>
    </row>
    <row r="96" spans="1:11" x14ac:dyDescent="0.3">
      <c r="A96" t="s">
        <v>148</v>
      </c>
      <c r="B96" t="s">
        <v>25</v>
      </c>
      <c r="C96" t="s">
        <v>25</v>
      </c>
      <c r="D96" t="s">
        <v>25</v>
      </c>
      <c r="E96" t="s">
        <v>25</v>
      </c>
      <c r="F96" t="s">
        <v>25</v>
      </c>
      <c r="G96" t="s">
        <v>25</v>
      </c>
      <c r="H96" t="s">
        <v>25</v>
      </c>
      <c r="I96" t="s">
        <v>25</v>
      </c>
      <c r="J96" t="s">
        <v>25</v>
      </c>
      <c r="K96" t="s">
        <v>25</v>
      </c>
    </row>
    <row r="97" spans="1:11" x14ac:dyDescent="0.3">
      <c r="A97" t="s">
        <v>149</v>
      </c>
      <c r="B97">
        <v>27.788</v>
      </c>
      <c r="C97">
        <v>33.808999999999997</v>
      </c>
      <c r="D97">
        <v>41.704000000000001</v>
      </c>
      <c r="E97">
        <v>59.927</v>
      </c>
      <c r="F97">
        <v>84</v>
      </c>
      <c r="G97">
        <v>123.1</v>
      </c>
      <c r="H97">
        <v>141.5</v>
      </c>
      <c r="I97">
        <v>144.80000000000001</v>
      </c>
      <c r="J97">
        <v>155.1</v>
      </c>
      <c r="K97">
        <v>171.9</v>
      </c>
    </row>
    <row r="98" spans="1:11" x14ac:dyDescent="0.3">
      <c r="A98" t="s">
        <v>150</v>
      </c>
      <c r="B98">
        <v>18.863</v>
      </c>
      <c r="C98">
        <v>17.861999999999998</v>
      </c>
      <c r="D98">
        <v>21.815000000000001</v>
      </c>
      <c r="E98">
        <v>77.347999999999999</v>
      </c>
      <c r="F98">
        <v>92</v>
      </c>
      <c r="G98">
        <v>97.5</v>
      </c>
      <c r="H98">
        <v>32.200000000000003</v>
      </c>
      <c r="I98">
        <v>60.6</v>
      </c>
      <c r="J98">
        <v>29.9</v>
      </c>
      <c r="K98">
        <v>26.1</v>
      </c>
    </row>
    <row r="99" spans="1:11" x14ac:dyDescent="0.3">
      <c r="A99" t="s">
        <v>151</v>
      </c>
      <c r="B99" t="s">
        <v>25</v>
      </c>
      <c r="C99" t="s">
        <v>25</v>
      </c>
      <c r="D99" t="s">
        <v>25</v>
      </c>
      <c r="E99">
        <v>142.495</v>
      </c>
      <c r="F99">
        <v>254.39599999999999</v>
      </c>
      <c r="G99">
        <v>114.2</v>
      </c>
      <c r="H99">
        <v>16</v>
      </c>
      <c r="I99">
        <v>52.1</v>
      </c>
      <c r="J99">
        <v>246.9</v>
      </c>
      <c r="K99">
        <v>0</v>
      </c>
    </row>
    <row r="100" spans="1:11" x14ac:dyDescent="0.3">
      <c r="A100" t="s">
        <v>152</v>
      </c>
      <c r="B100" t="s">
        <v>25</v>
      </c>
      <c r="C100" t="s">
        <v>25</v>
      </c>
      <c r="D100" t="s">
        <v>25</v>
      </c>
      <c r="E100" t="s">
        <v>25</v>
      </c>
      <c r="F100">
        <v>10</v>
      </c>
      <c r="G100">
        <v>16.2</v>
      </c>
      <c r="H100">
        <v>74.5</v>
      </c>
      <c r="I100">
        <v>40</v>
      </c>
      <c r="J100">
        <v>89.1</v>
      </c>
      <c r="K100">
        <v>172.6</v>
      </c>
    </row>
    <row r="101" spans="1:11" x14ac:dyDescent="0.3">
      <c r="A101" t="s">
        <v>153</v>
      </c>
      <c r="B101" t="s">
        <v>25</v>
      </c>
      <c r="C101" t="s">
        <v>25</v>
      </c>
      <c r="D101" t="s">
        <v>25</v>
      </c>
      <c r="E101" t="s">
        <v>25</v>
      </c>
      <c r="F101" t="s">
        <v>25</v>
      </c>
      <c r="G101" t="s">
        <v>25</v>
      </c>
      <c r="H101" t="s">
        <v>25</v>
      </c>
      <c r="I101">
        <v>623.79999999999995</v>
      </c>
      <c r="J101">
        <v>892.7</v>
      </c>
      <c r="K101" t="s">
        <v>25</v>
      </c>
    </row>
    <row r="102" spans="1:11" x14ac:dyDescent="0.3">
      <c r="A102" t="s">
        <v>154</v>
      </c>
      <c r="B102">
        <v>6.4649999999999999</v>
      </c>
      <c r="C102">
        <v>9.3780000000000001</v>
      </c>
      <c r="D102">
        <v>9.8390000000000004</v>
      </c>
      <c r="E102">
        <v>58.698</v>
      </c>
      <c r="F102">
        <v>66</v>
      </c>
      <c r="G102">
        <v>68.900000000000006</v>
      </c>
      <c r="H102">
        <v>16.600000000000001</v>
      </c>
      <c r="I102">
        <v>0.3</v>
      </c>
      <c r="J102">
        <v>0.6</v>
      </c>
      <c r="K102">
        <v>0</v>
      </c>
    </row>
    <row r="103" spans="1:11" x14ac:dyDescent="0.3">
      <c r="A103" t="s">
        <v>155</v>
      </c>
      <c r="B103" t="s">
        <v>25</v>
      </c>
      <c r="C103">
        <v>60</v>
      </c>
      <c r="D103">
        <v>60</v>
      </c>
      <c r="E103" t="s">
        <v>25</v>
      </c>
      <c r="F103" t="s">
        <v>25</v>
      </c>
      <c r="G103" t="s">
        <v>25</v>
      </c>
      <c r="H103" t="s">
        <v>25</v>
      </c>
      <c r="I103" t="s">
        <v>25</v>
      </c>
      <c r="J103" t="s">
        <v>25</v>
      </c>
      <c r="K103">
        <v>1</v>
      </c>
    </row>
    <row r="104" spans="1:11" x14ac:dyDescent="0.3">
      <c r="A104" t="s">
        <v>156</v>
      </c>
      <c r="B104">
        <v>7.9219999999999997</v>
      </c>
      <c r="C104">
        <v>5.5389999999999997</v>
      </c>
      <c r="D104">
        <v>20.228000000000002</v>
      </c>
      <c r="E104">
        <v>0.79400000000000004</v>
      </c>
      <c r="F104">
        <v>5</v>
      </c>
      <c r="G104">
        <v>12.5</v>
      </c>
      <c r="H104">
        <v>48.5</v>
      </c>
      <c r="I104">
        <v>19.600000000000001</v>
      </c>
      <c r="J104">
        <v>46.1</v>
      </c>
      <c r="K104">
        <v>126</v>
      </c>
    </row>
    <row r="105" spans="1:11" x14ac:dyDescent="0.3">
      <c r="A105" t="s">
        <v>157</v>
      </c>
      <c r="B105">
        <v>2.552</v>
      </c>
      <c r="C105">
        <v>4.5209999999999999</v>
      </c>
      <c r="D105">
        <v>14.864000000000001</v>
      </c>
      <c r="E105">
        <v>8.5999999999999993E-2</v>
      </c>
      <c r="F105">
        <v>5</v>
      </c>
      <c r="G105">
        <v>3.7</v>
      </c>
      <c r="H105">
        <v>26</v>
      </c>
      <c r="I105">
        <v>20.399999999999999</v>
      </c>
      <c r="J105">
        <v>43</v>
      </c>
      <c r="K105">
        <v>46.6</v>
      </c>
    </row>
    <row r="106" spans="1:11" x14ac:dyDescent="0.3">
      <c r="A106" t="s">
        <v>158</v>
      </c>
      <c r="B106">
        <v>185.99340000000001</v>
      </c>
      <c r="C106">
        <v>195.20920000000001</v>
      </c>
      <c r="D106">
        <v>197.8304</v>
      </c>
      <c r="E106">
        <v>202.14850000000001</v>
      </c>
      <c r="F106">
        <v>225.29130000000001</v>
      </c>
      <c r="G106">
        <v>224.6138</v>
      </c>
      <c r="H106">
        <v>221.6814</v>
      </c>
      <c r="I106">
        <v>223.46940000000001</v>
      </c>
      <c r="J106">
        <v>221.40090000000001</v>
      </c>
      <c r="K106">
        <v>219.71180000000001</v>
      </c>
    </row>
    <row r="107" spans="1:11" x14ac:dyDescent="0.3">
      <c r="A107" t="s">
        <v>159</v>
      </c>
      <c r="B107">
        <v>14.009</v>
      </c>
      <c r="C107">
        <v>10.536</v>
      </c>
      <c r="D107">
        <v>9.7880000000000003</v>
      </c>
      <c r="E107">
        <v>4.5999999999999999E-2</v>
      </c>
      <c r="F107">
        <v>0</v>
      </c>
      <c r="G107">
        <v>0</v>
      </c>
      <c r="H107">
        <v>2.5</v>
      </c>
      <c r="I107">
        <v>9.6999999999999993</v>
      </c>
      <c r="J107">
        <v>22.3</v>
      </c>
      <c r="K107">
        <v>18.5</v>
      </c>
    </row>
    <row r="108" spans="1:11" x14ac:dyDescent="0.3">
      <c r="A108" t="s">
        <v>160</v>
      </c>
      <c r="B108" t="s">
        <v>25</v>
      </c>
      <c r="C108" t="s">
        <v>25</v>
      </c>
      <c r="D108" t="s">
        <v>25</v>
      </c>
      <c r="E108" t="s">
        <v>25</v>
      </c>
      <c r="F108">
        <v>3</v>
      </c>
      <c r="G108">
        <v>2.9</v>
      </c>
      <c r="H108">
        <v>2.9</v>
      </c>
      <c r="I108">
        <v>2.9</v>
      </c>
      <c r="J108">
        <v>2.9</v>
      </c>
      <c r="K108" t="s">
        <v>25</v>
      </c>
    </row>
    <row r="109" spans="1:11" x14ac:dyDescent="0.3">
      <c r="A109" t="s">
        <v>161</v>
      </c>
      <c r="B109">
        <v>18.012</v>
      </c>
      <c r="C109" t="s">
        <v>25</v>
      </c>
      <c r="D109" t="s">
        <v>25</v>
      </c>
      <c r="E109" t="s">
        <v>25</v>
      </c>
      <c r="F109">
        <v>157</v>
      </c>
      <c r="G109">
        <v>477.8</v>
      </c>
      <c r="H109">
        <v>798</v>
      </c>
      <c r="I109">
        <v>5040.3</v>
      </c>
      <c r="J109">
        <v>1434.1</v>
      </c>
      <c r="K109">
        <v>3734</v>
      </c>
    </row>
    <row r="110" spans="1:11" x14ac:dyDescent="0.3">
      <c r="A110" t="s">
        <v>162</v>
      </c>
      <c r="B110">
        <v>540.86500000000001</v>
      </c>
      <c r="C110" t="s">
        <v>25</v>
      </c>
      <c r="D110" t="s">
        <v>25</v>
      </c>
      <c r="E110" t="s">
        <v>25</v>
      </c>
      <c r="F110">
        <v>1385</v>
      </c>
      <c r="G110">
        <v>1293.4000000000001</v>
      </c>
      <c r="H110">
        <v>1474.1</v>
      </c>
      <c r="I110">
        <v>1563.8</v>
      </c>
      <c r="J110">
        <v>2749.5</v>
      </c>
      <c r="K110">
        <v>2999.4</v>
      </c>
    </row>
    <row r="111" spans="1:11" x14ac:dyDescent="0.3">
      <c r="A111" t="s">
        <v>163</v>
      </c>
      <c r="B111" t="s">
        <v>25</v>
      </c>
      <c r="C111">
        <v>169.803</v>
      </c>
      <c r="D111" t="s">
        <v>25</v>
      </c>
      <c r="E111" t="s">
        <v>25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t="s">
        <v>25</v>
      </c>
    </row>
    <row r="112" spans="1:11" x14ac:dyDescent="0.3">
      <c r="A112" t="s">
        <v>164</v>
      </c>
      <c r="B112">
        <v>2.556</v>
      </c>
      <c r="C112">
        <v>1.9650000000000001</v>
      </c>
      <c r="D112">
        <v>1.9990000000000001</v>
      </c>
      <c r="E112">
        <v>1.472</v>
      </c>
      <c r="F112">
        <v>1.4610000000000001</v>
      </c>
      <c r="G112">
        <v>2</v>
      </c>
      <c r="H112">
        <v>0.7</v>
      </c>
      <c r="I112">
        <v>0</v>
      </c>
      <c r="J112">
        <v>0</v>
      </c>
      <c r="K112">
        <v>0</v>
      </c>
    </row>
    <row r="113" spans="1:11" x14ac:dyDescent="0.3">
      <c r="A113" t="s">
        <v>165</v>
      </c>
      <c r="B113">
        <v>11.766</v>
      </c>
      <c r="C113">
        <v>9.5570000000000004</v>
      </c>
      <c r="D113">
        <v>8.6189999999999998</v>
      </c>
      <c r="E113">
        <v>6.42</v>
      </c>
      <c r="F113">
        <v>6.2210000000000001</v>
      </c>
      <c r="G113">
        <v>6</v>
      </c>
      <c r="H113">
        <v>5.3</v>
      </c>
      <c r="I113">
        <v>3.6</v>
      </c>
      <c r="J113">
        <v>3</v>
      </c>
      <c r="K113">
        <v>2.2000000000000002</v>
      </c>
    </row>
    <row r="114" spans="1:11" x14ac:dyDescent="0.3">
      <c r="A114" t="s">
        <v>166</v>
      </c>
      <c r="B114">
        <v>2.7440000000000002</v>
      </c>
      <c r="C114">
        <v>3.9180000000000001</v>
      </c>
      <c r="D114">
        <v>2.5000000000000001E-3</v>
      </c>
      <c r="E114">
        <v>3.4079999999999999</v>
      </c>
      <c r="F114">
        <v>1.3280000000000001</v>
      </c>
      <c r="G114">
        <v>1</v>
      </c>
      <c r="H114">
        <v>1.2</v>
      </c>
      <c r="I114">
        <v>0.5</v>
      </c>
      <c r="J114">
        <v>0.3</v>
      </c>
      <c r="K114">
        <v>0.7</v>
      </c>
    </row>
    <row r="115" spans="1:11" x14ac:dyDescent="0.3">
      <c r="A115" t="s">
        <v>167</v>
      </c>
      <c r="B115" t="s">
        <v>25</v>
      </c>
      <c r="C115">
        <v>181.35499999999999</v>
      </c>
      <c r="D115">
        <v>293.43700000000001</v>
      </c>
      <c r="E115">
        <v>227.655</v>
      </c>
      <c r="F115">
        <v>391</v>
      </c>
      <c r="G115">
        <v>469.1</v>
      </c>
      <c r="H115">
        <v>608.70000000000005</v>
      </c>
      <c r="I115" t="s">
        <v>25</v>
      </c>
      <c r="J115" t="s">
        <v>25</v>
      </c>
      <c r="K115">
        <v>1084.7</v>
      </c>
    </row>
    <row r="116" spans="1:11" x14ac:dyDescent="0.3">
      <c r="A116" t="s">
        <v>168</v>
      </c>
      <c r="B116" t="s">
        <v>25</v>
      </c>
      <c r="C116">
        <v>9.6950000000000003</v>
      </c>
      <c r="D116">
        <v>130.13399999999999</v>
      </c>
      <c r="E116" t="s">
        <v>25</v>
      </c>
      <c r="F116" t="s">
        <v>25</v>
      </c>
      <c r="G116" t="s">
        <v>25</v>
      </c>
      <c r="H116">
        <v>0</v>
      </c>
      <c r="I116">
        <v>250</v>
      </c>
      <c r="J116">
        <v>0</v>
      </c>
      <c r="K116">
        <v>1000</v>
      </c>
    </row>
    <row r="117" spans="1:11" x14ac:dyDescent="0.3">
      <c r="A117" t="s">
        <v>169</v>
      </c>
      <c r="B117" t="s">
        <v>25</v>
      </c>
      <c r="C117" t="s">
        <v>25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>
        <v>2964.5</v>
      </c>
    </row>
    <row r="118" spans="1:11" x14ac:dyDescent="0.3">
      <c r="A118" t="s">
        <v>170</v>
      </c>
      <c r="B118" t="s">
        <v>25</v>
      </c>
      <c r="C118" t="s">
        <v>25</v>
      </c>
      <c r="D118">
        <v>5</v>
      </c>
      <c r="E118">
        <v>10</v>
      </c>
      <c r="F118">
        <v>175</v>
      </c>
      <c r="G118">
        <v>0</v>
      </c>
      <c r="H118">
        <v>0</v>
      </c>
      <c r="I118">
        <v>348</v>
      </c>
      <c r="J118">
        <v>0</v>
      </c>
      <c r="K118">
        <v>146.1</v>
      </c>
    </row>
    <row r="119" spans="1:11" x14ac:dyDescent="0.3">
      <c r="A119" t="s">
        <v>171</v>
      </c>
      <c r="B119" t="s">
        <v>25</v>
      </c>
      <c r="C119" t="s">
        <v>25</v>
      </c>
      <c r="D119">
        <v>12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25</v>
      </c>
    </row>
    <row r="120" spans="1:11" x14ac:dyDescent="0.3">
      <c r="A120" t="s">
        <v>172</v>
      </c>
      <c r="B120" t="s">
        <v>25</v>
      </c>
      <c r="C120" t="s">
        <v>25</v>
      </c>
      <c r="D120" t="s">
        <v>25</v>
      </c>
      <c r="E120">
        <v>0</v>
      </c>
      <c r="F120" t="s">
        <v>25</v>
      </c>
      <c r="G120">
        <v>0</v>
      </c>
      <c r="H120">
        <v>0</v>
      </c>
      <c r="I120">
        <v>0</v>
      </c>
      <c r="J120">
        <v>0</v>
      </c>
      <c r="K120">
        <v>43.5</v>
      </c>
    </row>
    <row r="121" spans="1:11" x14ac:dyDescent="0.3">
      <c r="A121" t="s">
        <v>173</v>
      </c>
      <c r="B121" t="s">
        <v>25</v>
      </c>
      <c r="C121">
        <v>101</v>
      </c>
      <c r="D121">
        <v>65</v>
      </c>
      <c r="E121">
        <v>57.5</v>
      </c>
      <c r="F121">
        <v>3456.25</v>
      </c>
      <c r="G121">
        <v>3081.3</v>
      </c>
      <c r="H121">
        <v>2906.3</v>
      </c>
      <c r="I121">
        <v>2862.5</v>
      </c>
      <c r="J121">
        <v>2514.5</v>
      </c>
      <c r="K121">
        <v>2655.8</v>
      </c>
    </row>
    <row r="122" spans="1:11" x14ac:dyDescent="0.3">
      <c r="A122" t="s">
        <v>174</v>
      </c>
      <c r="B122" t="s">
        <v>25</v>
      </c>
      <c r="C122">
        <v>149</v>
      </c>
      <c r="D122">
        <v>113</v>
      </c>
      <c r="E122" t="s">
        <v>25</v>
      </c>
      <c r="F122">
        <v>3456.25</v>
      </c>
      <c r="G122">
        <v>3081</v>
      </c>
      <c r="H122">
        <v>2906.3</v>
      </c>
      <c r="I122">
        <v>2862.5</v>
      </c>
      <c r="J122">
        <v>2514.5</v>
      </c>
      <c r="K122">
        <v>2655.8</v>
      </c>
    </row>
    <row r="123" spans="1:11" x14ac:dyDescent="0.3">
      <c r="A123" t="s">
        <v>175</v>
      </c>
      <c r="B123" t="s">
        <v>25</v>
      </c>
      <c r="C123">
        <v>0.13</v>
      </c>
      <c r="D123">
        <v>0.75800000000000001</v>
      </c>
      <c r="E123">
        <v>1.903</v>
      </c>
      <c r="F123">
        <v>1.9630000000000001</v>
      </c>
      <c r="G123">
        <v>3.1139999999999999</v>
      </c>
      <c r="H123">
        <v>4.0999999999999996</v>
      </c>
      <c r="I123">
        <v>0.7</v>
      </c>
      <c r="J123">
        <v>3.8</v>
      </c>
      <c r="K123">
        <v>4.8</v>
      </c>
    </row>
    <row r="124" spans="1:11" x14ac:dyDescent="0.3">
      <c r="A124" t="s">
        <v>176</v>
      </c>
      <c r="B124" t="s">
        <v>25</v>
      </c>
      <c r="C124">
        <v>11.553000000000001</v>
      </c>
      <c r="D124">
        <v>66.135999999999996</v>
      </c>
      <c r="E124">
        <v>302.59899999999999</v>
      </c>
      <c r="F124">
        <v>327.69900000000001</v>
      </c>
      <c r="G124" t="s">
        <v>25</v>
      </c>
      <c r="H124" t="s">
        <v>25</v>
      </c>
      <c r="I124" t="s">
        <v>25</v>
      </c>
      <c r="J124" t="s">
        <v>25</v>
      </c>
      <c r="K124" t="s">
        <v>25</v>
      </c>
    </row>
    <row r="125" spans="1:11" x14ac:dyDescent="0.3">
      <c r="A125" t="s">
        <v>177</v>
      </c>
      <c r="B125" t="s">
        <v>25</v>
      </c>
      <c r="C125" t="s">
        <v>25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>
        <v>182.9</v>
      </c>
      <c r="K125">
        <v>205.2</v>
      </c>
    </row>
    <row r="126" spans="1:11" x14ac:dyDescent="0.3">
      <c r="A126" t="s">
        <v>178</v>
      </c>
      <c r="B126" t="s">
        <v>25</v>
      </c>
      <c r="C126" t="s">
        <v>25</v>
      </c>
      <c r="D126" t="s">
        <v>25</v>
      </c>
      <c r="E126">
        <v>4.2770000000000001</v>
      </c>
      <c r="F126">
        <v>9</v>
      </c>
      <c r="G126">
        <v>14.8</v>
      </c>
      <c r="H126">
        <v>18.8</v>
      </c>
      <c r="I126">
        <v>25.4</v>
      </c>
      <c r="J126">
        <v>74.3</v>
      </c>
      <c r="K126">
        <v>157.6</v>
      </c>
    </row>
    <row r="127" spans="1:11" x14ac:dyDescent="0.3">
      <c r="A127" t="s">
        <v>179</v>
      </c>
      <c r="B127">
        <v>453.75900000000001</v>
      </c>
      <c r="C127">
        <v>830.79</v>
      </c>
      <c r="D127">
        <v>265.86599999999999</v>
      </c>
      <c r="E127">
        <v>1493.559</v>
      </c>
      <c r="F127">
        <v>1027</v>
      </c>
      <c r="G127">
        <v>865.1</v>
      </c>
      <c r="H127">
        <v>962.4</v>
      </c>
      <c r="I127">
        <v>937.8</v>
      </c>
      <c r="J127">
        <v>1063.2</v>
      </c>
      <c r="K127">
        <v>880.3</v>
      </c>
    </row>
    <row r="128" spans="1:11" x14ac:dyDescent="0.3">
      <c r="A128" t="s">
        <v>180</v>
      </c>
      <c r="B128" t="s">
        <v>25</v>
      </c>
      <c r="C128" t="s">
        <v>25</v>
      </c>
      <c r="D128" t="s">
        <v>25</v>
      </c>
      <c r="E128" t="s">
        <v>25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181</v>
      </c>
      <c r="B129">
        <v>453.75900000000001</v>
      </c>
      <c r="C129">
        <v>830.79</v>
      </c>
      <c r="D129">
        <v>265.86599999999999</v>
      </c>
      <c r="E129">
        <v>1497.836</v>
      </c>
      <c r="F129">
        <v>1036</v>
      </c>
      <c r="G129">
        <v>879.9</v>
      </c>
      <c r="H129">
        <v>981.2</v>
      </c>
      <c r="I129">
        <v>963.2</v>
      </c>
      <c r="J129">
        <v>1137.5</v>
      </c>
      <c r="K129">
        <v>1037.9000000000001</v>
      </c>
    </row>
    <row r="130" spans="1:11" x14ac:dyDescent="0.3">
      <c r="A130" t="s">
        <v>182</v>
      </c>
      <c r="B130" t="s">
        <v>25</v>
      </c>
      <c r="C130" t="s">
        <v>25</v>
      </c>
      <c r="D130" t="s">
        <v>25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t="s">
        <v>183</v>
      </c>
      <c r="B131">
        <v>10.474</v>
      </c>
      <c r="C131">
        <v>10.06</v>
      </c>
      <c r="D131">
        <v>35.091999999999999</v>
      </c>
      <c r="E131">
        <v>0.88</v>
      </c>
      <c r="F131">
        <v>10</v>
      </c>
      <c r="G131">
        <v>16.2</v>
      </c>
      <c r="H131">
        <v>74.5</v>
      </c>
      <c r="I131">
        <v>40</v>
      </c>
      <c r="J131">
        <v>89.1</v>
      </c>
      <c r="K131">
        <v>172.6</v>
      </c>
    </row>
    <row r="132" spans="1:11" x14ac:dyDescent="0.3">
      <c r="A132" t="s">
        <v>184</v>
      </c>
      <c r="B132">
        <v>18.12</v>
      </c>
      <c r="C132">
        <v>141.66999999999999</v>
      </c>
      <c r="D132">
        <v>142.67599999999999</v>
      </c>
      <c r="E132">
        <v>162.971</v>
      </c>
      <c r="F132">
        <v>177</v>
      </c>
      <c r="G132">
        <v>152.9</v>
      </c>
      <c r="H132">
        <v>168.9</v>
      </c>
      <c r="I132">
        <v>280.8</v>
      </c>
      <c r="J132">
        <v>216.4</v>
      </c>
      <c r="K132">
        <v>414.3</v>
      </c>
    </row>
    <row r="133" spans="1:11" x14ac:dyDescent="0.3">
      <c r="A133" t="s">
        <v>185</v>
      </c>
      <c r="B133">
        <v>28.594000000000001</v>
      </c>
      <c r="C133">
        <v>151.72999999999999</v>
      </c>
      <c r="D133">
        <v>177.768</v>
      </c>
      <c r="E133">
        <v>163.851</v>
      </c>
      <c r="F133">
        <v>187</v>
      </c>
      <c r="G133">
        <v>169.1</v>
      </c>
      <c r="H133">
        <v>243.4</v>
      </c>
      <c r="I133">
        <v>320.8</v>
      </c>
      <c r="J133">
        <v>305.5</v>
      </c>
      <c r="K133">
        <v>586.9</v>
      </c>
    </row>
    <row r="134" spans="1:11" x14ac:dyDescent="0.3">
      <c r="A134" t="s">
        <v>186</v>
      </c>
      <c r="B134">
        <v>0.27400000000000002</v>
      </c>
      <c r="C134">
        <v>0.25600000000000001</v>
      </c>
      <c r="D134">
        <v>0.45600000000000002</v>
      </c>
      <c r="E134">
        <v>0.26300000000000001</v>
      </c>
      <c r="F134">
        <v>0.33200000000000002</v>
      </c>
      <c r="G134">
        <v>1</v>
      </c>
      <c r="H134">
        <v>0.9</v>
      </c>
      <c r="I134">
        <v>1.2</v>
      </c>
      <c r="J134">
        <v>0.3</v>
      </c>
      <c r="K134">
        <v>0.1</v>
      </c>
    </row>
    <row r="135" spans="1:11" x14ac:dyDescent="0.3">
      <c r="A135" t="s">
        <v>187</v>
      </c>
      <c r="B135">
        <v>13.596</v>
      </c>
      <c r="C135" t="s">
        <v>25</v>
      </c>
      <c r="D135">
        <v>26.379000000000001</v>
      </c>
      <c r="E135">
        <v>36.213999999999999</v>
      </c>
      <c r="F135">
        <v>283.26900000000001</v>
      </c>
      <c r="G135">
        <v>116</v>
      </c>
      <c r="H135">
        <v>126.6</v>
      </c>
      <c r="I135">
        <v>457.6</v>
      </c>
      <c r="J135">
        <v>34.5</v>
      </c>
      <c r="K135">
        <v>283.5</v>
      </c>
    </row>
    <row r="136" spans="1:11" x14ac:dyDescent="0.3">
      <c r="A136" t="s">
        <v>188</v>
      </c>
      <c r="B136">
        <v>17.628</v>
      </c>
      <c r="C136" t="s">
        <v>25</v>
      </c>
      <c r="D136">
        <v>126.072</v>
      </c>
      <c r="E136">
        <v>105.21599999999999</v>
      </c>
      <c r="F136">
        <v>539.11199999999997</v>
      </c>
      <c r="G136">
        <v>539</v>
      </c>
      <c r="H136">
        <v>3105.2</v>
      </c>
      <c r="I136">
        <v>501.9</v>
      </c>
      <c r="J136">
        <v>713.2</v>
      </c>
      <c r="K136">
        <v>2526.4</v>
      </c>
    </row>
    <row r="137" spans="1:11" x14ac:dyDescent="0.3">
      <c r="A137" t="s">
        <v>189</v>
      </c>
      <c r="B137">
        <v>8.9719999999999995</v>
      </c>
      <c r="C137" t="s">
        <v>25</v>
      </c>
      <c r="D137">
        <v>30.411000000000001</v>
      </c>
      <c r="E137">
        <v>40.256999999999998</v>
      </c>
      <c r="F137">
        <v>3064.252</v>
      </c>
      <c r="G137">
        <v>2836</v>
      </c>
      <c r="H137">
        <v>58.9</v>
      </c>
      <c r="I137">
        <v>2423.6</v>
      </c>
      <c r="J137">
        <v>2214.5</v>
      </c>
      <c r="K137">
        <v>222.4</v>
      </c>
    </row>
    <row r="138" spans="1:11" x14ac:dyDescent="0.3">
      <c r="A138" t="s">
        <v>190</v>
      </c>
      <c r="B138">
        <v>41.249000000000002</v>
      </c>
      <c r="C138" t="s">
        <v>25</v>
      </c>
      <c r="D138">
        <v>14.468</v>
      </c>
      <c r="E138">
        <v>111.553</v>
      </c>
      <c r="F138">
        <v>187.82900000000001</v>
      </c>
      <c r="G138">
        <v>170</v>
      </c>
      <c r="H138">
        <v>211.6</v>
      </c>
      <c r="I138">
        <v>132.19999999999999</v>
      </c>
      <c r="J138">
        <v>166.7</v>
      </c>
      <c r="K138">
        <v>191.9</v>
      </c>
    </row>
    <row r="139" spans="1:11" x14ac:dyDescent="0.3">
      <c r="A139" t="s">
        <v>191</v>
      </c>
      <c r="B139">
        <v>51.454999999999998</v>
      </c>
      <c r="C139">
        <v>219.983</v>
      </c>
      <c r="D139">
        <v>197.869</v>
      </c>
      <c r="E139">
        <v>293.24</v>
      </c>
      <c r="F139">
        <v>4074.462</v>
      </c>
      <c r="G139">
        <v>3661</v>
      </c>
      <c r="H139">
        <v>3502.3</v>
      </c>
      <c r="I139">
        <v>3515.3</v>
      </c>
      <c r="J139">
        <v>3128.9</v>
      </c>
      <c r="K139">
        <v>3224.2</v>
      </c>
    </row>
    <row r="140" spans="1:11" x14ac:dyDescent="0.3">
      <c r="A140" t="s">
        <v>192</v>
      </c>
      <c r="B140">
        <v>0.77900000000000003</v>
      </c>
      <c r="C140" t="s">
        <v>25</v>
      </c>
      <c r="D140" t="s">
        <v>25</v>
      </c>
      <c r="E140">
        <v>1.9410000000000001</v>
      </c>
      <c r="F140">
        <v>14.391</v>
      </c>
      <c r="G140">
        <v>24</v>
      </c>
      <c r="H140">
        <v>15.2</v>
      </c>
      <c r="I140">
        <v>13.7</v>
      </c>
      <c r="J140">
        <v>8.8000000000000007</v>
      </c>
      <c r="K140">
        <v>9</v>
      </c>
    </row>
    <row r="141" spans="1:11" x14ac:dyDescent="0.3">
      <c r="A141" t="s">
        <v>193</v>
      </c>
      <c r="B141">
        <v>0.191</v>
      </c>
      <c r="C141" t="s">
        <v>25</v>
      </c>
      <c r="D141" t="s">
        <v>25</v>
      </c>
      <c r="E141">
        <v>11.651</v>
      </c>
      <c r="F141">
        <v>14.907</v>
      </c>
      <c r="G141">
        <v>15</v>
      </c>
      <c r="H141">
        <v>19.8</v>
      </c>
      <c r="I141">
        <v>15.4</v>
      </c>
      <c r="J141">
        <v>9</v>
      </c>
      <c r="K141">
        <v>9.1999999999999993</v>
      </c>
    </row>
    <row r="142" spans="1:11" x14ac:dyDescent="0.3">
      <c r="A142" t="s">
        <v>194</v>
      </c>
      <c r="B142">
        <v>3.0000000000000001E-3</v>
      </c>
      <c r="C142" t="s">
        <v>25</v>
      </c>
      <c r="D142" t="s">
        <v>25</v>
      </c>
      <c r="E142">
        <v>11.651</v>
      </c>
      <c r="F142">
        <v>15.131</v>
      </c>
      <c r="G142">
        <v>16</v>
      </c>
      <c r="H142">
        <v>22.2</v>
      </c>
      <c r="I142">
        <v>15.7</v>
      </c>
      <c r="J142">
        <v>9.1999999999999993</v>
      </c>
      <c r="K142">
        <v>9.1999999999999993</v>
      </c>
    </row>
    <row r="143" spans="1:11" x14ac:dyDescent="0.3">
      <c r="A143" t="s">
        <v>195</v>
      </c>
      <c r="B143" t="s">
        <v>25</v>
      </c>
      <c r="C143" t="s">
        <v>25</v>
      </c>
      <c r="D143" t="s">
        <v>25</v>
      </c>
      <c r="E143">
        <v>11.738</v>
      </c>
      <c r="F143">
        <v>15.581</v>
      </c>
      <c r="G143">
        <v>16</v>
      </c>
      <c r="H143">
        <v>22.6</v>
      </c>
      <c r="I143">
        <v>16</v>
      </c>
      <c r="J143">
        <v>9.1999999999999993</v>
      </c>
      <c r="K143">
        <v>9.4</v>
      </c>
    </row>
    <row r="144" spans="1:11" x14ac:dyDescent="0.3">
      <c r="A144" t="s">
        <v>196</v>
      </c>
      <c r="B144" t="s">
        <v>25</v>
      </c>
      <c r="C144" t="s">
        <v>25</v>
      </c>
      <c r="D144" t="s">
        <v>25</v>
      </c>
      <c r="E144">
        <v>12.177</v>
      </c>
      <c r="F144">
        <v>15.581</v>
      </c>
      <c r="G144">
        <v>16</v>
      </c>
      <c r="H144">
        <v>23.1</v>
      </c>
      <c r="I144">
        <v>16.2</v>
      </c>
      <c r="J144">
        <v>9.4</v>
      </c>
      <c r="K144">
        <v>9.6</v>
      </c>
    </row>
    <row r="145" spans="1:11" x14ac:dyDescent="0.3">
      <c r="A145" t="s">
        <v>197</v>
      </c>
      <c r="B145" t="s">
        <v>25</v>
      </c>
      <c r="C145" t="s">
        <v>25</v>
      </c>
      <c r="D145" t="s">
        <v>25</v>
      </c>
      <c r="E145">
        <v>100.371</v>
      </c>
      <c r="F145">
        <v>163.529</v>
      </c>
      <c r="G145">
        <v>146</v>
      </c>
      <c r="H145">
        <v>193.7</v>
      </c>
      <c r="I145">
        <v>120.6</v>
      </c>
      <c r="J145">
        <v>54.6</v>
      </c>
      <c r="K145">
        <v>45</v>
      </c>
    </row>
    <row r="146" spans="1:11" x14ac:dyDescent="0.3">
      <c r="A146" t="s">
        <v>198</v>
      </c>
      <c r="B146">
        <v>0.97299999999999998</v>
      </c>
      <c r="C146" t="s">
        <v>25</v>
      </c>
      <c r="D146" t="s">
        <v>25</v>
      </c>
      <c r="E146">
        <v>149.529</v>
      </c>
      <c r="F146">
        <v>239.12</v>
      </c>
      <c r="G146" t="s">
        <v>25</v>
      </c>
      <c r="H146" t="s">
        <v>25</v>
      </c>
      <c r="I146" t="s">
        <v>25</v>
      </c>
      <c r="J146">
        <v>100.2</v>
      </c>
      <c r="K146">
        <v>91.4</v>
      </c>
    </row>
    <row r="147" spans="1:11" x14ac:dyDescent="0.3">
      <c r="A147" t="s">
        <v>199</v>
      </c>
      <c r="B147" t="s">
        <v>25</v>
      </c>
      <c r="C147" t="s">
        <v>25</v>
      </c>
      <c r="D147" t="s">
        <v>25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>
        <v>182.9</v>
      </c>
      <c r="K147">
        <v>205.2</v>
      </c>
    </row>
    <row r="148" spans="1:11" x14ac:dyDescent="0.3">
      <c r="A148" t="s">
        <v>200</v>
      </c>
      <c r="B148" t="s">
        <v>25</v>
      </c>
      <c r="C148" t="s">
        <v>25</v>
      </c>
      <c r="D148">
        <v>48</v>
      </c>
      <c r="E148">
        <v>47.5</v>
      </c>
      <c r="F148">
        <v>350</v>
      </c>
      <c r="G148">
        <v>325</v>
      </c>
      <c r="H148">
        <v>2906.3</v>
      </c>
      <c r="I148">
        <v>261.2</v>
      </c>
      <c r="J148">
        <v>391.9</v>
      </c>
      <c r="K148">
        <v>2326.1</v>
      </c>
    </row>
    <row r="149" spans="1:11" x14ac:dyDescent="0.3">
      <c r="A149" t="s">
        <v>201</v>
      </c>
      <c r="B149" t="s">
        <v>25</v>
      </c>
      <c r="C149" t="s">
        <v>25</v>
      </c>
      <c r="D149" t="s">
        <v>25</v>
      </c>
      <c r="E149">
        <v>0</v>
      </c>
      <c r="F149">
        <v>2931.25</v>
      </c>
      <c r="G149">
        <v>2756</v>
      </c>
      <c r="H149">
        <v>0</v>
      </c>
      <c r="I149">
        <v>2253.3000000000002</v>
      </c>
      <c r="J149">
        <v>2122.6</v>
      </c>
      <c r="K149">
        <v>140.1</v>
      </c>
    </row>
    <row r="150" spans="1:11" x14ac:dyDescent="0.3">
      <c r="A150" t="s">
        <v>202</v>
      </c>
      <c r="B150">
        <v>15.46</v>
      </c>
      <c r="C150">
        <v>24.04</v>
      </c>
      <c r="D150">
        <v>23.99</v>
      </c>
      <c r="E150">
        <v>51.22</v>
      </c>
      <c r="F150">
        <v>53.03</v>
      </c>
      <c r="G150">
        <v>41.46</v>
      </c>
      <c r="H150" t="s">
        <v>25</v>
      </c>
      <c r="I150" t="s">
        <v>25</v>
      </c>
      <c r="J150" t="s">
        <v>25</v>
      </c>
      <c r="K150" t="s">
        <v>25</v>
      </c>
    </row>
    <row r="151" spans="1:11" x14ac:dyDescent="0.3">
      <c r="A151" t="s">
        <v>203</v>
      </c>
      <c r="B151" t="s">
        <v>25</v>
      </c>
      <c r="C151">
        <v>3.7450000000000001</v>
      </c>
      <c r="D151">
        <v>0.755</v>
      </c>
      <c r="E151" t="s">
        <v>25</v>
      </c>
      <c r="F151" t="s">
        <v>25</v>
      </c>
      <c r="G151" t="s">
        <v>25</v>
      </c>
      <c r="H151" t="s">
        <v>25</v>
      </c>
      <c r="I151" t="s">
        <v>25</v>
      </c>
      <c r="J151" t="s">
        <v>25</v>
      </c>
      <c r="K151" t="s">
        <v>25</v>
      </c>
    </row>
    <row r="152" spans="1:11" x14ac:dyDescent="0.3">
      <c r="A152" t="s">
        <v>204</v>
      </c>
      <c r="B152" t="s">
        <v>25</v>
      </c>
      <c r="C152">
        <v>1.23</v>
      </c>
      <c r="D152">
        <v>4.335</v>
      </c>
      <c r="E152" t="s">
        <v>25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</row>
    <row r="153" spans="1:11" x14ac:dyDescent="0.3">
      <c r="A153" t="s">
        <v>205</v>
      </c>
      <c r="B153" t="s">
        <v>25</v>
      </c>
      <c r="C153">
        <v>34.195</v>
      </c>
      <c r="D153">
        <v>33.369999999999997</v>
      </c>
      <c r="E153" t="s">
        <v>25</v>
      </c>
      <c r="F153" t="s">
        <v>25</v>
      </c>
      <c r="G153" t="s">
        <v>25</v>
      </c>
      <c r="H153" t="s">
        <v>25</v>
      </c>
      <c r="I153" t="s">
        <v>25</v>
      </c>
      <c r="J153" t="s">
        <v>25</v>
      </c>
      <c r="K153" t="s">
        <v>25</v>
      </c>
    </row>
    <row r="154" spans="1:11" x14ac:dyDescent="0.3">
      <c r="A154" t="s">
        <v>206</v>
      </c>
      <c r="B154">
        <v>0</v>
      </c>
      <c r="C154" t="s">
        <v>25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25</v>
      </c>
    </row>
    <row r="155" spans="1:11" x14ac:dyDescent="0.3">
      <c r="A155" t="s">
        <v>207</v>
      </c>
      <c r="B155">
        <v>15.04</v>
      </c>
      <c r="C155">
        <v>21.64</v>
      </c>
      <c r="D155">
        <v>30.26</v>
      </c>
      <c r="E155">
        <v>48.59</v>
      </c>
      <c r="F155">
        <v>74.89</v>
      </c>
      <c r="G155">
        <v>97.02</v>
      </c>
      <c r="H155">
        <v>119.57</v>
      </c>
      <c r="I155">
        <v>117.73</v>
      </c>
      <c r="J155">
        <v>119.15</v>
      </c>
      <c r="K155">
        <v>134.35</v>
      </c>
    </row>
    <row r="156" spans="1:11" x14ac:dyDescent="0.3">
      <c r="A156" t="s">
        <v>208</v>
      </c>
      <c r="B156">
        <v>21.83</v>
      </c>
      <c r="C156">
        <v>35.92</v>
      </c>
      <c r="D156">
        <v>50.69</v>
      </c>
      <c r="E156">
        <v>85.65</v>
      </c>
      <c r="F156">
        <v>110.15</v>
      </c>
      <c r="G156">
        <v>116.65</v>
      </c>
      <c r="H156">
        <v>124.71</v>
      </c>
      <c r="I156">
        <v>119.68</v>
      </c>
      <c r="J156">
        <v>119.51</v>
      </c>
      <c r="K156">
        <v>134.15</v>
      </c>
    </row>
    <row r="157" spans="1:11" x14ac:dyDescent="0.3">
      <c r="A157" t="s">
        <v>209</v>
      </c>
      <c r="B157">
        <v>7.2460000000000004</v>
      </c>
      <c r="C157">
        <v>5.5970000000000004</v>
      </c>
      <c r="D157">
        <v>5.1539999999999999</v>
      </c>
      <c r="E157">
        <v>3.44</v>
      </c>
      <c r="F157">
        <v>3.57</v>
      </c>
      <c r="G157">
        <v>4</v>
      </c>
      <c r="H157">
        <v>4</v>
      </c>
      <c r="I157">
        <v>3.2</v>
      </c>
      <c r="J157">
        <v>2.9</v>
      </c>
      <c r="K157">
        <v>2.2000000000000002</v>
      </c>
    </row>
    <row r="158" spans="1:11" x14ac:dyDescent="0.3">
      <c r="A158" t="s">
        <v>210</v>
      </c>
      <c r="B158">
        <v>6.4000000000000001E-2</v>
      </c>
      <c r="C158" t="s">
        <v>25</v>
      </c>
      <c r="D158" t="s">
        <v>25</v>
      </c>
      <c r="E158" t="s">
        <v>25</v>
      </c>
      <c r="F158" t="s">
        <v>25</v>
      </c>
      <c r="G158" t="s">
        <v>25</v>
      </c>
      <c r="H158" t="s">
        <v>25</v>
      </c>
      <c r="I158" t="s">
        <v>25</v>
      </c>
      <c r="J158">
        <v>22.1</v>
      </c>
      <c r="K158">
        <v>18.5</v>
      </c>
    </row>
    <row r="159" spans="1:11" x14ac:dyDescent="0.3">
      <c r="A159" t="s">
        <v>211</v>
      </c>
      <c r="B159">
        <v>3.0739999999999998</v>
      </c>
      <c r="C159">
        <v>2.9409999999999998</v>
      </c>
      <c r="D159">
        <v>1.9339999999999999</v>
      </c>
      <c r="E159">
        <v>1.117</v>
      </c>
      <c r="F159">
        <v>5</v>
      </c>
      <c r="G159">
        <v>3.6</v>
      </c>
      <c r="H159">
        <v>3.4</v>
      </c>
      <c r="I159">
        <v>19.600000000000001</v>
      </c>
      <c r="J159">
        <v>72.599999999999994</v>
      </c>
      <c r="K159">
        <v>276</v>
      </c>
    </row>
    <row r="160" spans="1:11" x14ac:dyDescent="0.3">
      <c r="A160" t="s">
        <v>212</v>
      </c>
      <c r="B160" t="s">
        <v>25</v>
      </c>
      <c r="C160">
        <v>400</v>
      </c>
      <c r="D160">
        <v>400</v>
      </c>
      <c r="E160">
        <v>900</v>
      </c>
      <c r="F160">
        <v>1000</v>
      </c>
      <c r="G160">
        <v>1000</v>
      </c>
      <c r="H160">
        <v>1000</v>
      </c>
      <c r="I160">
        <v>1000</v>
      </c>
      <c r="J160">
        <v>2000</v>
      </c>
      <c r="K160">
        <v>2500</v>
      </c>
    </row>
    <row r="161" spans="1:11" x14ac:dyDescent="0.3">
      <c r="A161" t="s">
        <v>213</v>
      </c>
      <c r="B161" t="s">
        <v>25</v>
      </c>
      <c r="C161">
        <v>388.447</v>
      </c>
      <c r="D161">
        <v>322.31099999999998</v>
      </c>
      <c r="E161">
        <v>519.71199999999999</v>
      </c>
      <c r="F161">
        <v>755.86400000000003</v>
      </c>
      <c r="G161">
        <v>325</v>
      </c>
      <c r="H161">
        <v>536.4</v>
      </c>
      <c r="I161">
        <v>451.5</v>
      </c>
      <c r="J161">
        <v>1035.5</v>
      </c>
      <c r="K161">
        <v>2024.7</v>
      </c>
    </row>
    <row r="162" spans="1:11" x14ac:dyDescent="0.3">
      <c r="A162" t="s">
        <v>214</v>
      </c>
      <c r="B162" t="s">
        <v>25</v>
      </c>
      <c r="C162" t="s">
        <v>25</v>
      </c>
      <c r="D162" t="s">
        <v>25</v>
      </c>
      <c r="E162" t="s">
        <v>25</v>
      </c>
      <c r="F162" t="s">
        <v>25</v>
      </c>
      <c r="G162">
        <v>0</v>
      </c>
      <c r="H162">
        <v>0</v>
      </c>
      <c r="I162" t="s">
        <v>25</v>
      </c>
      <c r="J162" t="s">
        <v>25</v>
      </c>
      <c r="K162">
        <v>0</v>
      </c>
    </row>
    <row r="163" spans="1:11" x14ac:dyDescent="0.3">
      <c r="A163" t="s">
        <v>215</v>
      </c>
      <c r="B163" t="s">
        <v>25</v>
      </c>
      <c r="C163" t="s">
        <v>25</v>
      </c>
      <c r="D163" t="s">
        <v>25</v>
      </c>
      <c r="E163" t="s">
        <v>25</v>
      </c>
      <c r="F163" t="s">
        <v>25</v>
      </c>
      <c r="G163">
        <v>0</v>
      </c>
      <c r="H163">
        <v>0</v>
      </c>
      <c r="I163" t="s">
        <v>25</v>
      </c>
      <c r="J163" t="s">
        <v>25</v>
      </c>
      <c r="K163" t="s">
        <v>25</v>
      </c>
    </row>
    <row r="164" spans="1:11" x14ac:dyDescent="0.3">
      <c r="A164" t="s">
        <v>216</v>
      </c>
      <c r="B164" t="s">
        <v>25</v>
      </c>
      <c r="C164" t="s">
        <v>25</v>
      </c>
      <c r="D164" t="s">
        <v>25</v>
      </c>
      <c r="E164" t="s">
        <v>25</v>
      </c>
      <c r="F164" t="s">
        <v>25</v>
      </c>
      <c r="G164">
        <v>0</v>
      </c>
      <c r="H164">
        <v>0</v>
      </c>
      <c r="I164" t="s">
        <v>25</v>
      </c>
      <c r="J164" t="s">
        <v>25</v>
      </c>
      <c r="K164" t="s">
        <v>25</v>
      </c>
    </row>
    <row r="165" spans="1:11" x14ac:dyDescent="0.3">
      <c r="A165" t="s">
        <v>217</v>
      </c>
      <c r="B165" t="s">
        <v>25</v>
      </c>
      <c r="C165" t="s">
        <v>25</v>
      </c>
      <c r="D165" t="s">
        <v>25</v>
      </c>
      <c r="E165" t="s">
        <v>25</v>
      </c>
      <c r="F165" t="s">
        <v>25</v>
      </c>
      <c r="G165">
        <v>0</v>
      </c>
      <c r="H165">
        <v>0</v>
      </c>
      <c r="I165" t="s">
        <v>25</v>
      </c>
      <c r="J165">
        <v>23.1</v>
      </c>
      <c r="K165">
        <v>34.9</v>
      </c>
    </row>
    <row r="166" spans="1:11" x14ac:dyDescent="0.3">
      <c r="A166" t="s">
        <v>218</v>
      </c>
      <c r="B166" t="s">
        <v>25</v>
      </c>
      <c r="C166" t="s">
        <v>25</v>
      </c>
      <c r="D166" t="s">
        <v>25</v>
      </c>
      <c r="E166" t="s">
        <v>25</v>
      </c>
      <c r="F166" t="s">
        <v>25</v>
      </c>
      <c r="G166">
        <v>14.8</v>
      </c>
      <c r="H166">
        <v>18.8</v>
      </c>
      <c r="I166" t="s">
        <v>25</v>
      </c>
      <c r="J166" t="s">
        <v>25</v>
      </c>
      <c r="K166">
        <v>122.7</v>
      </c>
    </row>
    <row r="167" spans="1:11" x14ac:dyDescent="0.3">
      <c r="A167" t="s">
        <v>219</v>
      </c>
      <c r="B167" t="s">
        <v>25</v>
      </c>
      <c r="C167" t="s">
        <v>25</v>
      </c>
      <c r="D167" t="s">
        <v>25</v>
      </c>
      <c r="E167" t="s">
        <v>25</v>
      </c>
      <c r="F167">
        <v>9</v>
      </c>
      <c r="G167">
        <v>0</v>
      </c>
      <c r="H167">
        <v>0</v>
      </c>
      <c r="I167" t="s">
        <v>25</v>
      </c>
      <c r="J167">
        <v>51.2</v>
      </c>
      <c r="K167" t="s">
        <v>25</v>
      </c>
    </row>
    <row r="168" spans="1:11" x14ac:dyDescent="0.3">
      <c r="A168" t="s">
        <v>220</v>
      </c>
      <c r="B168" t="s">
        <v>25</v>
      </c>
      <c r="C168" t="s">
        <v>25</v>
      </c>
      <c r="D168" t="s">
        <v>25</v>
      </c>
      <c r="E168" t="s">
        <v>25</v>
      </c>
      <c r="F168">
        <v>434</v>
      </c>
      <c r="G168">
        <v>346.3</v>
      </c>
      <c r="H168">
        <v>37.700000000000003</v>
      </c>
      <c r="I168" t="s">
        <v>25</v>
      </c>
      <c r="J168">
        <v>863.8</v>
      </c>
      <c r="K168">
        <v>833.7</v>
      </c>
    </row>
    <row r="169" spans="1:11" x14ac:dyDescent="0.3">
      <c r="A169" t="s">
        <v>221</v>
      </c>
      <c r="B169" t="s">
        <v>25</v>
      </c>
      <c r="C169" t="s">
        <v>25</v>
      </c>
      <c r="D169" t="s">
        <v>25</v>
      </c>
      <c r="E169" t="s">
        <v>25</v>
      </c>
      <c r="F169">
        <v>220</v>
      </c>
      <c r="G169">
        <v>196.9</v>
      </c>
      <c r="H169">
        <v>442.8</v>
      </c>
      <c r="I169" t="s">
        <v>25</v>
      </c>
      <c r="J169">
        <v>20.6</v>
      </c>
      <c r="K169" t="s">
        <v>25</v>
      </c>
    </row>
    <row r="170" spans="1:11" x14ac:dyDescent="0.3">
      <c r="A170" t="s">
        <v>222</v>
      </c>
      <c r="B170" t="s">
        <v>25</v>
      </c>
      <c r="C170" t="s">
        <v>25</v>
      </c>
      <c r="D170" t="s">
        <v>25</v>
      </c>
      <c r="E170" t="s">
        <v>25</v>
      </c>
      <c r="F170" t="s">
        <v>25</v>
      </c>
      <c r="G170">
        <v>51.1</v>
      </c>
      <c r="H170">
        <v>421.3</v>
      </c>
      <c r="I170" t="s">
        <v>25</v>
      </c>
      <c r="J170">
        <v>19.2</v>
      </c>
      <c r="K170" t="s">
        <v>25</v>
      </c>
    </row>
    <row r="171" spans="1:11" x14ac:dyDescent="0.3">
      <c r="A171" t="s">
        <v>223</v>
      </c>
      <c r="B171" t="s">
        <v>25</v>
      </c>
      <c r="C171" t="s">
        <v>25</v>
      </c>
      <c r="D171" t="s">
        <v>25</v>
      </c>
      <c r="E171" t="s">
        <v>25</v>
      </c>
      <c r="F171">
        <v>215</v>
      </c>
      <c r="G171">
        <v>104.4</v>
      </c>
      <c r="H171">
        <v>11.8</v>
      </c>
      <c r="I171" t="s">
        <v>25</v>
      </c>
      <c r="J171" t="s">
        <v>25</v>
      </c>
      <c r="K171" t="s">
        <v>25</v>
      </c>
    </row>
    <row r="172" spans="1:11" x14ac:dyDescent="0.3">
      <c r="A172" t="s">
        <v>224</v>
      </c>
      <c r="B172" t="s">
        <v>25</v>
      </c>
      <c r="C172" t="s">
        <v>25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>
        <v>19</v>
      </c>
      <c r="K172" t="s">
        <v>25</v>
      </c>
    </row>
    <row r="173" spans="1:11" x14ac:dyDescent="0.3">
      <c r="A173" t="s">
        <v>225</v>
      </c>
      <c r="B173" t="s">
        <v>25</v>
      </c>
      <c r="C173" t="s">
        <v>25</v>
      </c>
      <c r="D173" t="s">
        <v>25</v>
      </c>
      <c r="E173" t="s">
        <v>25</v>
      </c>
      <c r="F173" t="s">
        <v>25</v>
      </c>
      <c r="G173" t="s">
        <v>25</v>
      </c>
      <c r="H173" t="s">
        <v>25</v>
      </c>
      <c r="I173" t="s">
        <v>25</v>
      </c>
      <c r="J173">
        <v>3.7</v>
      </c>
      <c r="K173">
        <v>20.5</v>
      </c>
    </row>
    <row r="174" spans="1:11" x14ac:dyDescent="0.3">
      <c r="A174" t="s">
        <v>226</v>
      </c>
      <c r="B174" t="s">
        <v>25</v>
      </c>
      <c r="C174" t="s">
        <v>25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>
        <v>60.4</v>
      </c>
      <c r="K174" t="s">
        <v>25</v>
      </c>
    </row>
    <row r="175" spans="1:11" x14ac:dyDescent="0.3">
      <c r="A175" t="s">
        <v>227</v>
      </c>
      <c r="B175" t="s">
        <v>25</v>
      </c>
      <c r="C175" t="s">
        <v>25</v>
      </c>
      <c r="D175" t="s">
        <v>25</v>
      </c>
      <c r="E175" t="s">
        <v>25</v>
      </c>
      <c r="F175">
        <v>158</v>
      </c>
      <c r="G175" t="s">
        <v>25</v>
      </c>
      <c r="H175" t="s">
        <v>25</v>
      </c>
      <c r="I175" t="s">
        <v>25</v>
      </c>
      <c r="J175" t="s">
        <v>25</v>
      </c>
      <c r="K175" t="s">
        <v>25</v>
      </c>
    </row>
    <row r="176" spans="1:11" x14ac:dyDescent="0.3">
      <c r="A176" t="s">
        <v>228</v>
      </c>
      <c r="B176" t="s">
        <v>25</v>
      </c>
      <c r="C176" t="s">
        <v>25</v>
      </c>
      <c r="D176" t="s">
        <v>25</v>
      </c>
      <c r="E176" t="s">
        <v>25</v>
      </c>
      <c r="F176" t="s">
        <v>25</v>
      </c>
      <c r="G176">
        <v>166.4</v>
      </c>
      <c r="H176">
        <v>48.8</v>
      </c>
      <c r="I176" t="s">
        <v>25</v>
      </c>
      <c r="J176">
        <v>76.5</v>
      </c>
      <c r="K176">
        <v>26.1</v>
      </c>
    </row>
    <row r="177" spans="1:11" x14ac:dyDescent="0.3">
      <c r="A177" t="s">
        <v>229</v>
      </c>
      <c r="B177" t="s">
        <v>25</v>
      </c>
      <c r="C177" t="s">
        <v>25</v>
      </c>
      <c r="D177" t="s">
        <v>25</v>
      </c>
      <c r="E177" t="s">
        <v>25</v>
      </c>
      <c r="F177" t="s">
        <v>25</v>
      </c>
      <c r="G177" t="s">
        <v>25</v>
      </c>
      <c r="H177" t="s">
        <v>25</v>
      </c>
      <c r="I177" t="s">
        <v>25</v>
      </c>
      <c r="J177">
        <v>0</v>
      </c>
      <c r="K177">
        <v>0</v>
      </c>
    </row>
    <row r="178" spans="1:11" x14ac:dyDescent="0.3">
      <c r="A178" t="s">
        <v>230</v>
      </c>
      <c r="B178" t="s">
        <v>25</v>
      </c>
      <c r="C178" t="s">
        <v>25</v>
      </c>
      <c r="D178" t="s">
        <v>25</v>
      </c>
      <c r="E178" t="s">
        <v>25</v>
      </c>
      <c r="F178">
        <v>0</v>
      </c>
      <c r="G178" t="s">
        <v>25</v>
      </c>
      <c r="H178" t="s">
        <v>25</v>
      </c>
      <c r="I178" t="s">
        <v>25</v>
      </c>
      <c r="J178" t="s">
        <v>25</v>
      </c>
      <c r="K178" t="s">
        <v>25</v>
      </c>
    </row>
    <row r="179" spans="1:11" x14ac:dyDescent="0.3">
      <c r="A179" t="s">
        <v>231</v>
      </c>
      <c r="B179" t="s">
        <v>25</v>
      </c>
      <c r="C179" t="s">
        <v>25</v>
      </c>
      <c r="D179" t="s">
        <v>25</v>
      </c>
      <c r="E179" t="s">
        <v>25</v>
      </c>
      <c r="F179">
        <v>0</v>
      </c>
      <c r="G179" t="s">
        <v>25</v>
      </c>
      <c r="H179" t="s">
        <v>25</v>
      </c>
      <c r="I179" t="s">
        <v>25</v>
      </c>
      <c r="J179" t="s">
        <v>25</v>
      </c>
      <c r="K179">
        <v>0</v>
      </c>
    </row>
    <row r="180" spans="1:11" x14ac:dyDescent="0.3">
      <c r="A180" t="s">
        <v>232</v>
      </c>
      <c r="B180" t="s">
        <v>25</v>
      </c>
      <c r="C180" t="s">
        <v>25</v>
      </c>
      <c r="D180" t="s">
        <v>25</v>
      </c>
      <c r="E180" t="s">
        <v>25</v>
      </c>
      <c r="F180" t="s">
        <v>25</v>
      </c>
      <c r="G180">
        <v>0</v>
      </c>
      <c r="H180">
        <v>0</v>
      </c>
      <c r="I180" t="s">
        <v>25</v>
      </c>
      <c r="J180" t="s">
        <v>25</v>
      </c>
      <c r="K180" t="s">
        <v>25</v>
      </c>
    </row>
    <row r="181" spans="1:11" x14ac:dyDescent="0.3">
      <c r="A181" t="s">
        <v>233</v>
      </c>
      <c r="B181" t="s">
        <v>25</v>
      </c>
      <c r="C181" t="s">
        <v>25</v>
      </c>
      <c r="D181" t="s">
        <v>25</v>
      </c>
      <c r="E181" t="s">
        <v>25</v>
      </c>
      <c r="F181" t="s">
        <v>25</v>
      </c>
      <c r="G181">
        <v>0</v>
      </c>
      <c r="H181">
        <v>0</v>
      </c>
      <c r="I181" t="s">
        <v>25</v>
      </c>
      <c r="J181" t="s">
        <v>25</v>
      </c>
      <c r="K181">
        <v>0</v>
      </c>
    </row>
    <row r="182" spans="1:11" x14ac:dyDescent="0.3">
      <c r="A182" t="s">
        <v>234</v>
      </c>
      <c r="B182" t="s">
        <v>25</v>
      </c>
      <c r="C182" t="s">
        <v>25</v>
      </c>
      <c r="D182" t="s">
        <v>25</v>
      </c>
      <c r="E182" t="s">
        <v>25</v>
      </c>
      <c r="F182" t="s">
        <v>25</v>
      </c>
      <c r="G182">
        <v>0</v>
      </c>
      <c r="H182">
        <v>0</v>
      </c>
      <c r="I182" t="s">
        <v>25</v>
      </c>
      <c r="J182" t="s">
        <v>25</v>
      </c>
      <c r="K182">
        <v>0</v>
      </c>
    </row>
    <row r="183" spans="1:11" x14ac:dyDescent="0.3">
      <c r="A183" t="s">
        <v>235</v>
      </c>
      <c r="B183" t="s">
        <v>25</v>
      </c>
      <c r="C183" t="s">
        <v>25</v>
      </c>
      <c r="D183" t="s">
        <v>25</v>
      </c>
      <c r="E183" t="s">
        <v>25</v>
      </c>
      <c r="F183">
        <v>0</v>
      </c>
      <c r="G183">
        <v>0</v>
      </c>
      <c r="H183">
        <v>0</v>
      </c>
      <c r="I183" t="s">
        <v>25</v>
      </c>
      <c r="J183">
        <v>0</v>
      </c>
      <c r="K183" t="s">
        <v>25</v>
      </c>
    </row>
    <row r="184" spans="1:11" x14ac:dyDescent="0.3">
      <c r="A184" t="s">
        <v>236</v>
      </c>
      <c r="B184" t="s">
        <v>25</v>
      </c>
      <c r="C184" t="s">
        <v>25</v>
      </c>
      <c r="D184" t="s">
        <v>25</v>
      </c>
      <c r="E184" t="s">
        <v>25</v>
      </c>
      <c r="F184">
        <v>10</v>
      </c>
      <c r="G184">
        <v>12</v>
      </c>
      <c r="H184">
        <v>74.5</v>
      </c>
      <c r="I184" t="s">
        <v>25</v>
      </c>
      <c r="J184" t="s">
        <v>25</v>
      </c>
      <c r="K184">
        <v>172.6</v>
      </c>
    </row>
    <row r="185" spans="1:11" x14ac:dyDescent="0.3">
      <c r="A185" t="s">
        <v>237</v>
      </c>
      <c r="B185" t="s">
        <v>25</v>
      </c>
      <c r="C185" t="s">
        <v>25</v>
      </c>
      <c r="D185" t="s">
        <v>25</v>
      </c>
      <c r="E185" t="s">
        <v>25</v>
      </c>
      <c r="F185" t="s">
        <v>25</v>
      </c>
      <c r="G185">
        <v>4.2</v>
      </c>
      <c r="H185">
        <v>0</v>
      </c>
      <c r="I185" t="s">
        <v>25</v>
      </c>
      <c r="J185">
        <v>89.1</v>
      </c>
      <c r="K185">
        <v>0</v>
      </c>
    </row>
    <row r="186" spans="1:11" x14ac:dyDescent="0.3">
      <c r="A186" t="s">
        <v>238</v>
      </c>
      <c r="B186" t="s">
        <v>25</v>
      </c>
      <c r="C186" t="s">
        <v>25</v>
      </c>
      <c r="D186" t="s">
        <v>25</v>
      </c>
      <c r="E186" t="s">
        <v>25</v>
      </c>
      <c r="F186" t="s">
        <v>25</v>
      </c>
      <c r="G186" t="s">
        <v>25</v>
      </c>
      <c r="H186" t="s">
        <v>25</v>
      </c>
      <c r="I186" t="s">
        <v>25</v>
      </c>
      <c r="J186" t="s">
        <v>25</v>
      </c>
      <c r="K186">
        <v>0</v>
      </c>
    </row>
    <row r="187" spans="1:11" x14ac:dyDescent="0.3">
      <c r="A187" t="s">
        <v>239</v>
      </c>
      <c r="B187" t="s">
        <v>25</v>
      </c>
      <c r="C187" t="s">
        <v>25</v>
      </c>
      <c r="D187" t="s">
        <v>25</v>
      </c>
      <c r="E187" t="s">
        <v>25</v>
      </c>
      <c r="F187">
        <v>177</v>
      </c>
      <c r="G187">
        <v>152.9</v>
      </c>
      <c r="H187">
        <v>168.9</v>
      </c>
      <c r="I187" t="s">
        <v>25</v>
      </c>
      <c r="J187">
        <v>216.4</v>
      </c>
      <c r="K187">
        <v>414.3</v>
      </c>
    </row>
    <row r="188" spans="1:11" x14ac:dyDescent="0.3">
      <c r="A188" t="s">
        <v>240</v>
      </c>
      <c r="B188" t="s">
        <v>25</v>
      </c>
      <c r="C188" t="s">
        <v>25</v>
      </c>
      <c r="D188" t="s">
        <v>25</v>
      </c>
      <c r="E188" t="s">
        <v>25</v>
      </c>
      <c r="F188" t="s">
        <v>25</v>
      </c>
      <c r="G188" t="s">
        <v>25</v>
      </c>
      <c r="H188" t="s">
        <v>25</v>
      </c>
      <c r="I188" t="s">
        <v>25</v>
      </c>
      <c r="J188" t="s">
        <v>25</v>
      </c>
      <c r="K188">
        <v>172.6</v>
      </c>
    </row>
    <row r="189" spans="1:11" x14ac:dyDescent="0.3">
      <c r="A189" t="s">
        <v>241</v>
      </c>
      <c r="B189" t="s">
        <v>25</v>
      </c>
      <c r="C189" t="s">
        <v>25</v>
      </c>
      <c r="D189" t="s">
        <v>25</v>
      </c>
      <c r="E189" t="s">
        <v>25</v>
      </c>
      <c r="F189" t="s">
        <v>25</v>
      </c>
      <c r="G189" t="s">
        <v>25</v>
      </c>
      <c r="H189" t="s">
        <v>25</v>
      </c>
      <c r="I189" t="s">
        <v>25</v>
      </c>
      <c r="J189">
        <v>305.5</v>
      </c>
      <c r="K189">
        <v>414.3</v>
      </c>
    </row>
    <row r="190" spans="1:11" x14ac:dyDescent="0.3">
      <c r="A190" t="s">
        <v>242</v>
      </c>
      <c r="B190" t="s">
        <v>25</v>
      </c>
      <c r="C190" t="s">
        <v>25</v>
      </c>
      <c r="D190" t="s">
        <v>25</v>
      </c>
      <c r="E190" t="s">
        <v>25</v>
      </c>
      <c r="F190">
        <v>151</v>
      </c>
      <c r="G190">
        <v>138.9</v>
      </c>
      <c r="H190">
        <v>17</v>
      </c>
      <c r="I190">
        <v>17.2</v>
      </c>
      <c r="J190">
        <v>13.3</v>
      </c>
      <c r="K190">
        <v>0</v>
      </c>
    </row>
    <row r="191" spans="1:11" x14ac:dyDescent="0.3">
      <c r="A191" t="s">
        <v>243</v>
      </c>
      <c r="B191" t="s">
        <v>25</v>
      </c>
      <c r="C191" t="s">
        <v>25</v>
      </c>
      <c r="D191" t="s">
        <v>25</v>
      </c>
      <c r="E191" t="s">
        <v>25</v>
      </c>
      <c r="F191">
        <v>7</v>
      </c>
      <c r="G191">
        <v>17</v>
      </c>
      <c r="H191">
        <v>10</v>
      </c>
      <c r="I191">
        <v>23.6</v>
      </c>
      <c r="J191">
        <v>17.2</v>
      </c>
      <c r="K191">
        <v>26.1</v>
      </c>
    </row>
    <row r="192" spans="1:11" x14ac:dyDescent="0.3">
      <c r="A192" t="s">
        <v>244</v>
      </c>
      <c r="B192" t="s">
        <v>25</v>
      </c>
      <c r="C192" t="s">
        <v>25</v>
      </c>
      <c r="D192" t="s">
        <v>25</v>
      </c>
      <c r="E192" t="s">
        <v>25</v>
      </c>
      <c r="F192">
        <v>4</v>
      </c>
      <c r="G192">
        <v>9.6</v>
      </c>
      <c r="H192">
        <v>13.7</v>
      </c>
      <c r="I192">
        <v>11.5</v>
      </c>
      <c r="J192">
        <v>20.399999999999999</v>
      </c>
      <c r="K192">
        <v>35.799999999999997</v>
      </c>
    </row>
    <row r="193" spans="1:11" x14ac:dyDescent="0.3">
      <c r="A193" t="s">
        <v>245</v>
      </c>
      <c r="B193">
        <v>6.1509999999999998</v>
      </c>
      <c r="C193">
        <v>8.4779999999999998</v>
      </c>
      <c r="D193">
        <v>14.839</v>
      </c>
      <c r="E193" t="s">
        <v>25</v>
      </c>
      <c r="F193" t="s">
        <v>25</v>
      </c>
      <c r="G193" t="s">
        <v>25</v>
      </c>
      <c r="H193" t="s">
        <v>25</v>
      </c>
      <c r="I193" t="s">
        <v>25</v>
      </c>
      <c r="J193" t="s">
        <v>25</v>
      </c>
      <c r="K193" t="s">
        <v>25</v>
      </c>
    </row>
    <row r="194" spans="1:11" x14ac:dyDescent="0.3">
      <c r="A194" t="s">
        <v>246</v>
      </c>
      <c r="B194" t="s">
        <v>25</v>
      </c>
      <c r="C194" t="s">
        <v>25</v>
      </c>
      <c r="D194" t="s">
        <v>25</v>
      </c>
      <c r="E194" t="s">
        <v>25</v>
      </c>
      <c r="F194">
        <v>6</v>
      </c>
      <c r="G194">
        <v>6.1</v>
      </c>
      <c r="H194">
        <v>60.8</v>
      </c>
      <c r="I194">
        <v>10.4</v>
      </c>
      <c r="J194">
        <v>7.3</v>
      </c>
      <c r="K194">
        <v>45.5</v>
      </c>
    </row>
    <row r="195" spans="1:11" x14ac:dyDescent="0.3">
      <c r="A195" t="s">
        <v>247</v>
      </c>
      <c r="B195">
        <v>54.420999999999999</v>
      </c>
      <c r="C195">
        <v>8.5190000000000001</v>
      </c>
      <c r="D195">
        <v>5.3979999999999997</v>
      </c>
      <c r="E195">
        <v>3.4009999999999998</v>
      </c>
      <c r="F195">
        <v>168</v>
      </c>
      <c r="G195">
        <v>57.8</v>
      </c>
      <c r="H195">
        <v>4.9000000000000004</v>
      </c>
      <c r="I195">
        <v>41.8</v>
      </c>
      <c r="J195">
        <v>102.9</v>
      </c>
      <c r="K195">
        <v>318.10000000000002</v>
      </c>
    </row>
    <row r="196" spans="1:11" x14ac:dyDescent="0.3">
      <c r="A196" t="s">
        <v>248</v>
      </c>
      <c r="B196">
        <v>64.688999999999993</v>
      </c>
      <c r="C196">
        <v>9.2789999999999999</v>
      </c>
      <c r="D196">
        <v>4.8630000000000004</v>
      </c>
      <c r="E196">
        <v>1.706</v>
      </c>
      <c r="F196">
        <v>209</v>
      </c>
      <c r="G196">
        <v>536.5</v>
      </c>
      <c r="H196">
        <v>442.5</v>
      </c>
      <c r="I196">
        <v>371.6</v>
      </c>
      <c r="J196">
        <v>328.1</v>
      </c>
      <c r="K196">
        <v>465.1</v>
      </c>
    </row>
    <row r="197" spans="1:11" x14ac:dyDescent="0.3">
      <c r="A197" t="s">
        <v>249</v>
      </c>
      <c r="B197" t="s">
        <v>25</v>
      </c>
      <c r="C197" t="s">
        <v>25</v>
      </c>
      <c r="D197" t="s">
        <v>25</v>
      </c>
      <c r="E197" t="s">
        <v>25</v>
      </c>
      <c r="F197" t="s">
        <v>25</v>
      </c>
      <c r="G197">
        <v>10.5</v>
      </c>
      <c r="H197">
        <v>21.8</v>
      </c>
      <c r="I197">
        <v>20.100000000000001</v>
      </c>
      <c r="J197">
        <v>0</v>
      </c>
      <c r="K197">
        <v>0</v>
      </c>
    </row>
    <row r="198" spans="1:11" x14ac:dyDescent="0.3">
      <c r="A198" t="s">
        <v>250</v>
      </c>
      <c r="B198" t="s">
        <v>25</v>
      </c>
      <c r="C198" t="s">
        <v>25</v>
      </c>
      <c r="D198" t="s">
        <v>25</v>
      </c>
      <c r="E198" t="s">
        <v>25</v>
      </c>
      <c r="F198" t="s">
        <v>25</v>
      </c>
      <c r="G198">
        <v>0.5</v>
      </c>
      <c r="H198">
        <v>0</v>
      </c>
      <c r="I198">
        <v>18.100000000000001</v>
      </c>
      <c r="J198">
        <v>61.4</v>
      </c>
      <c r="K198">
        <v>91.3</v>
      </c>
    </row>
    <row r="199" spans="1:11" x14ac:dyDescent="0.3">
      <c r="A199" t="s">
        <v>251</v>
      </c>
      <c r="B199" t="s">
        <v>25</v>
      </c>
      <c r="C199" t="s">
        <v>25</v>
      </c>
      <c r="D199" t="s">
        <v>25</v>
      </c>
      <c r="E199" t="s">
        <v>25</v>
      </c>
      <c r="F199">
        <v>151</v>
      </c>
      <c r="G199">
        <v>149.4</v>
      </c>
      <c r="H199">
        <v>38.799999999999997</v>
      </c>
      <c r="I199">
        <v>37.299999999999997</v>
      </c>
      <c r="J199">
        <v>13.3</v>
      </c>
      <c r="K199">
        <v>0</v>
      </c>
    </row>
    <row r="200" spans="1:11" x14ac:dyDescent="0.3">
      <c r="A200" t="s">
        <v>252</v>
      </c>
      <c r="B200" t="s">
        <v>25</v>
      </c>
      <c r="C200" t="s">
        <v>25</v>
      </c>
      <c r="D200" t="s">
        <v>25</v>
      </c>
      <c r="E200" t="s">
        <v>25</v>
      </c>
      <c r="F200">
        <v>6</v>
      </c>
      <c r="G200">
        <v>6.6</v>
      </c>
      <c r="H200">
        <v>60.8</v>
      </c>
      <c r="I200">
        <v>28.5</v>
      </c>
      <c r="J200">
        <v>68.7</v>
      </c>
      <c r="K200">
        <v>136.80000000000001</v>
      </c>
    </row>
    <row r="201" spans="1:11" x14ac:dyDescent="0.3">
      <c r="A201" t="s">
        <v>253</v>
      </c>
      <c r="B201" t="s">
        <v>25</v>
      </c>
      <c r="C201" t="s">
        <v>25</v>
      </c>
      <c r="D201" t="s">
        <v>25</v>
      </c>
      <c r="E201" t="s">
        <v>25</v>
      </c>
      <c r="F201">
        <v>7</v>
      </c>
      <c r="G201">
        <v>17</v>
      </c>
      <c r="H201">
        <v>10</v>
      </c>
      <c r="I201">
        <v>23.6</v>
      </c>
      <c r="J201">
        <v>17.2</v>
      </c>
      <c r="K201">
        <v>26.1</v>
      </c>
    </row>
    <row r="202" spans="1:11" x14ac:dyDescent="0.3">
      <c r="A202" t="s">
        <v>254</v>
      </c>
      <c r="B202" t="s">
        <v>25</v>
      </c>
      <c r="C202" t="s">
        <v>25</v>
      </c>
      <c r="D202" t="s">
        <v>25</v>
      </c>
      <c r="E202" t="s">
        <v>25</v>
      </c>
      <c r="F202">
        <v>4</v>
      </c>
      <c r="G202">
        <v>9.6</v>
      </c>
      <c r="H202">
        <v>13.7</v>
      </c>
      <c r="I202">
        <v>11.5</v>
      </c>
      <c r="J202">
        <v>20.399999999999999</v>
      </c>
      <c r="K202">
        <v>35.799999999999997</v>
      </c>
    </row>
    <row r="203" spans="1:11" x14ac:dyDescent="0.3">
      <c r="A203" t="s">
        <v>255</v>
      </c>
      <c r="B203">
        <v>12.228</v>
      </c>
      <c r="C203">
        <v>11.766</v>
      </c>
      <c r="D203">
        <v>9.5570000000000004</v>
      </c>
      <c r="E203">
        <v>8.6189999999999998</v>
      </c>
      <c r="F203">
        <v>6.42</v>
      </c>
      <c r="G203">
        <v>6.2210000000000001</v>
      </c>
      <c r="H203">
        <v>6</v>
      </c>
      <c r="I203">
        <v>5.3</v>
      </c>
      <c r="J203">
        <v>3.6</v>
      </c>
      <c r="K203">
        <v>3</v>
      </c>
    </row>
    <row r="204" spans="1:11" x14ac:dyDescent="0.3">
      <c r="A204" t="s">
        <v>256</v>
      </c>
      <c r="B204" t="s">
        <v>25</v>
      </c>
      <c r="C204" t="s">
        <v>25</v>
      </c>
      <c r="D204" t="s">
        <v>25</v>
      </c>
      <c r="E204" t="s">
        <v>25</v>
      </c>
      <c r="F204" t="s">
        <v>25</v>
      </c>
      <c r="G204">
        <v>-0.221</v>
      </c>
      <c r="H204">
        <v>0.7</v>
      </c>
      <c r="I204" t="s">
        <v>25</v>
      </c>
      <c r="J204" t="s">
        <v>25</v>
      </c>
      <c r="K204" t="s">
        <v>25</v>
      </c>
    </row>
    <row r="205" spans="1:11" x14ac:dyDescent="0.3">
      <c r="A205" t="s">
        <v>257</v>
      </c>
      <c r="B205" t="s">
        <v>25</v>
      </c>
      <c r="C205">
        <v>88.64</v>
      </c>
      <c r="D205">
        <v>87.19</v>
      </c>
      <c r="E205">
        <v>159.97999999999999</v>
      </c>
      <c r="F205" t="s">
        <v>25</v>
      </c>
      <c r="G205">
        <v>138.297</v>
      </c>
      <c r="H205">
        <v>114.4</v>
      </c>
      <c r="I205">
        <v>122.4</v>
      </c>
      <c r="J205">
        <v>106.261</v>
      </c>
      <c r="K205">
        <v>104.3</v>
      </c>
    </row>
    <row r="206" spans="1:11" x14ac:dyDescent="0.3">
      <c r="A206" t="s">
        <v>258</v>
      </c>
      <c r="B206">
        <v>8.6579999999999995</v>
      </c>
      <c r="C206">
        <v>9.7729999999999997</v>
      </c>
      <c r="D206">
        <v>12.393000000000001</v>
      </c>
      <c r="E206">
        <v>46</v>
      </c>
      <c r="F206">
        <v>28.7</v>
      </c>
      <c r="G206">
        <v>113.9</v>
      </c>
      <c r="H206">
        <v>138.9</v>
      </c>
      <c r="I206">
        <v>60.9</v>
      </c>
      <c r="J206">
        <v>92.7</v>
      </c>
      <c r="K206">
        <v>133.80000000000001</v>
      </c>
    </row>
    <row r="207" spans="1:11" x14ac:dyDescent="0.3">
      <c r="A207" t="s">
        <v>259</v>
      </c>
      <c r="B207">
        <v>9.7729999999999997</v>
      </c>
      <c r="C207">
        <v>12.393000000000001</v>
      </c>
      <c r="D207">
        <v>46.389000000000003</v>
      </c>
      <c r="E207">
        <v>29</v>
      </c>
      <c r="F207">
        <v>113.9</v>
      </c>
      <c r="G207">
        <v>138.9</v>
      </c>
      <c r="H207">
        <v>60.9</v>
      </c>
      <c r="I207">
        <v>92.7</v>
      </c>
      <c r="J207">
        <v>133.80000000000001</v>
      </c>
      <c r="K207">
        <v>163.4</v>
      </c>
    </row>
    <row r="208" spans="1:11" x14ac:dyDescent="0.3">
      <c r="A208" t="s">
        <v>260</v>
      </c>
      <c r="B208">
        <v>0.186</v>
      </c>
      <c r="C208">
        <v>9.9000000000000005E-2</v>
      </c>
      <c r="D208">
        <v>2.5710000000000002</v>
      </c>
      <c r="E208">
        <v>1</v>
      </c>
      <c r="F208">
        <v>1.9</v>
      </c>
      <c r="G208">
        <v>3.4</v>
      </c>
      <c r="H208">
        <v>5.6</v>
      </c>
      <c r="I208">
        <v>9.1</v>
      </c>
      <c r="J208">
        <v>3.4</v>
      </c>
      <c r="K208">
        <v>27.6</v>
      </c>
    </row>
    <row r="209" spans="1:11" x14ac:dyDescent="0.3">
      <c r="A209" t="s">
        <v>261</v>
      </c>
      <c r="B209">
        <v>1.6919999999999999</v>
      </c>
      <c r="C209">
        <v>4.6509999999999998</v>
      </c>
      <c r="D209">
        <v>33.055999999999997</v>
      </c>
      <c r="E209">
        <v>9</v>
      </c>
      <c r="F209">
        <v>85.3</v>
      </c>
      <c r="G209">
        <v>22.8</v>
      </c>
      <c r="H209">
        <v>19.3</v>
      </c>
      <c r="I209">
        <v>28.8</v>
      </c>
      <c r="J209">
        <v>43.8</v>
      </c>
      <c r="K209">
        <v>28</v>
      </c>
    </row>
    <row r="210" spans="1:11" x14ac:dyDescent="0.3">
      <c r="A210" t="s">
        <v>262</v>
      </c>
      <c r="B210">
        <v>-0.68899999999999995</v>
      </c>
      <c r="C210">
        <v>-1.931</v>
      </c>
      <c r="D210">
        <v>-0.81200000000000006</v>
      </c>
      <c r="E210">
        <v>-2</v>
      </c>
      <c r="F210">
        <v>-0.1</v>
      </c>
      <c r="G210">
        <v>-1.1000000000000001</v>
      </c>
      <c r="H210">
        <v>-85.8</v>
      </c>
      <c r="I210">
        <v>-5.8</v>
      </c>
      <c r="J210">
        <v>-4.9000000000000004</v>
      </c>
      <c r="K210">
        <v>-10</v>
      </c>
    </row>
    <row r="211" spans="1:11" x14ac:dyDescent="0.3">
      <c r="A211" t="s">
        <v>263</v>
      </c>
      <c r="B211">
        <v>-7.3999999999999996E-2</v>
      </c>
      <c r="C211">
        <v>-0.19900000000000001</v>
      </c>
      <c r="D211">
        <v>-0.41899999999999998</v>
      </c>
      <c r="E211">
        <v>-25</v>
      </c>
      <c r="F211">
        <v>-1</v>
      </c>
      <c r="G211">
        <v>0</v>
      </c>
      <c r="H211">
        <v>-15.8</v>
      </c>
      <c r="I211">
        <v>0</v>
      </c>
      <c r="J211">
        <v>0</v>
      </c>
      <c r="K211">
        <v>-13.9</v>
      </c>
    </row>
    <row r="212" spans="1:11" x14ac:dyDescent="0.3">
      <c r="A212" t="s">
        <v>264</v>
      </c>
      <c r="B212" t="s">
        <v>25</v>
      </c>
      <c r="C212" t="s">
        <v>25</v>
      </c>
      <c r="D212" t="s">
        <v>25</v>
      </c>
      <c r="E212">
        <v>0</v>
      </c>
      <c r="F212">
        <v>-0.9</v>
      </c>
      <c r="G212">
        <v>-0.1</v>
      </c>
      <c r="H212">
        <v>-1.3</v>
      </c>
      <c r="I212">
        <v>-0.3</v>
      </c>
      <c r="J212">
        <v>-1.2</v>
      </c>
      <c r="K212">
        <v>-2.1</v>
      </c>
    </row>
    <row r="213" spans="1:11" x14ac:dyDescent="0.3">
      <c r="A213" t="s">
        <v>265</v>
      </c>
      <c r="B213" t="s">
        <v>25</v>
      </c>
      <c r="C213" t="s">
        <v>25</v>
      </c>
      <c r="D213" t="s">
        <v>25</v>
      </c>
      <c r="E213" t="s">
        <v>25</v>
      </c>
      <c r="F213">
        <v>158</v>
      </c>
      <c r="G213">
        <v>166.4</v>
      </c>
      <c r="H213">
        <v>48.8</v>
      </c>
      <c r="I213">
        <v>60.9</v>
      </c>
      <c r="J213">
        <v>30.5</v>
      </c>
      <c r="K213">
        <v>26.1</v>
      </c>
    </row>
    <row r="214" spans="1:11" x14ac:dyDescent="0.3">
      <c r="A214" t="s">
        <v>266</v>
      </c>
      <c r="B214" t="s">
        <v>25</v>
      </c>
      <c r="C214" t="s">
        <v>25</v>
      </c>
      <c r="D214" t="s">
        <v>25</v>
      </c>
      <c r="E214" t="s">
        <v>25</v>
      </c>
      <c r="F214">
        <v>2</v>
      </c>
      <c r="G214">
        <v>3</v>
      </c>
      <c r="H214">
        <v>3.6</v>
      </c>
      <c r="I214">
        <v>3.7</v>
      </c>
      <c r="J214">
        <v>4.3</v>
      </c>
      <c r="K214">
        <v>5.4</v>
      </c>
    </row>
    <row r="215" spans="1:11" x14ac:dyDescent="0.3">
      <c r="A215" t="s">
        <v>267</v>
      </c>
      <c r="B215" t="s">
        <v>25</v>
      </c>
      <c r="C215" t="s">
        <v>25</v>
      </c>
      <c r="D215" t="s">
        <v>25</v>
      </c>
      <c r="E215" t="s">
        <v>25</v>
      </c>
      <c r="F215">
        <v>167.21</v>
      </c>
      <c r="G215">
        <v>149.47999999999999</v>
      </c>
      <c r="H215">
        <v>130.75</v>
      </c>
      <c r="I215">
        <v>123.25</v>
      </c>
      <c r="J215">
        <v>128.24</v>
      </c>
      <c r="K215">
        <v>111.54</v>
      </c>
    </row>
    <row r="216" spans="1:11" x14ac:dyDescent="0.3">
      <c r="A216" t="s">
        <v>268</v>
      </c>
      <c r="B216" t="s">
        <v>25</v>
      </c>
      <c r="C216" t="s">
        <v>25</v>
      </c>
      <c r="D216" t="s">
        <v>25</v>
      </c>
      <c r="E216" t="s">
        <v>25</v>
      </c>
      <c r="F216" t="s">
        <v>25</v>
      </c>
      <c r="G216" t="s">
        <v>25</v>
      </c>
      <c r="H216" t="s">
        <v>25</v>
      </c>
      <c r="I216" t="s">
        <v>25</v>
      </c>
      <c r="J216">
        <v>5.2</v>
      </c>
      <c r="K216">
        <v>5.6</v>
      </c>
    </row>
    <row r="217" spans="1:11" x14ac:dyDescent="0.3">
      <c r="A217" t="s">
        <v>269</v>
      </c>
      <c r="B217" t="s">
        <v>25</v>
      </c>
      <c r="C217" t="s">
        <v>25</v>
      </c>
      <c r="D217" t="s">
        <v>25</v>
      </c>
      <c r="E217" t="s">
        <v>25</v>
      </c>
      <c r="F217" t="s">
        <v>25</v>
      </c>
      <c r="G217" t="s">
        <v>25</v>
      </c>
      <c r="H217" t="s">
        <v>25</v>
      </c>
      <c r="I217" t="s">
        <v>25</v>
      </c>
      <c r="J217">
        <v>72.900000000000006</v>
      </c>
      <c r="K217" t="s">
        <v>25</v>
      </c>
    </row>
    <row r="218" spans="1:11" x14ac:dyDescent="0.3">
      <c r="A218" t="s">
        <v>270</v>
      </c>
      <c r="B218" t="s">
        <v>25</v>
      </c>
      <c r="C218" t="s">
        <v>25</v>
      </c>
      <c r="D218" t="s">
        <v>25</v>
      </c>
      <c r="E218">
        <v>50.701000000000001</v>
      </c>
      <c r="F218">
        <v>45</v>
      </c>
      <c r="G218">
        <v>48.4</v>
      </c>
      <c r="H218">
        <v>43.4</v>
      </c>
      <c r="I218">
        <v>39.4</v>
      </c>
      <c r="J218">
        <v>55</v>
      </c>
      <c r="K218" t="s">
        <v>25</v>
      </c>
    </row>
    <row r="219" spans="1:11" x14ac:dyDescent="0.3">
      <c r="A219" t="s">
        <v>271</v>
      </c>
      <c r="B219" t="s">
        <v>25</v>
      </c>
      <c r="C219" t="s">
        <v>25</v>
      </c>
      <c r="D219">
        <v>190</v>
      </c>
      <c r="E219">
        <v>674</v>
      </c>
      <c r="F219">
        <v>758</v>
      </c>
      <c r="G219" t="s">
        <v>25</v>
      </c>
      <c r="H219" t="s">
        <v>25</v>
      </c>
      <c r="I219" t="s">
        <v>25</v>
      </c>
      <c r="J219" t="s">
        <v>25</v>
      </c>
      <c r="K219" t="s">
        <v>25</v>
      </c>
    </row>
    <row r="220" spans="1:11" x14ac:dyDescent="0.3">
      <c r="A220" t="s">
        <v>272</v>
      </c>
      <c r="B220">
        <v>1.25</v>
      </c>
      <c r="C220" t="s">
        <v>25</v>
      </c>
      <c r="D220" t="s">
        <v>25</v>
      </c>
      <c r="E220">
        <v>1.27</v>
      </c>
      <c r="F220">
        <v>0.84</v>
      </c>
      <c r="G220">
        <v>0.87</v>
      </c>
      <c r="H220">
        <v>1.64</v>
      </c>
      <c r="I220">
        <v>1.64</v>
      </c>
      <c r="J220">
        <v>1.64</v>
      </c>
      <c r="K220" t="s">
        <v>25</v>
      </c>
    </row>
    <row r="221" spans="1:11" x14ac:dyDescent="0.3">
      <c r="A221" t="s">
        <v>273</v>
      </c>
      <c r="B221">
        <v>1.89</v>
      </c>
      <c r="C221" t="s">
        <v>25</v>
      </c>
      <c r="D221" t="s">
        <v>25</v>
      </c>
      <c r="E221">
        <v>2.95</v>
      </c>
      <c r="F221">
        <v>2.17</v>
      </c>
      <c r="G221">
        <v>1.66</v>
      </c>
      <c r="H221">
        <v>1.92</v>
      </c>
      <c r="I221">
        <v>1.92</v>
      </c>
      <c r="J221">
        <v>1.92</v>
      </c>
      <c r="K221" t="s">
        <v>25</v>
      </c>
    </row>
    <row r="222" spans="1:11" x14ac:dyDescent="0.3">
      <c r="A222" t="s">
        <v>274</v>
      </c>
      <c r="B222">
        <v>3.53</v>
      </c>
      <c r="C222" t="s">
        <v>25</v>
      </c>
      <c r="D222" t="s">
        <v>25</v>
      </c>
      <c r="E222">
        <v>6.94</v>
      </c>
      <c r="F222">
        <v>3.57</v>
      </c>
      <c r="G222">
        <v>3.82</v>
      </c>
      <c r="H222">
        <v>4.07</v>
      </c>
      <c r="I222">
        <v>4.07</v>
      </c>
      <c r="J222">
        <v>4.07</v>
      </c>
      <c r="K222" t="s">
        <v>25</v>
      </c>
    </row>
    <row r="223" spans="1:11" x14ac:dyDescent="0.3">
      <c r="A223" t="s">
        <v>275</v>
      </c>
      <c r="B223">
        <v>5.84</v>
      </c>
      <c r="C223" t="s">
        <v>25</v>
      </c>
      <c r="D223" t="s">
        <v>25</v>
      </c>
      <c r="E223">
        <v>10.67</v>
      </c>
      <c r="F223">
        <v>9</v>
      </c>
      <c r="G223">
        <v>6.29</v>
      </c>
      <c r="H223">
        <v>4.29</v>
      </c>
      <c r="I223">
        <v>4.29</v>
      </c>
      <c r="J223">
        <v>4.29</v>
      </c>
      <c r="K223" t="s">
        <v>25</v>
      </c>
    </row>
    <row r="224" spans="1:11" x14ac:dyDescent="0.3">
      <c r="A224" t="s">
        <v>276</v>
      </c>
      <c r="B224">
        <v>37.43</v>
      </c>
      <c r="C224" t="s">
        <v>25</v>
      </c>
      <c r="D224" t="s">
        <v>25</v>
      </c>
      <c r="E224">
        <v>61.96</v>
      </c>
      <c r="F224">
        <v>33.35</v>
      </c>
      <c r="G224">
        <v>33.450000000000003</v>
      </c>
      <c r="H224">
        <v>38.78</v>
      </c>
      <c r="I224">
        <v>38.78</v>
      </c>
      <c r="J224">
        <v>38.78</v>
      </c>
      <c r="K224" t="s">
        <v>25</v>
      </c>
    </row>
    <row r="225" spans="1:11" x14ac:dyDescent="0.3">
      <c r="A225" t="s">
        <v>277</v>
      </c>
      <c r="B225">
        <v>40.14</v>
      </c>
      <c r="C225" t="s">
        <v>25</v>
      </c>
      <c r="D225" t="s">
        <v>25</v>
      </c>
      <c r="E225">
        <v>71.8</v>
      </c>
      <c r="F225">
        <v>38.130000000000003</v>
      </c>
      <c r="G225">
        <v>37.61</v>
      </c>
      <c r="H225">
        <v>39.01</v>
      </c>
      <c r="I225">
        <v>39.01</v>
      </c>
      <c r="J225">
        <v>39.01</v>
      </c>
      <c r="K225" t="s">
        <v>25</v>
      </c>
    </row>
    <row r="226" spans="1:11" x14ac:dyDescent="0.3">
      <c r="A226" t="s">
        <v>278</v>
      </c>
      <c r="B226" t="s">
        <v>25</v>
      </c>
      <c r="C226">
        <v>0.13</v>
      </c>
      <c r="D226">
        <v>0.75800000000000001</v>
      </c>
      <c r="E226">
        <v>1.903</v>
      </c>
      <c r="F226">
        <v>1.9630000000000001</v>
      </c>
      <c r="G226">
        <v>3.1139999999999999</v>
      </c>
      <c r="H226">
        <v>4.0999999999999996</v>
      </c>
      <c r="I226">
        <v>0.7</v>
      </c>
      <c r="J226">
        <v>3.8</v>
      </c>
      <c r="K226">
        <v>4.8</v>
      </c>
    </row>
    <row r="227" spans="1:11" x14ac:dyDescent="0.3">
      <c r="A227" t="s">
        <v>279</v>
      </c>
      <c r="B227" t="s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6050-73ED-43FA-9189-BCC2A8C3C3EE}">
  <dimension ref="A2:K68"/>
  <sheetViews>
    <sheetView workbookViewId="0">
      <selection activeCell="C1" activeCellId="1" sqref="B1:B1048576 C1:C1048576"/>
    </sheetView>
  </sheetViews>
  <sheetFormatPr defaultRowHeight="14.4" x14ac:dyDescent="0.3"/>
  <cols>
    <col min="1" max="1" width="51.109375" bestFit="1" customWidth="1"/>
    <col min="2" max="3" width="0" hidden="1" customWidth="1"/>
  </cols>
  <sheetData>
    <row r="2" spans="1:11" x14ac:dyDescent="0.3">
      <c r="A2" s="2" t="s">
        <v>281</v>
      </c>
      <c r="B2" s="2" t="s">
        <v>70</v>
      </c>
      <c r="C2" s="2" t="s">
        <v>71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1:11" x14ac:dyDescent="0.3">
      <c r="A3" s="3" t="s">
        <v>11</v>
      </c>
      <c r="B3" s="2" t="s">
        <v>73</v>
      </c>
      <c r="C3" s="2" t="s">
        <v>74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</row>
    <row r="4" spans="1:11" x14ac:dyDescent="0.3">
      <c r="A4" t="s">
        <v>282</v>
      </c>
    </row>
    <row r="5" spans="1:11" x14ac:dyDescent="0.3">
      <c r="A5" t="s">
        <v>283</v>
      </c>
      <c r="B5">
        <v>254.822</v>
      </c>
      <c r="C5">
        <v>252.89500000000001</v>
      </c>
      <c r="D5">
        <v>657</v>
      </c>
      <c r="E5">
        <v>144.4</v>
      </c>
      <c r="F5">
        <v>399.4</v>
      </c>
      <c r="G5">
        <v>443.3</v>
      </c>
      <c r="H5">
        <v>77.599999999999994</v>
      </c>
      <c r="I5">
        <v>2404.3000000000002</v>
      </c>
      <c r="J5">
        <v>603.4</v>
      </c>
    </row>
    <row r="6" spans="1:11" x14ac:dyDescent="0.3">
      <c r="A6" t="s">
        <v>284</v>
      </c>
      <c r="B6">
        <v>23.887</v>
      </c>
      <c r="C6">
        <v>28.693000000000001</v>
      </c>
      <c r="D6">
        <v>47</v>
      </c>
      <c r="E6">
        <v>166.6</v>
      </c>
      <c r="F6">
        <v>396.4</v>
      </c>
      <c r="G6">
        <v>496.7</v>
      </c>
      <c r="H6">
        <v>405.3</v>
      </c>
      <c r="I6">
        <v>376.8</v>
      </c>
      <c r="J6">
        <v>329.4</v>
      </c>
    </row>
    <row r="7" spans="1:11" x14ac:dyDescent="0.3">
      <c r="A7" t="s">
        <v>285</v>
      </c>
      <c r="B7">
        <v>145.95699999999999</v>
      </c>
      <c r="C7">
        <v>106.122</v>
      </c>
      <c r="D7">
        <v>-222</v>
      </c>
      <c r="E7">
        <v>779.4</v>
      </c>
      <c r="F7">
        <v>427.1</v>
      </c>
      <c r="G7">
        <v>346.1</v>
      </c>
      <c r="H7">
        <v>397.8</v>
      </c>
      <c r="I7">
        <v>-419.8</v>
      </c>
      <c r="J7">
        <v>2103.9</v>
      </c>
    </row>
    <row r="8" spans="1:11" x14ac:dyDescent="0.3">
      <c r="A8" t="s">
        <v>286</v>
      </c>
      <c r="B8">
        <v>46.784999999999997</v>
      </c>
      <c r="C8">
        <v>-29.510999999999999</v>
      </c>
      <c r="D8">
        <v>-137</v>
      </c>
      <c r="E8">
        <v>316.8</v>
      </c>
      <c r="F8">
        <v>192.3</v>
      </c>
      <c r="G8">
        <v>243.1</v>
      </c>
      <c r="H8">
        <v>203</v>
      </c>
      <c r="I8">
        <v>237</v>
      </c>
      <c r="J8">
        <v>281.10000000000002</v>
      </c>
    </row>
    <row r="9" spans="1:11" x14ac:dyDescent="0.3">
      <c r="A9" t="s">
        <v>287</v>
      </c>
      <c r="B9">
        <v>71.155000000000001</v>
      </c>
      <c r="C9">
        <v>92.831000000000003</v>
      </c>
      <c r="D9">
        <v>-154</v>
      </c>
      <c r="E9">
        <v>395.5</v>
      </c>
      <c r="F9">
        <v>104.3</v>
      </c>
      <c r="G9">
        <v>-45.9</v>
      </c>
      <c r="H9">
        <v>32.9</v>
      </c>
      <c r="I9">
        <v>-455.4</v>
      </c>
      <c r="J9">
        <v>-283.39999999999998</v>
      </c>
    </row>
    <row r="10" spans="1:11" x14ac:dyDescent="0.3">
      <c r="A10" t="s">
        <v>288</v>
      </c>
      <c r="B10">
        <v>28.016999999999999</v>
      </c>
      <c r="C10">
        <v>42.802</v>
      </c>
      <c r="D10">
        <v>69</v>
      </c>
      <c r="E10">
        <v>67.099999999999994</v>
      </c>
      <c r="F10">
        <v>130.5</v>
      </c>
      <c r="G10">
        <v>148.9</v>
      </c>
      <c r="H10">
        <v>161.9</v>
      </c>
      <c r="I10">
        <v>-201.4</v>
      </c>
      <c r="J10">
        <v>2106.1999999999998</v>
      </c>
    </row>
    <row r="11" spans="1:11" x14ac:dyDescent="0.3">
      <c r="A11" t="s">
        <v>289</v>
      </c>
      <c r="B11">
        <v>-14.053000000000001</v>
      </c>
      <c r="C11">
        <v>109.639</v>
      </c>
      <c r="D11">
        <v>158</v>
      </c>
      <c r="E11">
        <v>-415.2</v>
      </c>
      <c r="F11">
        <v>-136.6</v>
      </c>
      <c r="G11">
        <v>-170.5</v>
      </c>
      <c r="H11">
        <v>-454.7</v>
      </c>
      <c r="I11">
        <v>-276.39999999999998</v>
      </c>
      <c r="J11">
        <v>-33.799999999999997</v>
      </c>
    </row>
    <row r="12" spans="1:11" x14ac:dyDescent="0.3">
      <c r="A12" t="s">
        <v>290</v>
      </c>
      <c r="B12">
        <v>-72.87</v>
      </c>
      <c r="C12">
        <v>-116.43899999999999</v>
      </c>
      <c r="D12">
        <v>-28</v>
      </c>
      <c r="E12">
        <v>-115.8</v>
      </c>
      <c r="F12">
        <v>-122.1</v>
      </c>
      <c r="G12">
        <v>-55.2</v>
      </c>
      <c r="H12">
        <v>-208.8</v>
      </c>
      <c r="I12">
        <v>-319.2</v>
      </c>
      <c r="J12">
        <v>-139.4</v>
      </c>
    </row>
    <row r="13" spans="1:11" x14ac:dyDescent="0.3">
      <c r="A13" t="s">
        <v>291</v>
      </c>
      <c r="B13">
        <v>-6.2649999999999997</v>
      </c>
      <c r="C13">
        <v>0.126</v>
      </c>
      <c r="D13">
        <v>-67</v>
      </c>
      <c r="E13">
        <v>-88.4</v>
      </c>
      <c r="F13">
        <v>-83.8</v>
      </c>
      <c r="G13">
        <v>-88.2</v>
      </c>
      <c r="H13">
        <v>-35.200000000000003</v>
      </c>
      <c r="I13">
        <v>-156.9</v>
      </c>
      <c r="J13">
        <v>95</v>
      </c>
    </row>
    <row r="14" spans="1:11" x14ac:dyDescent="0.3">
      <c r="A14" t="s">
        <v>292</v>
      </c>
      <c r="B14">
        <v>65.081999999999994</v>
      </c>
      <c r="C14">
        <v>225.952</v>
      </c>
      <c r="D14">
        <v>253</v>
      </c>
      <c r="E14">
        <v>-211</v>
      </c>
      <c r="F14">
        <v>69.3</v>
      </c>
      <c r="G14">
        <v>-27.1</v>
      </c>
      <c r="H14">
        <v>-210.7</v>
      </c>
      <c r="I14">
        <v>199.7</v>
      </c>
      <c r="J14">
        <v>10.6</v>
      </c>
    </row>
    <row r="15" spans="1:11" x14ac:dyDescent="0.3">
      <c r="A15" t="s">
        <v>293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1" x14ac:dyDescent="0.3">
      <c r="A16" t="s">
        <v>282</v>
      </c>
      <c r="B16">
        <v>410.613</v>
      </c>
      <c r="C16">
        <v>497.34899999999999</v>
      </c>
      <c r="D16">
        <v>640</v>
      </c>
      <c r="E16">
        <v>675.2</v>
      </c>
      <c r="F16">
        <v>1086.3</v>
      </c>
      <c r="G16">
        <v>1115.5999999999999</v>
      </c>
      <c r="H16">
        <v>426</v>
      </c>
      <c r="I16">
        <v>2084.9</v>
      </c>
      <c r="J16">
        <v>3002.9</v>
      </c>
    </row>
    <row r="18" spans="1:10" x14ac:dyDescent="0.3">
      <c r="A18" t="s">
        <v>294</v>
      </c>
    </row>
    <row r="19" spans="1:10" x14ac:dyDescent="0.3">
      <c r="A19" t="s">
        <v>295</v>
      </c>
      <c r="B19">
        <v>-21.846</v>
      </c>
      <c r="C19">
        <v>-29.329000000000001</v>
      </c>
      <c r="D19">
        <v>-137</v>
      </c>
      <c r="E19">
        <v>-286.3</v>
      </c>
      <c r="F19">
        <v>-332.7</v>
      </c>
      <c r="G19">
        <v>-357.3</v>
      </c>
      <c r="H19">
        <v>-213</v>
      </c>
      <c r="I19">
        <v>-170.7</v>
      </c>
      <c r="J19">
        <v>-106.7</v>
      </c>
    </row>
    <row r="20" spans="1:10" x14ac:dyDescent="0.3">
      <c r="A20" t="s">
        <v>296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297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t="s">
        <v>298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t="s">
        <v>299</v>
      </c>
      <c r="B23">
        <v>-21.846</v>
      </c>
      <c r="C23">
        <v>-29.329000000000001</v>
      </c>
      <c r="D23">
        <v>-137</v>
      </c>
      <c r="E23">
        <v>-286.3</v>
      </c>
      <c r="F23">
        <v>-332.7</v>
      </c>
      <c r="G23">
        <v>-357.3</v>
      </c>
      <c r="H23">
        <v>-213</v>
      </c>
      <c r="I23">
        <v>-170.7</v>
      </c>
      <c r="J23">
        <v>-106.7</v>
      </c>
    </row>
    <row r="24" spans="1:10" x14ac:dyDescent="0.3">
      <c r="A24" t="s">
        <v>300</v>
      </c>
      <c r="B24">
        <v>-21.846</v>
      </c>
      <c r="C24">
        <v>-29.329000000000001</v>
      </c>
      <c r="D24">
        <v>-137</v>
      </c>
      <c r="E24">
        <v>-286.3</v>
      </c>
      <c r="F24">
        <v>-332.7</v>
      </c>
      <c r="G24">
        <v>-357.3</v>
      </c>
      <c r="H24">
        <v>-213</v>
      </c>
      <c r="I24">
        <v>-154.69999999999999</v>
      </c>
      <c r="J24">
        <v>-106.7</v>
      </c>
    </row>
    <row r="25" spans="1:10" x14ac:dyDescent="0.3">
      <c r="A25" t="s">
        <v>301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-16</v>
      </c>
      <c r="J25">
        <v>0</v>
      </c>
    </row>
    <row r="26" spans="1:10" x14ac:dyDescent="0.3">
      <c r="A26" t="s">
        <v>302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t="s">
        <v>304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t="s">
        <v>305</v>
      </c>
      <c r="B29">
        <v>-605.73500000000001</v>
      </c>
      <c r="C29">
        <v>0</v>
      </c>
      <c r="D29">
        <v>0</v>
      </c>
      <c r="E29">
        <v>-3939.3</v>
      </c>
      <c r="F29">
        <v>0</v>
      </c>
      <c r="G29">
        <v>0</v>
      </c>
      <c r="H29">
        <v>0</v>
      </c>
      <c r="I29">
        <v>0</v>
      </c>
      <c r="J29">
        <v>-2111.9</v>
      </c>
    </row>
    <row r="30" spans="1:10" x14ac:dyDescent="0.3">
      <c r="A30" t="s">
        <v>306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t="s">
        <v>307</v>
      </c>
      <c r="B31">
        <v>-605.73500000000001</v>
      </c>
      <c r="C31">
        <v>0</v>
      </c>
      <c r="D31">
        <v>0</v>
      </c>
      <c r="E31">
        <v>-3939.3</v>
      </c>
      <c r="F31">
        <v>0</v>
      </c>
      <c r="G31">
        <v>0</v>
      </c>
      <c r="H31">
        <v>0</v>
      </c>
      <c r="I31">
        <v>0</v>
      </c>
      <c r="J31">
        <v>-2111.9</v>
      </c>
    </row>
    <row r="32" spans="1:10" x14ac:dyDescent="0.3">
      <c r="A32" t="s">
        <v>308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309</v>
      </c>
      <c r="B33">
        <v>-4.0000000000000001E-3</v>
      </c>
      <c r="C33">
        <v>-997.81200000000001</v>
      </c>
      <c r="D33">
        <v>-86</v>
      </c>
      <c r="E33">
        <v>640.4</v>
      </c>
      <c r="F33">
        <v>45.1</v>
      </c>
      <c r="G33">
        <v>-561</v>
      </c>
      <c r="H33">
        <v>683.5</v>
      </c>
      <c r="I33">
        <v>180.4</v>
      </c>
      <c r="J33">
        <v>119.1</v>
      </c>
    </row>
    <row r="34" spans="1:10" x14ac:dyDescent="0.3">
      <c r="A34" t="s">
        <v>293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t="s">
        <v>294</v>
      </c>
      <c r="B35">
        <v>-627.58500000000004</v>
      </c>
      <c r="C35">
        <v>-1027.1410000000001</v>
      </c>
      <c r="D35">
        <v>-223</v>
      </c>
      <c r="E35">
        <v>-3585.2</v>
      </c>
      <c r="F35">
        <v>-287.60000000000002</v>
      </c>
      <c r="G35">
        <v>-918.3</v>
      </c>
      <c r="H35">
        <v>470.5</v>
      </c>
      <c r="I35">
        <v>9.6999999999999993</v>
      </c>
      <c r="J35">
        <v>-2099.5</v>
      </c>
    </row>
    <row r="37" spans="1:10" x14ac:dyDescent="0.3">
      <c r="A37" t="s">
        <v>310</v>
      </c>
    </row>
    <row r="38" spans="1:10" x14ac:dyDescent="0.3">
      <c r="A38" t="s">
        <v>311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 t="s">
        <v>312</v>
      </c>
      <c r="B39">
        <v>149</v>
      </c>
      <c r="C39">
        <v>-36</v>
      </c>
      <c r="D39">
        <v>-55</v>
      </c>
      <c r="E39">
        <v>3398.8</v>
      </c>
      <c r="F39">
        <v>-375</v>
      </c>
      <c r="G39">
        <v>-175</v>
      </c>
      <c r="H39">
        <v>-43.8</v>
      </c>
      <c r="I39">
        <v>-98</v>
      </c>
      <c r="J39">
        <v>-130.6</v>
      </c>
    </row>
    <row r="40" spans="1:10" x14ac:dyDescent="0.3">
      <c r="A40" t="s">
        <v>313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250</v>
      </c>
      <c r="I40">
        <v>0</v>
      </c>
      <c r="J40">
        <v>0</v>
      </c>
    </row>
    <row r="41" spans="1:10" x14ac:dyDescent="0.3">
      <c r="A41" t="s">
        <v>314</v>
      </c>
      <c r="B41">
        <v>240</v>
      </c>
      <c r="C41">
        <v>0</v>
      </c>
      <c r="D41">
        <v>0</v>
      </c>
      <c r="E41">
        <v>3700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315</v>
      </c>
      <c r="B42">
        <v>-91</v>
      </c>
      <c r="C42">
        <v>-36</v>
      </c>
      <c r="D42">
        <v>-55</v>
      </c>
      <c r="E42">
        <v>-301.2</v>
      </c>
      <c r="F42">
        <v>-375</v>
      </c>
      <c r="G42">
        <v>-175</v>
      </c>
      <c r="H42">
        <v>-293.8</v>
      </c>
      <c r="I42">
        <v>-98</v>
      </c>
      <c r="J42">
        <v>-130.6</v>
      </c>
    </row>
    <row r="43" spans="1:10" x14ac:dyDescent="0.3">
      <c r="A43" t="s">
        <v>316</v>
      </c>
      <c r="B43">
        <v>524.32500000000005</v>
      </c>
      <c r="C43">
        <v>5.1449999999999996</v>
      </c>
      <c r="D43">
        <v>62</v>
      </c>
      <c r="E43">
        <v>-245.7</v>
      </c>
      <c r="F43">
        <v>-393.5</v>
      </c>
      <c r="G43">
        <v>-377.7</v>
      </c>
      <c r="H43">
        <v>-37.700000000000003</v>
      </c>
      <c r="I43">
        <v>-386.1</v>
      </c>
      <c r="J43">
        <v>-452.1</v>
      </c>
    </row>
    <row r="44" spans="1:10" x14ac:dyDescent="0.3">
      <c r="A44" t="s">
        <v>317</v>
      </c>
      <c r="B44">
        <v>535.87800000000004</v>
      </c>
      <c r="C44">
        <v>71.281000000000006</v>
      </c>
      <c r="D44">
        <v>365</v>
      </c>
      <c r="E44">
        <v>82</v>
      </c>
      <c r="F44">
        <v>37.1</v>
      </c>
      <c r="G44">
        <v>85.9</v>
      </c>
      <c r="H44">
        <v>47.3</v>
      </c>
      <c r="I44">
        <v>29.9</v>
      </c>
      <c r="J44">
        <v>58.7</v>
      </c>
    </row>
    <row r="45" spans="1:10" x14ac:dyDescent="0.3">
      <c r="A45" t="s">
        <v>318</v>
      </c>
      <c r="B45">
        <v>-11.553000000000001</v>
      </c>
      <c r="C45">
        <v>-66.135999999999996</v>
      </c>
      <c r="D45">
        <v>-303</v>
      </c>
      <c r="E45">
        <v>-327.7</v>
      </c>
      <c r="F45">
        <v>-430.6</v>
      </c>
      <c r="G45">
        <v>-463.6</v>
      </c>
      <c r="H45">
        <v>-85</v>
      </c>
      <c r="I45">
        <v>-416</v>
      </c>
      <c r="J45">
        <v>-510.8</v>
      </c>
    </row>
    <row r="46" spans="1:10" x14ac:dyDescent="0.3">
      <c r="A46" t="s">
        <v>319</v>
      </c>
      <c r="B46">
        <v>-6.9489999999999998</v>
      </c>
      <c r="C46">
        <v>102.494</v>
      </c>
      <c r="D46">
        <v>0</v>
      </c>
      <c r="E46">
        <v>-168</v>
      </c>
      <c r="F46">
        <v>-67.7</v>
      </c>
      <c r="G46">
        <v>-43.9</v>
      </c>
      <c r="H46">
        <v>-20.9</v>
      </c>
      <c r="I46">
        <v>-255</v>
      </c>
      <c r="J46">
        <v>-29.2</v>
      </c>
    </row>
    <row r="47" spans="1:10" x14ac:dyDescent="0.3">
      <c r="A47" t="s">
        <v>293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 t="s">
        <v>310</v>
      </c>
      <c r="B48">
        <v>666.37599999999998</v>
      </c>
      <c r="C48">
        <v>71.638999999999996</v>
      </c>
      <c r="D48">
        <v>7</v>
      </c>
      <c r="E48">
        <v>2985.1</v>
      </c>
      <c r="F48">
        <v>-836.2</v>
      </c>
      <c r="G48">
        <v>-596.6</v>
      </c>
      <c r="H48">
        <v>-102.4</v>
      </c>
      <c r="I48">
        <v>-739.1</v>
      </c>
      <c r="J48">
        <v>-611.9</v>
      </c>
    </row>
    <row r="50" spans="1:11" x14ac:dyDescent="0.3">
      <c r="A50" t="s">
        <v>320</v>
      </c>
      <c r="B50">
        <v>-0.76800000000000002</v>
      </c>
      <c r="C50">
        <v>-1.4910000000000001</v>
      </c>
      <c r="D50">
        <v>-10</v>
      </c>
      <c r="E50">
        <v>-9</v>
      </c>
      <c r="F50">
        <v>-6.6</v>
      </c>
      <c r="G50">
        <v>17.7</v>
      </c>
      <c r="H50">
        <v>-11.2</v>
      </c>
      <c r="I50">
        <v>0.8</v>
      </c>
      <c r="J50">
        <v>19.5</v>
      </c>
    </row>
    <row r="52" spans="1:11" x14ac:dyDescent="0.3">
      <c r="A52" t="s">
        <v>321</v>
      </c>
      <c r="B52">
        <v>448.63600000000002</v>
      </c>
      <c r="C52">
        <v>-459.64400000000001</v>
      </c>
      <c r="D52">
        <v>414</v>
      </c>
      <c r="E52">
        <v>66.099999999999994</v>
      </c>
      <c r="F52">
        <v>-44.1</v>
      </c>
      <c r="G52">
        <v>-381.6</v>
      </c>
      <c r="H52">
        <v>782.9</v>
      </c>
      <c r="I52">
        <v>1356.3</v>
      </c>
      <c r="J52">
        <v>311</v>
      </c>
    </row>
    <row r="54" spans="1:11" x14ac:dyDescent="0.3">
      <c r="A54" t="s">
        <v>322</v>
      </c>
      <c r="B54">
        <v>18.271999999999998</v>
      </c>
      <c r="C54">
        <v>76.165000000000006</v>
      </c>
      <c r="D54">
        <v>91</v>
      </c>
      <c r="E54">
        <v>123.2</v>
      </c>
      <c r="F54">
        <v>37.700000000000003</v>
      </c>
      <c r="G54">
        <v>162.1</v>
      </c>
      <c r="H54">
        <v>163.9</v>
      </c>
      <c r="I54">
        <v>187.9</v>
      </c>
      <c r="J54">
        <v>248.9</v>
      </c>
    </row>
    <row r="55" spans="1:11" x14ac:dyDescent="0.3">
      <c r="A55" t="s">
        <v>323</v>
      </c>
      <c r="B55">
        <v>4.4749999999999996</v>
      </c>
      <c r="C55">
        <v>2.831</v>
      </c>
      <c r="D55">
        <v>2</v>
      </c>
      <c r="E55">
        <v>41.4</v>
      </c>
      <c r="F55">
        <v>79.599999999999994</v>
      </c>
      <c r="G55">
        <v>95.3</v>
      </c>
      <c r="H55">
        <v>90.9</v>
      </c>
      <c r="I55">
        <v>72.599999999999994</v>
      </c>
      <c r="J55">
        <v>99.9</v>
      </c>
    </row>
    <row r="57" spans="1:11" x14ac:dyDescent="0.3">
      <c r="A57" t="s">
        <v>324</v>
      </c>
    </row>
    <row r="58" spans="1:11" x14ac:dyDescent="0.3">
      <c r="A58" t="s">
        <v>325</v>
      </c>
      <c r="B58">
        <v>428.22500000000002</v>
      </c>
      <c r="C58">
        <v>556.70299999999997</v>
      </c>
      <c r="D58">
        <v>916</v>
      </c>
      <c r="E58">
        <v>703.3</v>
      </c>
      <c r="F58">
        <v>1063.8</v>
      </c>
      <c r="G58">
        <v>1124.0999999999999</v>
      </c>
      <c r="H58">
        <v>674.9</v>
      </c>
      <c r="I58">
        <v>2531.5</v>
      </c>
      <c r="J58">
        <v>999.8</v>
      </c>
    </row>
    <row r="59" spans="1:11" x14ac:dyDescent="0.3">
      <c r="A59" t="s">
        <v>326</v>
      </c>
      <c r="B59">
        <v>37.758499999999998</v>
      </c>
      <c r="C59">
        <v>35.885199999999998</v>
      </c>
      <c r="D59">
        <v>41.002699999999997</v>
      </c>
      <c r="E59">
        <v>27.008400000000002</v>
      </c>
      <c r="F59">
        <v>34.493000000000002</v>
      </c>
      <c r="G59">
        <v>31.655000000000001</v>
      </c>
      <c r="H59">
        <v>16.3367</v>
      </c>
      <c r="I59">
        <v>50.720300000000002</v>
      </c>
      <c r="J59">
        <v>16.471399999999999</v>
      </c>
      <c r="K59">
        <v>14.192858055449101</v>
      </c>
    </row>
    <row r="60" spans="1:11" x14ac:dyDescent="0.3">
      <c r="A60" t="s">
        <v>327</v>
      </c>
      <c r="B60">
        <v>605.73500000000001</v>
      </c>
      <c r="C60" t="s">
        <v>25</v>
      </c>
      <c r="D60">
        <v>0</v>
      </c>
      <c r="E60">
        <v>3939.3</v>
      </c>
      <c r="F60">
        <v>0</v>
      </c>
      <c r="G60" t="s">
        <v>25</v>
      </c>
      <c r="H60">
        <v>0</v>
      </c>
      <c r="I60" t="s">
        <v>25</v>
      </c>
      <c r="J60">
        <v>2111.9</v>
      </c>
    </row>
    <row r="61" spans="1:11" x14ac:dyDescent="0.3">
      <c r="A61" t="s">
        <v>328</v>
      </c>
      <c r="B61">
        <v>7.2279999999999998</v>
      </c>
      <c r="C61">
        <v>-105.714</v>
      </c>
      <c r="D61">
        <v>251</v>
      </c>
      <c r="E61">
        <v>89.7</v>
      </c>
      <c r="F61">
        <v>0</v>
      </c>
      <c r="G61" t="s">
        <v>25</v>
      </c>
      <c r="H61" t="s">
        <v>25</v>
      </c>
      <c r="I61" t="s">
        <v>25</v>
      </c>
      <c r="J61" t="s">
        <v>25</v>
      </c>
    </row>
    <row r="62" spans="1:11" x14ac:dyDescent="0.3">
      <c r="A62" t="s">
        <v>329</v>
      </c>
      <c r="B62">
        <v>388.767</v>
      </c>
      <c r="C62">
        <v>468.02</v>
      </c>
      <c r="D62">
        <v>503</v>
      </c>
      <c r="E62">
        <v>388.9</v>
      </c>
      <c r="F62">
        <v>753.6</v>
      </c>
      <c r="G62">
        <v>758.3</v>
      </c>
      <c r="H62">
        <v>213</v>
      </c>
      <c r="I62">
        <v>1930.2</v>
      </c>
      <c r="J62">
        <v>2896.2</v>
      </c>
    </row>
    <row r="63" spans="1:11" x14ac:dyDescent="0.3">
      <c r="A63" t="s">
        <v>330</v>
      </c>
      <c r="B63">
        <v>393.51139999999998</v>
      </c>
      <c r="C63">
        <v>469.99599999999998</v>
      </c>
      <c r="D63">
        <v>505.26029999999997</v>
      </c>
      <c r="E63">
        <v>402.75729999999999</v>
      </c>
      <c r="F63">
        <v>820.76739999999995</v>
      </c>
      <c r="G63">
        <v>837.9289</v>
      </c>
      <c r="H63">
        <v>244.46289999999999</v>
      </c>
      <c r="I63" t="s">
        <v>25</v>
      </c>
      <c r="J63" t="s">
        <v>25</v>
      </c>
    </row>
    <row r="64" spans="1:11" x14ac:dyDescent="0.3">
      <c r="A64" t="s">
        <v>331</v>
      </c>
      <c r="B64">
        <v>537.76700000000005</v>
      </c>
      <c r="C64">
        <v>432.02</v>
      </c>
      <c r="D64">
        <v>448</v>
      </c>
      <c r="E64">
        <v>3787.7</v>
      </c>
      <c r="F64">
        <v>378.6</v>
      </c>
      <c r="G64">
        <v>583.29999999999995</v>
      </c>
      <c r="H64">
        <v>169.2</v>
      </c>
      <c r="I64">
        <v>1832.2</v>
      </c>
      <c r="J64">
        <v>2765.6</v>
      </c>
    </row>
    <row r="65" spans="1:11" x14ac:dyDescent="0.3">
      <c r="A65" t="s">
        <v>332</v>
      </c>
      <c r="B65">
        <v>2.0411999999999999</v>
      </c>
      <c r="C65">
        <v>2.3936000000000002</v>
      </c>
      <c r="D65">
        <v>2.5404</v>
      </c>
      <c r="E65">
        <v>1.8224</v>
      </c>
      <c r="F65">
        <v>3.3597999999999999</v>
      </c>
      <c r="G65">
        <v>3.3868</v>
      </c>
      <c r="H65">
        <v>0.95640000000000003</v>
      </c>
      <c r="I65">
        <v>8.6478000000000002</v>
      </c>
      <c r="J65">
        <v>13.1586</v>
      </c>
    </row>
    <row r="66" spans="1:11" x14ac:dyDescent="0.3">
      <c r="A66" t="s">
        <v>333</v>
      </c>
      <c r="B66">
        <v>45.924199999999999</v>
      </c>
      <c r="C66">
        <v>55.517000000000003</v>
      </c>
      <c r="D66">
        <v>72.834900000000005</v>
      </c>
      <c r="E66">
        <v>104.66970000000001</v>
      </c>
      <c r="F66">
        <v>36.415999999999997</v>
      </c>
      <c r="G66">
        <v>35.3108</v>
      </c>
      <c r="H66">
        <v>101.7938</v>
      </c>
      <c r="I66">
        <v>12.506</v>
      </c>
      <c r="J66">
        <v>11.8736</v>
      </c>
    </row>
    <row r="67" spans="1:11" x14ac:dyDescent="0.3">
      <c r="A67" t="s">
        <v>334</v>
      </c>
      <c r="B67">
        <v>1.6113999999999999</v>
      </c>
      <c r="C67">
        <v>1.9665999999999999</v>
      </c>
      <c r="D67">
        <v>0.97409999999999997</v>
      </c>
      <c r="E67">
        <v>4.6759000000000004</v>
      </c>
      <c r="F67">
        <v>2.7198000000000002</v>
      </c>
      <c r="G67">
        <v>2.5165999999999999</v>
      </c>
      <c r="H67">
        <v>5.4897</v>
      </c>
      <c r="I67">
        <v>0.86719999999999997</v>
      </c>
      <c r="J67">
        <v>4.9766000000000004</v>
      </c>
      <c r="K67">
        <v>1.00251572327044</v>
      </c>
    </row>
    <row r="68" spans="1:11" x14ac:dyDescent="0.3">
      <c r="A68" t="s">
        <v>279</v>
      </c>
      <c r="B68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DCF_FCFF</vt:lpstr>
      <vt:lpstr>WACC</vt:lpstr>
      <vt:lpstr>Sensitivity_Analysis_Synergies</vt:lpstr>
      <vt:lpstr>Tax &amp; NOPAT</vt:lpstr>
      <vt:lpstr>Income_statement</vt:lpstr>
      <vt:lpstr>Balance_sheet</vt:lpstr>
      <vt:lpstr>Cash_flow_statement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Iyer</dc:creator>
  <cp:lastModifiedBy>Rohan Iyer</cp:lastModifiedBy>
  <dcterms:created xsi:type="dcterms:W3CDTF">2025-07-26T17:32:07Z</dcterms:created>
  <dcterms:modified xsi:type="dcterms:W3CDTF">2025-07-31T16:31:16Z</dcterms:modified>
</cp:coreProperties>
</file>