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4.xml" ContentType="application/vnd.openxmlformats-officedocument.drawing+xml"/>
  <Override PartName="/xl/tables/table1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6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A2E34E3-CAFC-495B-8DAA-8597FF06C66B}" xr6:coauthVersionLast="47" xr6:coauthVersionMax="47" xr10:uidLastSave="{00000000-0000-0000-0000-000000000000}"/>
  <bookViews>
    <workbookView xWindow="-108" yWindow="-108" windowWidth="23256" windowHeight="12456" firstSheet="1" activeTab="3" xr2:uid="{D3BFB6A7-9A81-456B-83BE-D863027A04FD}"/>
  </bookViews>
  <sheets>
    <sheet name="Income Statement" sheetId="2" r:id="rId1"/>
    <sheet name="Balance Sheet" sheetId="3" r:id="rId2"/>
    <sheet name="Cash Flow statement " sheetId="4" r:id="rId3"/>
    <sheet name="Assumptions" sheetId="5" r:id="rId4"/>
    <sheet name="FCFF Forecast" sheetId="6" r:id="rId5"/>
    <sheet name="DCF Valuation" sheetId="7" r:id="rId6"/>
    <sheet name="Valuation Summary" sheetId="8" r:id="rId7"/>
    <sheet name="Sensitivity Analysis" sheetId="9" r:id="rId8"/>
  </sheets>
  <definedNames>
    <definedName name="FCFF_2029">'Sensitivity Analysis'!$I$2</definedName>
    <definedName name="Net_Debt">'Sensitivity Analysis'!$I$4</definedName>
    <definedName name="PV_FCFFs">'Sensitivity Analysis'!$I$3</definedName>
    <definedName name="Shares_outstanding">'Sensitivity Analysis'!$I$5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7" l="1"/>
  <c r="F1" i="9" l="1"/>
  <c r="E1" i="9"/>
  <c r="D1" i="9"/>
  <c r="C1" i="9"/>
  <c r="I2" i="9"/>
  <c r="I3" i="9"/>
  <c r="I5" i="9"/>
  <c r="I4" i="9"/>
  <c r="B8" i="8"/>
  <c r="B7" i="8"/>
  <c r="B6" i="8"/>
  <c r="B5" i="8"/>
  <c r="B4" i="8"/>
  <c r="B3" i="8"/>
  <c r="B2" i="8"/>
  <c r="B14" i="7"/>
  <c r="B9" i="7"/>
  <c r="D3" i="7" s="1"/>
  <c r="D4" i="7" s="1"/>
  <c r="B29" i="7"/>
  <c r="C21" i="7"/>
  <c r="B21" i="7"/>
  <c r="B20" i="7"/>
  <c r="B2" i="6"/>
  <c r="B7" i="6" s="1"/>
  <c r="R25" i="5"/>
  <c r="Q25" i="5"/>
  <c r="P25" i="5"/>
  <c r="O25" i="5"/>
  <c r="R24" i="5"/>
  <c r="R26" i="5" s="1"/>
  <c r="Q24" i="5"/>
  <c r="Q26" i="5" s="1"/>
  <c r="P24" i="5"/>
  <c r="P26" i="5" s="1"/>
  <c r="O24" i="5"/>
  <c r="O26" i="5" s="1"/>
  <c r="P20" i="5"/>
  <c r="P19" i="5"/>
  <c r="P18" i="5"/>
  <c r="P17" i="5"/>
  <c r="S10" i="5"/>
  <c r="S11" i="5" s="1"/>
  <c r="R10" i="5"/>
  <c r="Q10" i="5"/>
  <c r="P10" i="5"/>
  <c r="O10" i="5"/>
  <c r="O11" i="5" s="1"/>
  <c r="S9" i="5"/>
  <c r="R9" i="5"/>
  <c r="R11" i="5" s="1"/>
  <c r="Q9" i="5"/>
  <c r="P9" i="5"/>
  <c r="P11" i="5" s="1"/>
  <c r="P12" i="5" s="1"/>
  <c r="O17" i="5" s="1"/>
  <c r="O9" i="5"/>
  <c r="P6" i="5"/>
  <c r="P5" i="5"/>
  <c r="P4" i="5"/>
  <c r="P3" i="5"/>
  <c r="O6" i="5"/>
  <c r="O5" i="5"/>
  <c r="O4" i="5"/>
  <c r="O3" i="5"/>
  <c r="B24" i="5"/>
  <c r="C20" i="2"/>
  <c r="D20" i="2"/>
  <c r="E20" i="2"/>
  <c r="F20" i="2"/>
  <c r="G20" i="2"/>
  <c r="H20" i="2"/>
  <c r="B20" i="2"/>
  <c r="B22" i="5"/>
  <c r="B21" i="5"/>
  <c r="O10" i="3"/>
  <c r="P10" i="3"/>
  <c r="Q10" i="3"/>
  <c r="R10" i="3"/>
  <c r="S10" i="3"/>
  <c r="T10" i="3"/>
  <c r="N10" i="3"/>
  <c r="F58" i="3"/>
  <c r="O8" i="3" s="1"/>
  <c r="G58" i="3"/>
  <c r="P9" i="3" s="1"/>
  <c r="H58" i="3"/>
  <c r="Q8" i="3" s="1"/>
  <c r="I58" i="3"/>
  <c r="R8" i="3" s="1"/>
  <c r="J58" i="3"/>
  <c r="S8" i="3" s="1"/>
  <c r="K58" i="3"/>
  <c r="T9" i="3" s="1"/>
  <c r="E58" i="3"/>
  <c r="N8" i="3" s="1"/>
  <c r="O3" i="3"/>
  <c r="P3" i="3"/>
  <c r="Q3" i="3"/>
  <c r="R3" i="3"/>
  <c r="S3" i="3"/>
  <c r="T3" i="3"/>
  <c r="N3" i="3"/>
  <c r="O2" i="3"/>
  <c r="P2" i="3"/>
  <c r="Q2" i="3"/>
  <c r="R2" i="3"/>
  <c r="S2" i="3"/>
  <c r="T2" i="3"/>
  <c r="N2" i="3"/>
  <c r="C51" i="2"/>
  <c r="D51" i="2"/>
  <c r="E51" i="2"/>
  <c r="F51" i="2"/>
  <c r="G51" i="2"/>
  <c r="H51" i="2"/>
  <c r="I51" i="2"/>
  <c r="J51" i="2"/>
  <c r="K51" i="2"/>
  <c r="B51" i="2"/>
  <c r="C76" i="2"/>
  <c r="D76" i="2"/>
  <c r="E76" i="2"/>
  <c r="F76" i="2"/>
  <c r="G76" i="2"/>
  <c r="B23" i="5" s="1"/>
  <c r="H76" i="2"/>
  <c r="I76" i="2"/>
  <c r="J76" i="2"/>
  <c r="K76" i="2"/>
  <c r="B76" i="2"/>
  <c r="C73" i="2"/>
  <c r="D73" i="2"/>
  <c r="E73" i="2"/>
  <c r="F73" i="2"/>
  <c r="G73" i="2"/>
  <c r="H73" i="2"/>
  <c r="I73" i="2"/>
  <c r="J73" i="2"/>
  <c r="K73" i="2"/>
  <c r="B73" i="2"/>
  <c r="C13" i="2"/>
  <c r="D13" i="2"/>
  <c r="E13" i="2"/>
  <c r="F13" i="2"/>
  <c r="G13" i="2"/>
  <c r="H13" i="2"/>
  <c r="I13" i="2"/>
  <c r="J13" i="2"/>
  <c r="K13" i="2"/>
  <c r="B13" i="2"/>
  <c r="K7" i="2"/>
  <c r="D7" i="2"/>
  <c r="E7" i="2"/>
  <c r="F7" i="2"/>
  <c r="G7" i="2"/>
  <c r="H7" i="2"/>
  <c r="I7" i="2"/>
  <c r="J7" i="2"/>
  <c r="C7" i="2"/>
  <c r="C5" i="9" l="1"/>
  <c r="D6" i="9"/>
  <c r="B3" i="9"/>
  <c r="E4" i="9"/>
  <c r="F6" i="9"/>
  <c r="C7" i="9"/>
  <c r="B5" i="9"/>
  <c r="C6" i="9"/>
  <c r="D8" i="9"/>
  <c r="D4" i="9"/>
  <c r="E6" i="9"/>
  <c r="F8" i="9"/>
  <c r="F4" i="9"/>
  <c r="C3" i="9"/>
  <c r="E7" i="9"/>
  <c r="F5" i="9"/>
  <c r="B8" i="9"/>
  <c r="B4" i="9"/>
  <c r="D7" i="9"/>
  <c r="D3" i="9"/>
  <c r="E5" i="9"/>
  <c r="F7" i="9"/>
  <c r="F3" i="9"/>
  <c r="B6" i="9"/>
  <c r="D5" i="9"/>
  <c r="E3" i="9"/>
  <c r="B7" i="9"/>
  <c r="C8" i="9"/>
  <c r="C4" i="9"/>
  <c r="E8" i="9"/>
  <c r="Q3" i="5"/>
  <c r="Q17" i="5"/>
  <c r="Q6" i="5"/>
  <c r="Q4" i="5"/>
  <c r="Q5" i="5"/>
  <c r="B3" i="6"/>
  <c r="B4" i="6"/>
  <c r="B8" i="6"/>
  <c r="B9" i="6"/>
  <c r="C2" i="6"/>
  <c r="B22" i="7"/>
  <c r="B25" i="7" s="1"/>
  <c r="E3" i="7"/>
  <c r="E4" i="7" s="1"/>
  <c r="B3" i="7"/>
  <c r="B4" i="7" s="1"/>
  <c r="C3" i="7"/>
  <c r="C4" i="7" s="1"/>
  <c r="G2" i="7"/>
  <c r="B27" i="7"/>
  <c r="B32" i="7" s="1"/>
  <c r="F3" i="7"/>
  <c r="G3" i="7" s="1"/>
  <c r="D2" i="6"/>
  <c r="B27" i="5"/>
  <c r="S12" i="5"/>
  <c r="O20" i="5" s="1"/>
  <c r="Q20" i="5" s="1"/>
  <c r="Q11" i="5"/>
  <c r="R12" i="5" s="1"/>
  <c r="O19" i="5" s="1"/>
  <c r="Q19" i="5" s="1"/>
  <c r="Q12" i="5"/>
  <c r="O18" i="5" s="1"/>
  <c r="Q18" i="5" s="1"/>
  <c r="T8" i="3"/>
  <c r="P8" i="3"/>
  <c r="S9" i="3"/>
  <c r="O9" i="3"/>
  <c r="R9" i="3"/>
  <c r="N9" i="3"/>
  <c r="Q9" i="3"/>
  <c r="B25" i="5" l="1"/>
  <c r="E2" i="6"/>
  <c r="D7" i="6"/>
  <c r="D9" i="6"/>
  <c r="D8" i="6"/>
  <c r="D4" i="6"/>
  <c r="C3" i="6"/>
  <c r="C8" i="6"/>
  <c r="C4" i="6"/>
  <c r="C5" i="6" s="1"/>
  <c r="C6" i="6" s="1"/>
  <c r="C7" i="6"/>
  <c r="C9" i="6"/>
  <c r="D3" i="6"/>
  <c r="B6" i="6"/>
  <c r="B10" i="6" s="1"/>
  <c r="B5" i="6"/>
  <c r="F4" i="7"/>
  <c r="B5" i="7" s="1"/>
  <c r="B13" i="7" s="1"/>
  <c r="B15" i="7" s="1"/>
  <c r="B16" i="7" s="1"/>
  <c r="B33" i="7"/>
  <c r="E3" i="6"/>
  <c r="C10" i="6" l="1"/>
  <c r="D5" i="6"/>
  <c r="D6" i="6" s="1"/>
  <c r="D10" i="6" s="1"/>
  <c r="F2" i="6"/>
  <c r="E8" i="6"/>
  <c r="E4" i="6"/>
  <c r="E5" i="6" s="1"/>
  <c r="E6" i="6" s="1"/>
  <c r="E9" i="6"/>
  <c r="E7" i="6"/>
  <c r="E10" i="6" l="1"/>
  <c r="F3" i="6"/>
  <c r="F7" i="6"/>
  <c r="F9" i="6"/>
  <c r="F8" i="6"/>
  <c r="F4" i="6"/>
  <c r="F5" i="6" s="1"/>
  <c r="F6" i="6" s="1"/>
  <c r="F10" i="6" l="1"/>
</calcChain>
</file>

<file path=xl/sharedStrings.xml><?xml version="1.0" encoding="utf-8"?>
<sst xmlns="http://schemas.openxmlformats.org/spreadsheetml/2006/main" count="617" uniqueCount="339">
  <si>
    <t>Revenue</t>
  </si>
  <si>
    <t>EBITDA</t>
  </si>
  <si>
    <t>Marriott International Inc/MD (MAR US) - BBG Adjusted</t>
  </si>
  <si>
    <t>FY 2018</t>
  </si>
  <si>
    <t>FY 2019</t>
  </si>
  <si>
    <t>FY 2020</t>
  </si>
  <si>
    <t>FY 2021</t>
  </si>
  <si>
    <t>FY 2022</t>
  </si>
  <si>
    <t>FY 2023</t>
  </si>
  <si>
    <t>FY 2024</t>
  </si>
  <si>
    <t>Last 12M</t>
  </si>
  <si>
    <t>FY 2025 Est</t>
  </si>
  <si>
    <t>FY 2026 Est</t>
  </si>
  <si>
    <t>In Millions of USD except Per Share</t>
  </si>
  <si>
    <t>12 Months Ending</t>
  </si>
  <si>
    <t>12/31/2018</t>
  </si>
  <si>
    <t>12/31/2019</t>
  </si>
  <si>
    <t>12/31/2020</t>
  </si>
  <si>
    <t>12/31/2021</t>
  </si>
  <si>
    <t>12/31/2022</t>
  </si>
  <si>
    <t>12/31/2023</t>
  </si>
  <si>
    <t>12/31/2024</t>
  </si>
  <si>
    <t>12/31/2025</t>
  </si>
  <si>
    <t>12/31/2026</t>
  </si>
  <si>
    <t xml:space="preserve">    + Sales &amp; Services Revenue</t>
  </si>
  <si>
    <t xml:space="preserve">    + Other Revenue</t>
  </si>
  <si>
    <t xml:space="preserve">  - Cost of Revenue</t>
  </si>
  <si>
    <t xml:space="preserve">    + Cost of Goods &amp; Services</t>
  </si>
  <si>
    <t>Gross Profit</t>
  </si>
  <si>
    <t xml:space="preserve">  + Other Operating Income</t>
  </si>
  <si>
    <t xml:space="preserve">  - Operating Expenses</t>
  </si>
  <si>
    <t xml:space="preserve">    + Selling, General &amp; Admin</t>
  </si>
  <si>
    <t xml:space="preserve">    + General &amp; Administrative</t>
  </si>
  <si>
    <t xml:space="preserve">    + Research &amp; Development</t>
  </si>
  <si>
    <t>—</t>
  </si>
  <si>
    <t xml:space="preserve">    + Depreciation &amp; Amortization</t>
  </si>
  <si>
    <t xml:space="preserve">    + Other Operating Expense</t>
  </si>
  <si>
    <t>Operating Income (Loss)</t>
  </si>
  <si>
    <t xml:space="preserve">  - Non-Operating (Income) Loss</t>
  </si>
  <si>
    <t xml:space="preserve">    + Interest Expense, Net</t>
  </si>
  <si>
    <t xml:space="preserve">    + Interest Expense</t>
  </si>
  <si>
    <t xml:space="preserve">    - Interest Income</t>
  </si>
  <si>
    <t xml:space="preserve">    + Foreign Exch (Gain) Loss</t>
  </si>
  <si>
    <t xml:space="preserve">    + (Income) Loss from Affiliates</t>
  </si>
  <si>
    <t xml:space="preserve">    + Other Non-Op (Income) Loss</t>
  </si>
  <si>
    <t>Pretax Income (Loss), Adjusted</t>
  </si>
  <si>
    <t xml:space="preserve">  - Abnormal Losses (Gains)</t>
  </si>
  <si>
    <t xml:space="preserve">    + Merger/Acquisition Expense</t>
  </si>
  <si>
    <t xml:space="preserve">    + Disposal of Assets</t>
  </si>
  <si>
    <t xml:space="preserve">    + Early Extinguishment of Debt</t>
  </si>
  <si>
    <t xml:space="preserve">    + Asset Write-Down</t>
  </si>
  <si>
    <t xml:space="preserve">    + Gain/Loss on Sale/Acquisition of Business</t>
  </si>
  <si>
    <t xml:space="preserve">    + Legal Settlement</t>
  </si>
  <si>
    <t xml:space="preserve">    + Sale of Investments</t>
  </si>
  <si>
    <t xml:space="preserve">    + Other Abnormal Items</t>
  </si>
  <si>
    <t>Pretax Income (Loss), GAAP</t>
  </si>
  <si>
    <t xml:space="preserve">  - Income Tax Expense (Benefit)</t>
  </si>
  <si>
    <t xml:space="preserve">    + Current Income Tax</t>
  </si>
  <si>
    <t xml:space="preserve">    + Deferred Income Tax</t>
  </si>
  <si>
    <t>Income (Loss) from Cont Ops</t>
  </si>
  <si>
    <t xml:space="preserve">  - Net Extraordinary Losses (Gains)</t>
  </si>
  <si>
    <t xml:space="preserve">    + Discontinued Operations</t>
  </si>
  <si>
    <t xml:space="preserve">    + XO &amp; Accounting Changes</t>
  </si>
  <si>
    <t>Income (Loss) Incl. MI</t>
  </si>
  <si>
    <t xml:space="preserve">  - Minority Interest</t>
  </si>
  <si>
    <t>Net Income, GAAP</t>
  </si>
  <si>
    <t xml:space="preserve">  - Preferred Dividends</t>
  </si>
  <si>
    <t xml:space="preserve">  - Other Adjustments</t>
  </si>
  <si>
    <t>Net Income Avail to Common, GAAP</t>
  </si>
  <si>
    <t>Net Income Avail to Common, Adj</t>
  </si>
  <si>
    <t xml:space="preserve">  Net Abnormal Losses (Gains)</t>
  </si>
  <si>
    <t xml:space="preserve">  Net Extraordinary Losses (Gains)</t>
  </si>
  <si>
    <t>Basic Weighted Avg Shares</t>
  </si>
  <si>
    <t>Basic EPS, GAAP</t>
  </si>
  <si>
    <t>Basic EPS from Cont Ops, GAAP</t>
  </si>
  <si>
    <t>Basic EPS from Cont Ops, Adjusted</t>
  </si>
  <si>
    <t>Diluted Weighted Avg Shares</t>
  </si>
  <si>
    <t>Diluted EPS, GAAP</t>
  </si>
  <si>
    <t>Diluted EPS from Cont Ops, GAAP</t>
  </si>
  <si>
    <t>Diluted EPS from Cont Ops, Adjusted</t>
  </si>
  <si>
    <t>Reference Items</t>
  </si>
  <si>
    <t>Accounting Standard</t>
  </si>
  <si>
    <t>US GAAP</t>
  </si>
  <si>
    <t>EBITA</t>
  </si>
  <si>
    <t>EBIT</t>
  </si>
  <si>
    <t>Profit Margin</t>
  </si>
  <si>
    <t>Sales per Employee</t>
  </si>
  <si>
    <t>Dividends per Share</t>
  </si>
  <si>
    <t>Total Cash Common Dividends</t>
  </si>
  <si>
    <t>Capitalized Interest Expense</t>
  </si>
  <si>
    <t>Depreciation Expense</t>
  </si>
  <si>
    <t>Rental Expense</t>
  </si>
  <si>
    <t>Source: Bloomberg</t>
  </si>
  <si>
    <t>Right click to show data transparency (not supported for all values)</t>
  </si>
  <si>
    <t>Marriott International Inc/MD (MAR US) - Standardized</t>
  </si>
  <si>
    <t>FY 2015</t>
  </si>
  <si>
    <t>FY 2016</t>
  </si>
  <si>
    <t>FY 2017</t>
  </si>
  <si>
    <t>12/31/2015</t>
  </si>
  <si>
    <t>12/31/2016</t>
  </si>
  <si>
    <t>12/31/2017</t>
  </si>
  <si>
    <t>Total Assets</t>
  </si>
  <si>
    <t xml:space="preserve">  + Cash, Cash Equivalents &amp; STI</t>
  </si>
  <si>
    <t xml:space="preserve">    + Cash &amp; Cash Equivalents</t>
  </si>
  <si>
    <t xml:space="preserve">    + ST Investments</t>
  </si>
  <si>
    <t xml:space="preserve">  + Accounts &amp; Notes Receiv</t>
  </si>
  <si>
    <t xml:space="preserve">  + Inventories</t>
  </si>
  <si>
    <t xml:space="preserve">    + Raw Materials</t>
  </si>
  <si>
    <t xml:space="preserve">    + Work In Process</t>
  </si>
  <si>
    <t xml:space="preserve">    + Finished Goods</t>
  </si>
  <si>
    <t xml:space="preserve">    + Other Inventory</t>
  </si>
  <si>
    <t xml:space="preserve">  + Other ST Assets</t>
  </si>
  <si>
    <t xml:space="preserve">    + Prepaid Expenses</t>
  </si>
  <si>
    <t xml:space="preserve">    + Derivative &amp; Hedging Assets</t>
  </si>
  <si>
    <t xml:space="preserve">    + Assets Held-for-Sale</t>
  </si>
  <si>
    <t xml:space="preserve">    + Deferred Tax Assets</t>
  </si>
  <si>
    <t xml:space="preserve">    + Misc ST Assets</t>
  </si>
  <si>
    <t>Total Current Assets</t>
  </si>
  <si>
    <t xml:space="preserve">  + Property, Plant &amp; Equip, Net</t>
  </si>
  <si>
    <t xml:space="preserve">    + Property, Plant &amp; Equip</t>
  </si>
  <si>
    <t xml:space="preserve">    - Accumulated Depreciation</t>
  </si>
  <si>
    <t xml:space="preserve">  + LT Investments &amp; Receivables</t>
  </si>
  <si>
    <t xml:space="preserve">    + LT Receivables</t>
  </si>
  <si>
    <t xml:space="preserve">  + Other LT Assets</t>
  </si>
  <si>
    <t xml:space="preserve">    + Total Intangible Assets</t>
  </si>
  <si>
    <t xml:space="preserve">    + Goodwill</t>
  </si>
  <si>
    <t xml:space="preserve">    + Other Intangible Assets</t>
  </si>
  <si>
    <t xml:space="preserve">    + Prepaid Pension Costs</t>
  </si>
  <si>
    <t xml:space="preserve">    + Investments in Affiliates</t>
  </si>
  <si>
    <t xml:space="preserve">    + Misc LT Assets</t>
  </si>
  <si>
    <t>Total Noncurrent Assets</t>
  </si>
  <si>
    <t>Liabilities &amp; Shareholders' Equity</t>
  </si>
  <si>
    <t xml:space="preserve">  + Payables &amp; Accruals</t>
  </si>
  <si>
    <t xml:space="preserve">    + Accounts Payable</t>
  </si>
  <si>
    <t xml:space="preserve">    + Accrued Taxes</t>
  </si>
  <si>
    <t xml:space="preserve">    + Interest &amp; Dividends Payable</t>
  </si>
  <si>
    <t xml:space="preserve">    + Other Payables &amp; Accruals</t>
  </si>
  <si>
    <t xml:space="preserve">  + ST Debt</t>
  </si>
  <si>
    <t xml:space="preserve">    + ST Borrowings</t>
  </si>
  <si>
    <t xml:space="preserve">    + ST Lease Liabilities</t>
  </si>
  <si>
    <t xml:space="preserve">      + ST Finance Leases</t>
  </si>
  <si>
    <t xml:space="preserve">      + ST Operating Leases</t>
  </si>
  <si>
    <t xml:space="preserve">    + Current Portion of LT Debt</t>
  </si>
  <si>
    <t xml:space="preserve">  + Other ST Liabilities</t>
  </si>
  <si>
    <t xml:space="preserve">    + Deferred Revenue</t>
  </si>
  <si>
    <t xml:space="preserve">    + Derivatives &amp; Hedging</t>
  </si>
  <si>
    <t xml:space="preserve">    + Misc ST Liabilities</t>
  </si>
  <si>
    <t>Total Current Liabilities</t>
  </si>
  <si>
    <t xml:space="preserve">  + LT Debt</t>
  </si>
  <si>
    <t xml:space="preserve">    + LT Borrowings</t>
  </si>
  <si>
    <t xml:space="preserve">    + LT Lease Liabilities</t>
  </si>
  <si>
    <t xml:space="preserve">      + LT Finance Leases</t>
  </si>
  <si>
    <t xml:space="preserve">      + LT Operating Leases</t>
  </si>
  <si>
    <t xml:space="preserve">  + Other LT Liabilities</t>
  </si>
  <si>
    <t xml:space="preserve">    + Accrued Liabilities</t>
  </si>
  <si>
    <t xml:space="preserve">    + Pension Liabilities</t>
  </si>
  <si>
    <t xml:space="preserve">    + Pensions</t>
  </si>
  <si>
    <t xml:space="preserve">    + Other Post-Ret Benefits</t>
  </si>
  <si>
    <t xml:space="preserve">    + Deferred Tax Liabilities</t>
  </si>
  <si>
    <t xml:space="preserve">    + Misc LT Liabilities</t>
  </si>
  <si>
    <t>Total Noncurrent Liabilities</t>
  </si>
  <si>
    <t>Total Liabilities</t>
  </si>
  <si>
    <t xml:space="preserve">  + Preferred Equity and Hybrid Capital</t>
  </si>
  <si>
    <t xml:space="preserve">  + Share Capital &amp; APIC</t>
  </si>
  <si>
    <t xml:space="preserve">    + Common Stock</t>
  </si>
  <si>
    <t xml:space="preserve">    + Additional Paid in Capital</t>
  </si>
  <si>
    <t xml:space="preserve">  - Treasury Stock</t>
  </si>
  <si>
    <t xml:space="preserve">  + Retained Earnings</t>
  </si>
  <si>
    <t xml:space="preserve">  + Other Equity</t>
  </si>
  <si>
    <t>Equity Before Minority Interest</t>
  </si>
  <si>
    <t xml:space="preserve">  + Minority/Non Controlling Interest</t>
  </si>
  <si>
    <t>Total Equity</t>
  </si>
  <si>
    <t>Total Liabilities &amp; Equity</t>
  </si>
  <si>
    <t>Shares Outstanding</t>
  </si>
  <si>
    <t>Pension Obligations</t>
  </si>
  <si>
    <t>Future Minimum Operating Lease Obligations</t>
  </si>
  <si>
    <t>Capital Leases - Total</t>
  </si>
  <si>
    <t>Options Granted During Period</t>
  </si>
  <si>
    <t>Options Outstanding at Period End</t>
  </si>
  <si>
    <t>Net Debt</t>
  </si>
  <si>
    <t>Net Debt to Equity</t>
  </si>
  <si>
    <t>Tangible Common Equity Ratio</t>
  </si>
  <si>
    <t>Current Ratio</t>
  </si>
  <si>
    <t>Number of Employees</t>
  </si>
  <si>
    <t>Cash from Operating Activities</t>
  </si>
  <si>
    <t xml:space="preserve">  + Net Income</t>
  </si>
  <si>
    <t xml:space="preserve">  + Depreciation &amp; Amortization</t>
  </si>
  <si>
    <t xml:space="preserve">  + Non-Cash Items</t>
  </si>
  <si>
    <t xml:space="preserve">    + Stock-Based Compensation</t>
  </si>
  <si>
    <t xml:space="preserve">    + Deferred Income Taxes</t>
  </si>
  <si>
    <t xml:space="preserve">    + Other Non-Cash Adj</t>
  </si>
  <si>
    <t xml:space="preserve">  + Chg in Non-Cash Work Cap</t>
  </si>
  <si>
    <t xml:space="preserve">    + Inc (Dec) in Other</t>
  </si>
  <si>
    <t xml:space="preserve">  + Net Cash From Disc Ops</t>
  </si>
  <si>
    <t>Cash from Investing Activities</t>
  </si>
  <si>
    <t xml:space="preserve">  + Change in Fixed &amp; Intang</t>
  </si>
  <si>
    <t xml:space="preserve">    + Disp in Fixed &amp; Intang</t>
  </si>
  <si>
    <t xml:space="preserve">    + Disp of Fixed Prod Assets</t>
  </si>
  <si>
    <t xml:space="preserve">    + Disp of Intangible Assets</t>
  </si>
  <si>
    <t xml:space="preserve">    + Acq of Fixed &amp; Intang</t>
  </si>
  <si>
    <t xml:space="preserve">    + Acq of Fixed Prod Assets</t>
  </si>
  <si>
    <t xml:space="preserve">    + Acq of Intangible Assets</t>
  </si>
  <si>
    <t xml:space="preserve">  + Net Change in LT Investment</t>
  </si>
  <si>
    <t xml:space="preserve">    + Dec in LT Investment</t>
  </si>
  <si>
    <t xml:space="preserve">    + Inc in LT Investment</t>
  </si>
  <si>
    <t xml:space="preserve">  + Net Cash From Acq &amp; Div</t>
  </si>
  <si>
    <t xml:space="preserve">    + Cash from Divestitures</t>
  </si>
  <si>
    <t xml:space="preserve">    + Cash for Acq of Subs</t>
  </si>
  <si>
    <t xml:space="preserve">    + Cash for JVs</t>
  </si>
  <si>
    <t xml:space="preserve">  + Other Investing Activities</t>
  </si>
  <si>
    <t>Cash from Financing Activities</t>
  </si>
  <si>
    <t xml:space="preserve">  + Dividends Paid</t>
  </si>
  <si>
    <t xml:space="preserve">  + Cash From (Repayment) Debt</t>
  </si>
  <si>
    <t xml:space="preserve">    + Cash From (Repay) ST Debt</t>
  </si>
  <si>
    <t xml:space="preserve">    + Cash From LT Debt</t>
  </si>
  <si>
    <t xml:space="preserve">    + Repayments of LT Debt</t>
  </si>
  <si>
    <t xml:space="preserve">  + Cash (Repurchase) of Equity</t>
  </si>
  <si>
    <t xml:space="preserve">    + Increase in Capital Stock</t>
  </si>
  <si>
    <t xml:space="preserve">    + Decrease in Capital Stock</t>
  </si>
  <si>
    <t xml:space="preserve">  + Other Financing Activities</t>
  </si>
  <si>
    <t xml:space="preserve">  Effect of Foreign Exchange Rates</t>
  </si>
  <si>
    <t>Net Changes in Cash</t>
  </si>
  <si>
    <t>Cash Paid for Taxes</t>
  </si>
  <si>
    <t>Cash Paid for Interest</t>
  </si>
  <si>
    <t>Trailing 12M EBITDA Margin</t>
  </si>
  <si>
    <t>Net Cash Paid for Acquisitions</t>
  </si>
  <si>
    <t>Free Cash Flow</t>
  </si>
  <si>
    <t>Free Cash Flow to Firm</t>
  </si>
  <si>
    <t>Free Cash Flow to Equity</t>
  </si>
  <si>
    <t>Free Cash Flow per Basic Share</t>
  </si>
  <si>
    <t>Price to Free Cash Flow</t>
  </si>
  <si>
    <t>Cash Flow to Net Income</t>
  </si>
  <si>
    <t>Revenue Growth (%)</t>
  </si>
  <si>
    <t>Gross Profit Margin (%)</t>
  </si>
  <si>
    <t>EBITDA Margin (%)</t>
  </si>
  <si>
    <t xml:space="preserve">EBIT Margin (%) (Operating Margin) </t>
  </si>
  <si>
    <t>Net Profit Margin (%)</t>
  </si>
  <si>
    <t>Days Sales Outstanding (DSO) (How quickly Marriot Collects Cash)</t>
  </si>
  <si>
    <t>Days Payable Outstanding (DPO) (How long does Marriot take to pay suppliers)</t>
  </si>
  <si>
    <t>Working Capital Efficiency Analysis</t>
  </si>
  <si>
    <t xml:space="preserve">TOTAL DEBT </t>
  </si>
  <si>
    <t xml:space="preserve">Debt to Equity Ratio </t>
  </si>
  <si>
    <t>Debt to Asset Ratio</t>
  </si>
  <si>
    <t xml:space="preserve">Interest Coverage Ratio </t>
  </si>
  <si>
    <t>Debt &amp; Leverag Analysis</t>
  </si>
  <si>
    <t>Growth rates &amp; Margins</t>
  </si>
  <si>
    <t xml:space="preserve">Assumptions </t>
  </si>
  <si>
    <t xml:space="preserve">2025 Est </t>
  </si>
  <si>
    <t xml:space="preserve">2026 Est </t>
  </si>
  <si>
    <t xml:space="preserve">2027 Est </t>
  </si>
  <si>
    <t xml:space="preserve">2028 Est </t>
  </si>
  <si>
    <t xml:space="preserve">2029 Est </t>
  </si>
  <si>
    <t>Revenue Growth Rate (%)</t>
  </si>
  <si>
    <t>EBIT Margin (%)</t>
  </si>
  <si>
    <t>Depreciation (% of revenue)</t>
  </si>
  <si>
    <t xml:space="preserve">Capital Expenditure (% of revenue) </t>
  </si>
  <si>
    <t>Change in Net working capital (% Revenue)</t>
  </si>
  <si>
    <t>Effective Tax Rate (%)</t>
  </si>
  <si>
    <t>Revenue Growth Rate Average</t>
  </si>
  <si>
    <t>EBIT Margin(%)</t>
  </si>
  <si>
    <t>Depreciation % of Revenue</t>
  </si>
  <si>
    <t>\\</t>
  </si>
  <si>
    <t>Year</t>
  </si>
  <si>
    <t>Capex</t>
  </si>
  <si>
    <t>Capex%of Revenue</t>
  </si>
  <si>
    <t xml:space="preserve">Change in Net working Capital (% of revenue) </t>
  </si>
  <si>
    <t xml:space="preserve">Current Assets </t>
  </si>
  <si>
    <t>Current Liabilities</t>
  </si>
  <si>
    <t>NWC [(CA) -(CL)]</t>
  </si>
  <si>
    <t>ΔNWC = NWCₜ – NWCₜ₋₁</t>
  </si>
  <si>
    <t>ΔNWC as % of Revenue</t>
  </si>
  <si>
    <t xml:space="preserve">ΔNWC </t>
  </si>
  <si>
    <t>Years</t>
  </si>
  <si>
    <t>Income Tax Expense</t>
  </si>
  <si>
    <t>EBT</t>
  </si>
  <si>
    <t>Effective Tax rate (%)</t>
  </si>
  <si>
    <t>2021</t>
  </si>
  <si>
    <t>2022</t>
  </si>
  <si>
    <t>2023</t>
  </si>
  <si>
    <t>2024</t>
  </si>
  <si>
    <t>Assumptions</t>
  </si>
  <si>
    <t>Calculations</t>
  </si>
  <si>
    <t>Metric</t>
  </si>
  <si>
    <t>2025E</t>
  </si>
  <si>
    <t>2026E</t>
  </si>
  <si>
    <t>2027E</t>
  </si>
  <si>
    <t>2028E</t>
  </si>
  <si>
    <t>2029E</t>
  </si>
  <si>
    <t xml:space="preserve">EBIT </t>
  </si>
  <si>
    <t>NOPAT (EBIT after Tax)</t>
  </si>
  <si>
    <t>Add: depreciation</t>
  </si>
  <si>
    <t>Less: Capex</t>
  </si>
  <si>
    <t xml:space="preserve">Less : Change in Net working capital </t>
  </si>
  <si>
    <t xml:space="preserve">FCFF (Free Cash Flow to Firm) </t>
  </si>
  <si>
    <t>Less: Taxes (EBIT*Tax Rate)</t>
  </si>
  <si>
    <t xml:space="preserve">Year </t>
  </si>
  <si>
    <t>Terminal Value</t>
  </si>
  <si>
    <t>FCFF</t>
  </si>
  <si>
    <t>Discount Factor</t>
  </si>
  <si>
    <t>PV of FCFF</t>
  </si>
  <si>
    <t>Interest Expense</t>
  </si>
  <si>
    <t>Total Debt</t>
  </si>
  <si>
    <t xml:space="preserve">Average Debt </t>
  </si>
  <si>
    <t>Cost of Debt</t>
  </si>
  <si>
    <t xml:space="preserve">Total Capital </t>
  </si>
  <si>
    <t>Equity (Market Cap)</t>
  </si>
  <si>
    <t xml:space="preserve">Debt </t>
  </si>
  <si>
    <t>Proportions</t>
  </si>
  <si>
    <t>E/V</t>
  </si>
  <si>
    <t>D/V</t>
  </si>
  <si>
    <t>WACC</t>
  </si>
  <si>
    <t>g</t>
  </si>
  <si>
    <t>Sum of PV of FCFF</t>
  </si>
  <si>
    <t>Value</t>
  </si>
  <si>
    <t>Enterprise Value</t>
  </si>
  <si>
    <t>Net Debt 2024</t>
  </si>
  <si>
    <t xml:space="preserve">Equity Value </t>
  </si>
  <si>
    <t>Implied Share Price</t>
  </si>
  <si>
    <t>Metrics</t>
  </si>
  <si>
    <t>WACC &amp; g</t>
  </si>
  <si>
    <t>Values</t>
  </si>
  <si>
    <t>Valuation Component</t>
  </si>
  <si>
    <t>Amount (USD)</t>
  </si>
  <si>
    <t>Present Value of FCFF's (2025-2029)</t>
  </si>
  <si>
    <t>Present Value of Terminal Value</t>
  </si>
  <si>
    <t>Enterprise Value (EV)</t>
  </si>
  <si>
    <t xml:space="preserve">Less: Net Debt </t>
  </si>
  <si>
    <t xml:space="preserve">Implied Share Price </t>
  </si>
  <si>
    <t>Shares Outstanding (millions)</t>
  </si>
  <si>
    <t xml:space="preserve">Terminal Growth Rate </t>
  </si>
  <si>
    <t>FCFF (2029)</t>
  </si>
  <si>
    <t>PV of FCFFs (2025-2029)</t>
  </si>
  <si>
    <t xml:space="preserve">Net Debt </t>
  </si>
  <si>
    <t>2.25%</t>
  </si>
  <si>
    <t>2.50%</t>
  </si>
  <si>
    <t>2.75%</t>
  </si>
  <si>
    <t>2%</t>
  </si>
  <si>
    <t>3%</t>
  </si>
  <si>
    <t xml:space="preserve">Metric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</si>
</sst>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2" fontId="0" fillId="0" borderId="0" xfId="0" applyNumberFormat="1"/>
    <xf numFmtId="0" fontId="4" fillId="0" borderId="0" xfId="0" applyFont="1"/>
    <xf numFmtId="10" fontId="0" fillId="0" borderId="0" xfId="1" applyNumberFormat="1" applyFont="1"/>
    <xf numFmtId="0" fontId="0" fillId="3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2" fontId="0" fillId="3" borderId="0" xfId="0" applyNumberFormat="1" applyFill="1"/>
    <xf numFmtId="0" fontId="3" fillId="2" borderId="3" xfId="0" applyFont="1" applyFill="1" applyBorder="1"/>
    <xf numFmtId="0" fontId="3" fillId="2" borderId="4" xfId="0" applyFont="1" applyFill="1" applyBorder="1"/>
    <xf numFmtId="1" fontId="0" fillId="0" borderId="0" xfId="0" applyNumberFormat="1"/>
    <xf numFmtId="164" fontId="0" fillId="0" borderId="0" xfId="2" applyNumberFormat="1" applyFont="1" applyBorder="1"/>
    <xf numFmtId="10" fontId="0" fillId="3" borderId="0" xfId="1" applyNumberFormat="1" applyFont="1" applyFill="1" applyBorder="1"/>
    <xf numFmtId="10" fontId="0" fillId="0" borderId="0" xfId="1" applyNumberFormat="1" applyFont="1" applyBorder="1"/>
    <xf numFmtId="0" fontId="3" fillId="2" borderId="5" xfId="0" applyFont="1" applyFill="1" applyBorder="1"/>
    <xf numFmtId="0" fontId="3" fillId="2" borderId="6" xfId="0" applyFont="1" applyFill="1" applyBorder="1"/>
    <xf numFmtId="10" fontId="0" fillId="0" borderId="7" xfId="1" applyNumberFormat="1" applyFont="1" applyBorder="1"/>
    <xf numFmtId="10" fontId="0" fillId="0" borderId="0" xfId="0" applyNumberFormat="1"/>
    <xf numFmtId="2" fontId="0" fillId="0" borderId="0" xfId="1" applyNumberFormat="1" applyFont="1"/>
    <xf numFmtId="0" fontId="5" fillId="0" borderId="0" xfId="3"/>
    <xf numFmtId="164" fontId="0" fillId="0" borderId="0" xfId="0" applyNumberFormat="1"/>
    <xf numFmtId="2" fontId="0" fillId="0" borderId="0" xfId="2" applyNumberFormat="1" applyFont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  <xf numFmtId="165" fontId="0" fillId="0" borderId="0" xfId="0" applyNumberFormat="1"/>
    <xf numFmtId="43" fontId="0" fillId="0" borderId="0" xfId="2" applyFont="1"/>
    <xf numFmtId="43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9" fontId="1" fillId="0" borderId="0" xfId="1" applyFont="1"/>
    <xf numFmtId="10" fontId="1" fillId="0" borderId="0" xfId="1" applyNumberFormat="1" applyFont="1"/>
    <xf numFmtId="9" fontId="1" fillId="0" borderId="0" xfId="1" applyFont="1" applyAlignment="1">
      <alignment horizontal="center"/>
    </xf>
    <xf numFmtId="10" fontId="1" fillId="0" borderId="0" xfId="1" applyNumberFormat="1" applyFont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67">
    <dxf>
      <numFmt numFmtId="2" formatCode="0.00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Marriot International - Revenue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Statement'!$M$2</c:f>
              <c:strCache>
                <c:ptCount val="1"/>
                <c:pt idx="0">
                  <c:v>Revenue Growth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Statement'!$N$1:$T$1</c:f>
              <c:strCache>
                <c:ptCount val="7"/>
                <c:pt idx="0">
                  <c:v>FY 2018</c:v>
                </c:pt>
                <c:pt idx="1">
                  <c:v>FY 2019</c:v>
                </c:pt>
                <c:pt idx="2">
                  <c:v>FY 2020</c:v>
                </c:pt>
                <c:pt idx="3">
                  <c:v>FY 2021</c:v>
                </c:pt>
                <c:pt idx="4">
                  <c:v>FY 2022</c:v>
                </c:pt>
                <c:pt idx="5">
                  <c:v>FY 2023</c:v>
                </c:pt>
                <c:pt idx="6">
                  <c:v>FY 2024</c:v>
                </c:pt>
              </c:strCache>
            </c:strRef>
          </c:cat>
          <c:val>
            <c:numRef>
              <c:f>'Income Statement'!$N$2:$T$2</c:f>
              <c:numCache>
                <c:formatCode>0.00%</c:formatCode>
                <c:ptCount val="7"/>
                <c:pt idx="1">
                  <c:v>1.0309278350515427E-2</c:v>
                </c:pt>
                <c:pt idx="2">
                  <c:v>-0.49594697692160972</c:v>
                </c:pt>
                <c:pt idx="3">
                  <c:v>0.31085043988269789</c:v>
                </c:pt>
                <c:pt idx="4">
                  <c:v>0.49909792884462734</c:v>
                </c:pt>
                <c:pt idx="5">
                  <c:v>0.14152987050498234</c:v>
                </c:pt>
                <c:pt idx="6">
                  <c:v>5.8491123012693436E-2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2-46D5-8513-51A3B87D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954784"/>
        <c:axId val="1227962944"/>
      </c:lineChart>
      <c:catAx>
        <c:axId val="12279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62944"/>
        <c:crosses val="autoZero"/>
        <c:auto val="1"/>
        <c:lblAlgn val="ctr"/>
        <c:lblOffset val="100"/>
        <c:noMultiLvlLbl val="0"/>
      </c:catAx>
      <c:valAx>
        <c:axId val="12279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5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Marriot</a:t>
            </a:r>
            <a:r>
              <a:rPr lang="en-IN" b="1" baseline="0"/>
              <a:t> International - Financial Performance</a:t>
            </a:r>
          </a:p>
          <a:p>
            <a:pPr>
              <a:defRPr b="1"/>
            </a:pP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6840205263009"/>
          <c:y val="0.17171296296296296"/>
          <c:w val="0.84487606808081916"/>
          <c:h val="0.502859806824910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'Income Statement'!$B$1</c:f>
              <c:strCache>
                <c:ptCount val="1"/>
                <c:pt idx="0">
                  <c:v>FY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('Income Statement'!$A$6,'Income Statement'!$A$12,'Income Statement'!$A$50,'Income Statement'!$A$72,'Income Statement'!$A$74,'Income Statement'!$A$75)</c:f>
              <c:strCache>
                <c:ptCount val="6"/>
                <c:pt idx="0">
                  <c:v>Revenue</c:v>
                </c:pt>
                <c:pt idx="1">
                  <c:v>Gross Profit</c:v>
                </c:pt>
                <c:pt idx="2">
                  <c:v>Net Income, GAAP</c:v>
                </c:pt>
                <c:pt idx="3">
                  <c:v>EBITDA</c:v>
                </c:pt>
                <c:pt idx="4">
                  <c:v>EBITA</c:v>
                </c:pt>
                <c:pt idx="5">
                  <c:v>EBIT</c:v>
                </c:pt>
              </c:strCache>
            </c:strRef>
          </c:cat>
          <c:val>
            <c:numRef>
              <c:f>('Income Statement'!$B$6,'Income Statement'!$B$12,'Income Statement'!$B$50,'Income Statement'!$B$72,'Income Statement'!$B$74,'Income Statement'!$B$75)</c:f>
              <c:numCache>
                <c:formatCode>_-* #,##0_-;\-* #,##0_-;_-* "-"??_-;_-@_-</c:formatCode>
                <c:ptCount val="6"/>
                <c:pt idx="0">
                  <c:v>20758</c:v>
                </c:pt>
                <c:pt idx="1">
                  <c:v>3674</c:v>
                </c:pt>
                <c:pt idx="2">
                  <c:v>1907</c:v>
                </c:pt>
                <c:pt idx="3">
                  <c:v>2799</c:v>
                </c:pt>
                <c:pt idx="4">
                  <c:v>2543</c:v>
                </c:pt>
                <c:pt idx="5">
                  <c:v>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7-4FAB-A189-7D0C606768A6}"/>
            </c:ext>
          </c:extLst>
        </c:ser>
        <c:ser>
          <c:idx val="1"/>
          <c:order val="1"/>
          <c:tx>
            <c:strRef>
              <c:f>'Income Statement'!$C$1</c:f>
              <c:strCache>
                <c:ptCount val="1"/>
                <c:pt idx="0">
                  <c:v>FY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('Income Statement'!$A$6,'Income Statement'!$A$12,'Income Statement'!$A$50,'Income Statement'!$A$72,'Income Statement'!$A$74,'Income Statement'!$A$75)</c:f>
              <c:strCache>
                <c:ptCount val="6"/>
                <c:pt idx="0">
                  <c:v>Revenue</c:v>
                </c:pt>
                <c:pt idx="1">
                  <c:v>Gross Profit</c:v>
                </c:pt>
                <c:pt idx="2">
                  <c:v>Net Income, GAAP</c:v>
                </c:pt>
                <c:pt idx="3">
                  <c:v>EBITDA</c:v>
                </c:pt>
                <c:pt idx="4">
                  <c:v>EBITA</c:v>
                </c:pt>
                <c:pt idx="5">
                  <c:v>EBIT</c:v>
                </c:pt>
              </c:strCache>
            </c:strRef>
          </c:cat>
          <c:val>
            <c:numRef>
              <c:f>('Income Statement'!$C$6,'Income Statement'!$C$12,'Income Statement'!$C$50,'Income Statement'!$C$72,'Income Statement'!$C$74,'Income Statement'!$C$75)</c:f>
              <c:numCache>
                <c:formatCode>_-* #,##0_-;\-* #,##0_-;_-* "-"??_-;_-@_-</c:formatCode>
                <c:ptCount val="6"/>
                <c:pt idx="0">
                  <c:v>20972</c:v>
                </c:pt>
                <c:pt idx="1">
                  <c:v>3217</c:v>
                </c:pt>
                <c:pt idx="2">
                  <c:v>1273</c:v>
                </c:pt>
                <c:pt idx="3">
                  <c:v>2458.9872999999998</c:v>
                </c:pt>
                <c:pt idx="4">
                  <c:v>2112.9872999999998</c:v>
                </c:pt>
                <c:pt idx="5">
                  <c:v>1870.9873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7-4FAB-A189-7D0C606768A6}"/>
            </c:ext>
          </c:extLst>
        </c:ser>
        <c:ser>
          <c:idx val="2"/>
          <c:order val="2"/>
          <c:tx>
            <c:strRef>
              <c:f>'Income Statement'!$D$1</c:f>
              <c:strCache>
                <c:ptCount val="1"/>
                <c:pt idx="0">
                  <c:v>FY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('Income Statement'!$A$6,'Income Statement'!$A$12,'Income Statement'!$A$50,'Income Statement'!$A$72,'Income Statement'!$A$74,'Income Statement'!$A$75)</c:f>
              <c:strCache>
                <c:ptCount val="6"/>
                <c:pt idx="0">
                  <c:v>Revenue</c:v>
                </c:pt>
                <c:pt idx="1">
                  <c:v>Gross Profit</c:v>
                </c:pt>
                <c:pt idx="2">
                  <c:v>Net Income, GAAP</c:v>
                </c:pt>
                <c:pt idx="3">
                  <c:v>EBITDA</c:v>
                </c:pt>
                <c:pt idx="4">
                  <c:v>EBITA</c:v>
                </c:pt>
                <c:pt idx="5">
                  <c:v>EBIT</c:v>
                </c:pt>
              </c:strCache>
            </c:strRef>
          </c:cat>
          <c:val>
            <c:numRef>
              <c:f>('Income Statement'!$D$6,'Income Statement'!$D$12,'Income Statement'!$D$50,'Income Statement'!$D$72,'Income Statement'!$D$74,'Income Statement'!$D$75)</c:f>
              <c:numCache>
                <c:formatCode>_-* #,##0_-;\-* #,##0_-;_-* "-"??_-;_-@_-</c:formatCode>
                <c:ptCount val="6"/>
                <c:pt idx="0">
                  <c:v>10571</c:v>
                </c:pt>
                <c:pt idx="1">
                  <c:v>1459</c:v>
                </c:pt>
                <c:pt idx="2">
                  <c:v>-267</c:v>
                </c:pt>
                <c:pt idx="3">
                  <c:v>1069</c:v>
                </c:pt>
                <c:pt idx="4">
                  <c:v>820</c:v>
                </c:pt>
                <c:pt idx="5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7-4FAB-A189-7D0C606768A6}"/>
            </c:ext>
          </c:extLst>
        </c:ser>
        <c:ser>
          <c:idx val="3"/>
          <c:order val="3"/>
          <c:tx>
            <c:strRef>
              <c:f>'Income Statement'!$E$1</c:f>
              <c:strCache>
                <c:ptCount val="1"/>
                <c:pt idx="0">
                  <c:v>FY 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('Income Statement'!$A$6,'Income Statement'!$A$12,'Income Statement'!$A$50,'Income Statement'!$A$72,'Income Statement'!$A$74,'Income Statement'!$A$75)</c:f>
              <c:strCache>
                <c:ptCount val="6"/>
                <c:pt idx="0">
                  <c:v>Revenue</c:v>
                </c:pt>
                <c:pt idx="1">
                  <c:v>Gross Profit</c:v>
                </c:pt>
                <c:pt idx="2">
                  <c:v>Net Income, GAAP</c:v>
                </c:pt>
                <c:pt idx="3">
                  <c:v>EBITDA</c:v>
                </c:pt>
                <c:pt idx="4">
                  <c:v>EBITA</c:v>
                </c:pt>
                <c:pt idx="5">
                  <c:v>EBIT</c:v>
                </c:pt>
              </c:strCache>
            </c:strRef>
          </c:cat>
          <c:val>
            <c:numRef>
              <c:f>('Income Statement'!$E$6,'Income Statement'!$E$12,'Income Statement'!$E$50,'Income Statement'!$E$72,'Income Statement'!$E$74,'Income Statement'!$E$75)</c:f>
              <c:numCache>
                <c:formatCode>_-* #,##0_-;\-* #,##0_-;_-* "-"??_-;_-@_-</c:formatCode>
                <c:ptCount val="6"/>
                <c:pt idx="0">
                  <c:v>13857</c:v>
                </c:pt>
                <c:pt idx="1">
                  <c:v>2801</c:v>
                </c:pt>
                <c:pt idx="2">
                  <c:v>1099</c:v>
                </c:pt>
                <c:pt idx="3">
                  <c:v>2217</c:v>
                </c:pt>
                <c:pt idx="4">
                  <c:v>2079</c:v>
                </c:pt>
                <c:pt idx="5">
                  <c:v>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57-4FAB-A189-7D0C606768A6}"/>
            </c:ext>
          </c:extLst>
        </c:ser>
        <c:ser>
          <c:idx val="4"/>
          <c:order val="4"/>
          <c:tx>
            <c:strRef>
              <c:f>'Income Statement'!$F$1</c:f>
              <c:strCache>
                <c:ptCount val="1"/>
                <c:pt idx="0">
                  <c:v>FY 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('Income Statement'!$A$6,'Income Statement'!$A$12,'Income Statement'!$A$50,'Income Statement'!$A$72,'Income Statement'!$A$74,'Income Statement'!$A$75)</c:f>
              <c:strCache>
                <c:ptCount val="6"/>
                <c:pt idx="0">
                  <c:v>Revenue</c:v>
                </c:pt>
                <c:pt idx="1">
                  <c:v>Gross Profit</c:v>
                </c:pt>
                <c:pt idx="2">
                  <c:v>Net Income, GAAP</c:v>
                </c:pt>
                <c:pt idx="3">
                  <c:v>EBITDA</c:v>
                </c:pt>
                <c:pt idx="4">
                  <c:v>EBITA</c:v>
                </c:pt>
                <c:pt idx="5">
                  <c:v>EBIT</c:v>
                </c:pt>
              </c:strCache>
            </c:strRef>
          </c:cat>
          <c:val>
            <c:numRef>
              <c:f>('Income Statement'!$F$6,'Income Statement'!$F$12,'Income Statement'!$F$50,'Income Statement'!$F$72,'Income Statement'!$F$74,'Income Statement'!$F$75)</c:f>
              <c:numCache>
                <c:formatCode>_-* #,##0_-;\-* #,##0_-;_-* "-"??_-;_-@_-</c:formatCode>
                <c:ptCount val="6"/>
                <c:pt idx="0">
                  <c:v>20773</c:v>
                </c:pt>
                <c:pt idx="1">
                  <c:v>4558</c:v>
                </c:pt>
                <c:pt idx="2">
                  <c:v>2358</c:v>
                </c:pt>
                <c:pt idx="3">
                  <c:v>3907</c:v>
                </c:pt>
                <c:pt idx="4">
                  <c:v>3793</c:v>
                </c:pt>
                <c:pt idx="5">
                  <c:v>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57-4FAB-A189-7D0C606768A6}"/>
            </c:ext>
          </c:extLst>
        </c:ser>
        <c:ser>
          <c:idx val="5"/>
          <c:order val="5"/>
          <c:tx>
            <c:strRef>
              <c:f>'Income Statement'!$G$1</c:f>
              <c:strCache>
                <c:ptCount val="1"/>
                <c:pt idx="0">
                  <c:v>FY 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('Income Statement'!$A$6,'Income Statement'!$A$12,'Income Statement'!$A$50,'Income Statement'!$A$72,'Income Statement'!$A$74,'Income Statement'!$A$75)</c:f>
              <c:strCache>
                <c:ptCount val="6"/>
                <c:pt idx="0">
                  <c:v>Revenue</c:v>
                </c:pt>
                <c:pt idx="1">
                  <c:v>Gross Profit</c:v>
                </c:pt>
                <c:pt idx="2">
                  <c:v>Net Income, GAAP</c:v>
                </c:pt>
                <c:pt idx="3">
                  <c:v>EBITDA</c:v>
                </c:pt>
                <c:pt idx="4">
                  <c:v>EBITA</c:v>
                </c:pt>
                <c:pt idx="5">
                  <c:v>EBIT</c:v>
                </c:pt>
              </c:strCache>
            </c:strRef>
          </c:cat>
          <c:val>
            <c:numRef>
              <c:f>('Income Statement'!$G$6,'Income Statement'!$G$12,'Income Statement'!$G$50,'Income Statement'!$G$72,'Income Statement'!$G$74,'Income Statement'!$G$75)</c:f>
              <c:numCache>
                <c:formatCode>_-* #,##0_-;\-* #,##0_-;_-* "-"??_-;_-@_-</c:formatCode>
                <c:ptCount val="6"/>
                <c:pt idx="0">
                  <c:v>23713</c:v>
                </c:pt>
                <c:pt idx="1">
                  <c:v>5124</c:v>
                </c:pt>
                <c:pt idx="2">
                  <c:v>3083</c:v>
                </c:pt>
                <c:pt idx="3">
                  <c:v>4332</c:v>
                </c:pt>
                <c:pt idx="4">
                  <c:v>4143</c:v>
                </c:pt>
                <c:pt idx="5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57-4FAB-A189-7D0C606768A6}"/>
            </c:ext>
          </c:extLst>
        </c:ser>
        <c:ser>
          <c:idx val="6"/>
          <c:order val="6"/>
          <c:tx>
            <c:strRef>
              <c:f>'Income Statement'!$H$1</c:f>
              <c:strCache>
                <c:ptCount val="1"/>
                <c:pt idx="0">
                  <c:v>FY 2024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('Income Statement'!$A$6,'Income Statement'!$A$12,'Income Statement'!$A$50,'Income Statement'!$A$72,'Income Statement'!$A$74,'Income Statement'!$A$75)</c:f>
              <c:strCache>
                <c:ptCount val="6"/>
                <c:pt idx="0">
                  <c:v>Revenue</c:v>
                </c:pt>
                <c:pt idx="1">
                  <c:v>Gross Profit</c:v>
                </c:pt>
                <c:pt idx="2">
                  <c:v>Net Income, GAAP</c:v>
                </c:pt>
                <c:pt idx="3">
                  <c:v>EBITDA</c:v>
                </c:pt>
                <c:pt idx="4">
                  <c:v>EBITA</c:v>
                </c:pt>
                <c:pt idx="5">
                  <c:v>EBIT</c:v>
                </c:pt>
              </c:strCache>
            </c:strRef>
          </c:cat>
          <c:val>
            <c:numRef>
              <c:f>('Income Statement'!$H$6,'Income Statement'!$H$12,'Income Statement'!$H$50,'Income Statement'!$H$72,'Income Statement'!$H$74,'Income Statement'!$H$75)</c:f>
              <c:numCache>
                <c:formatCode>_-* #,##0_-;\-* #,##0_-;_-* "-"??_-;_-@_-</c:formatCode>
                <c:ptCount val="6"/>
                <c:pt idx="0">
                  <c:v>25100</c:v>
                </c:pt>
                <c:pt idx="1">
                  <c:v>5101</c:v>
                </c:pt>
                <c:pt idx="2">
                  <c:v>2375</c:v>
                </c:pt>
                <c:pt idx="3">
                  <c:v>4479</c:v>
                </c:pt>
                <c:pt idx="4">
                  <c:v>4296</c:v>
                </c:pt>
                <c:pt idx="5">
                  <c:v>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57-4FAB-A189-7D0C606768A6}"/>
            </c:ext>
          </c:extLst>
        </c:ser>
        <c:ser>
          <c:idx val="7"/>
          <c:order val="7"/>
          <c:tx>
            <c:strRef>
              <c:f>'Income Statement'!$I$1</c:f>
              <c:strCache>
                <c:ptCount val="1"/>
                <c:pt idx="0">
                  <c:v>Last 12M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('Income Statement'!$A$6,'Income Statement'!$A$12,'Income Statement'!$A$50,'Income Statement'!$A$72,'Income Statement'!$A$74,'Income Statement'!$A$75)</c:f>
              <c:strCache>
                <c:ptCount val="6"/>
                <c:pt idx="0">
                  <c:v>Revenue</c:v>
                </c:pt>
                <c:pt idx="1">
                  <c:v>Gross Profit</c:v>
                </c:pt>
                <c:pt idx="2">
                  <c:v>Net Income, GAAP</c:v>
                </c:pt>
                <c:pt idx="3">
                  <c:v>EBITDA</c:v>
                </c:pt>
                <c:pt idx="4">
                  <c:v>EBITA</c:v>
                </c:pt>
                <c:pt idx="5">
                  <c:v>EBIT</c:v>
                </c:pt>
              </c:strCache>
            </c:strRef>
          </c:cat>
          <c:val>
            <c:numRef>
              <c:f>('Income Statement'!$I$6,'Income Statement'!$I$12,'Income Statement'!$I$50,'Income Statement'!$I$72,'Income Statement'!$I$74,'Income Statement'!$I$75)</c:f>
            </c:numRef>
          </c:val>
          <c:extLst>
            <c:ext xmlns:c16="http://schemas.microsoft.com/office/drawing/2014/chart" uri="{C3380CC4-5D6E-409C-BE32-E72D297353CC}">
              <c16:uniqueId val="{00000007-7157-4FAB-A189-7D0C606768A6}"/>
            </c:ext>
          </c:extLst>
        </c:ser>
        <c:ser>
          <c:idx val="8"/>
          <c:order val="8"/>
          <c:tx>
            <c:strRef>
              <c:f>'Income Statement'!$J$1</c:f>
              <c:strCache>
                <c:ptCount val="1"/>
                <c:pt idx="0">
                  <c:v>FY 2025 Est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('Income Statement'!$A$6,'Income Statement'!$A$12,'Income Statement'!$A$50,'Income Statement'!$A$72,'Income Statement'!$A$74,'Income Statement'!$A$75)</c:f>
              <c:strCache>
                <c:ptCount val="6"/>
                <c:pt idx="0">
                  <c:v>Revenue</c:v>
                </c:pt>
                <c:pt idx="1">
                  <c:v>Gross Profit</c:v>
                </c:pt>
                <c:pt idx="2">
                  <c:v>Net Income, GAAP</c:v>
                </c:pt>
                <c:pt idx="3">
                  <c:v>EBITDA</c:v>
                </c:pt>
                <c:pt idx="4">
                  <c:v>EBITA</c:v>
                </c:pt>
                <c:pt idx="5">
                  <c:v>EBIT</c:v>
                </c:pt>
              </c:strCache>
            </c:strRef>
          </c:cat>
          <c:val>
            <c:numRef>
              <c:f>('Income Statement'!$J$6,'Income Statement'!$J$12,'Income Statement'!$J$50,'Income Statement'!$J$72,'Income Statement'!$J$74,'Income Statement'!$J$75)</c:f>
            </c:numRef>
          </c:val>
          <c:extLst>
            <c:ext xmlns:c16="http://schemas.microsoft.com/office/drawing/2014/chart" uri="{C3380CC4-5D6E-409C-BE32-E72D297353CC}">
              <c16:uniqueId val="{00000008-7157-4FAB-A189-7D0C606768A6}"/>
            </c:ext>
          </c:extLst>
        </c:ser>
        <c:ser>
          <c:idx val="9"/>
          <c:order val="9"/>
          <c:tx>
            <c:strRef>
              <c:f>'Income Statement'!$K$1</c:f>
              <c:strCache>
                <c:ptCount val="1"/>
                <c:pt idx="0">
                  <c:v>FY 2026 Est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('Income Statement'!$A$6,'Income Statement'!$A$12,'Income Statement'!$A$50,'Income Statement'!$A$72,'Income Statement'!$A$74,'Income Statement'!$A$75)</c:f>
              <c:strCache>
                <c:ptCount val="6"/>
                <c:pt idx="0">
                  <c:v>Revenue</c:v>
                </c:pt>
                <c:pt idx="1">
                  <c:v>Gross Profit</c:v>
                </c:pt>
                <c:pt idx="2">
                  <c:v>Net Income, GAAP</c:v>
                </c:pt>
                <c:pt idx="3">
                  <c:v>EBITDA</c:v>
                </c:pt>
                <c:pt idx="4">
                  <c:v>EBITA</c:v>
                </c:pt>
                <c:pt idx="5">
                  <c:v>EBIT</c:v>
                </c:pt>
              </c:strCache>
            </c:strRef>
          </c:cat>
          <c:val>
            <c:numRef>
              <c:f>('Income Statement'!$K$6,'Income Statement'!$K$12,'Income Statement'!$K$50,'Income Statement'!$K$72,'Income Statement'!$K$74,'Income Statement'!$K$75)</c:f>
            </c:numRef>
          </c:val>
          <c:extLst>
            <c:ext xmlns:c16="http://schemas.microsoft.com/office/drawing/2014/chart" uri="{C3380CC4-5D6E-409C-BE32-E72D297353CC}">
              <c16:uniqueId val="{00000009-7157-4FAB-A189-7D0C6067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553231"/>
        <c:axId val="1898557071"/>
      </c:barChart>
      <c:catAx>
        <c:axId val="189855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57071"/>
        <c:crosses val="autoZero"/>
        <c:auto val="1"/>
        <c:lblAlgn val="ctr"/>
        <c:lblOffset val="100"/>
        <c:noMultiLvlLbl val="0"/>
      </c:catAx>
      <c:valAx>
        <c:axId val="1898557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Amount</a:t>
                </a:r>
                <a:r>
                  <a:rPr lang="en-IN" b="1" baseline="0"/>
                  <a:t> (USD Millions)</a:t>
                </a:r>
              </a:p>
              <a:p>
                <a:pPr>
                  <a:defRPr/>
                </a:pP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5323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34186351706038"/>
          <c:y val="0.86508762188025901"/>
          <c:w val="0.7173162729658793"/>
          <c:h val="0.10713442304869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Marriot</a:t>
            </a:r>
            <a:r>
              <a:rPr lang="en-IN" b="1" baseline="0"/>
              <a:t> International - Growth Rates and Margins (%)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Statement'!$W$2</c:f>
              <c:strCache>
                <c:ptCount val="1"/>
                <c:pt idx="0">
                  <c:v>Revenue Growth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Statement'!$X$1:$AD$1</c:f>
              <c:strCache>
                <c:ptCount val="7"/>
                <c:pt idx="0">
                  <c:v>FY 2018</c:v>
                </c:pt>
                <c:pt idx="1">
                  <c:v>FY 2019</c:v>
                </c:pt>
                <c:pt idx="2">
                  <c:v>FY 2020</c:v>
                </c:pt>
                <c:pt idx="3">
                  <c:v>FY 2021</c:v>
                </c:pt>
                <c:pt idx="4">
                  <c:v>FY 2022</c:v>
                </c:pt>
                <c:pt idx="5">
                  <c:v>FY 2023</c:v>
                </c:pt>
                <c:pt idx="6">
                  <c:v>FY 2024</c:v>
                </c:pt>
              </c:strCache>
            </c:strRef>
          </c:cat>
          <c:val>
            <c:numRef>
              <c:f>'Income Statement'!$X$2:$AD$2</c:f>
              <c:numCache>
                <c:formatCode>0.00%</c:formatCode>
                <c:ptCount val="7"/>
                <c:pt idx="1">
                  <c:v>1.0309278350515427E-2</c:v>
                </c:pt>
                <c:pt idx="2">
                  <c:v>-0.49594697692160972</c:v>
                </c:pt>
                <c:pt idx="3">
                  <c:v>0.31085043988269789</c:v>
                </c:pt>
                <c:pt idx="4">
                  <c:v>0.49909792884462734</c:v>
                </c:pt>
                <c:pt idx="5">
                  <c:v>0.14152987050498234</c:v>
                </c:pt>
                <c:pt idx="6">
                  <c:v>5.8491123012693436E-2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7-4292-820F-993C70C13219}"/>
            </c:ext>
          </c:extLst>
        </c:ser>
        <c:ser>
          <c:idx val="1"/>
          <c:order val="1"/>
          <c:tx>
            <c:strRef>
              <c:f>'Income Statement'!$W$3</c:f>
              <c:strCache>
                <c:ptCount val="1"/>
                <c:pt idx="0">
                  <c:v>Net Profit Margin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Statement'!$X$1:$AD$1</c:f>
              <c:strCache>
                <c:ptCount val="7"/>
                <c:pt idx="0">
                  <c:v>FY 2018</c:v>
                </c:pt>
                <c:pt idx="1">
                  <c:v>FY 2019</c:v>
                </c:pt>
                <c:pt idx="2">
                  <c:v>FY 2020</c:v>
                </c:pt>
                <c:pt idx="3">
                  <c:v>FY 2021</c:v>
                </c:pt>
                <c:pt idx="4">
                  <c:v>FY 2022</c:v>
                </c:pt>
                <c:pt idx="5">
                  <c:v>FY 2023</c:v>
                </c:pt>
                <c:pt idx="6">
                  <c:v>FY 2024</c:v>
                </c:pt>
              </c:strCache>
            </c:strRef>
          </c:cat>
          <c:val>
            <c:numRef>
              <c:f>'Income Statement'!$X$3:$AD$3</c:f>
              <c:numCache>
                <c:formatCode>0.00%</c:formatCode>
                <c:ptCount val="7"/>
                <c:pt idx="0">
                  <c:v>9.1868195394546687E-2</c:v>
                </c:pt>
                <c:pt idx="1">
                  <c:v>6.0699980926950219E-2</c:v>
                </c:pt>
                <c:pt idx="2">
                  <c:v>-2.5257780720840034E-2</c:v>
                </c:pt>
                <c:pt idx="3">
                  <c:v>7.9310095980370934E-2</c:v>
                </c:pt>
                <c:pt idx="4">
                  <c:v>0.11351273287440428</c:v>
                </c:pt>
                <c:pt idx="5">
                  <c:v>0.13001307299793363</c:v>
                </c:pt>
                <c:pt idx="6">
                  <c:v>9.4621513944223107E-2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7-4292-820F-993C70C13219}"/>
            </c:ext>
          </c:extLst>
        </c:ser>
        <c:ser>
          <c:idx val="2"/>
          <c:order val="2"/>
          <c:tx>
            <c:strRef>
              <c:f>'Income Statement'!$W$4</c:f>
              <c:strCache>
                <c:ptCount val="1"/>
                <c:pt idx="0">
                  <c:v>EBITDA Margin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Statement'!$X$1:$AD$1</c:f>
              <c:strCache>
                <c:ptCount val="7"/>
                <c:pt idx="0">
                  <c:v>FY 2018</c:v>
                </c:pt>
                <c:pt idx="1">
                  <c:v>FY 2019</c:v>
                </c:pt>
                <c:pt idx="2">
                  <c:v>FY 2020</c:v>
                </c:pt>
                <c:pt idx="3">
                  <c:v>FY 2021</c:v>
                </c:pt>
                <c:pt idx="4">
                  <c:v>FY 2022</c:v>
                </c:pt>
                <c:pt idx="5">
                  <c:v>FY 2023</c:v>
                </c:pt>
                <c:pt idx="6">
                  <c:v>FY 2024</c:v>
                </c:pt>
              </c:strCache>
            </c:strRef>
          </c:cat>
          <c:val>
            <c:numRef>
              <c:f>'Income Statement'!$X$4:$AD$4</c:f>
              <c:numCache>
                <c:formatCode>0.00%</c:formatCode>
                <c:ptCount val="7"/>
                <c:pt idx="0">
                  <c:v>0.13483957992099432</c:v>
                </c:pt>
                <c:pt idx="1">
                  <c:v>0.11725096795727635</c:v>
                </c:pt>
                <c:pt idx="2">
                  <c:v>0.1011257213130262</c:v>
                </c:pt>
                <c:pt idx="3">
                  <c:v>0.15999134011690841</c:v>
                </c:pt>
                <c:pt idx="4">
                  <c:v>0.18808068165407019</c:v>
                </c:pt>
                <c:pt idx="5">
                  <c:v>0.18268460338211107</c:v>
                </c:pt>
                <c:pt idx="6">
                  <c:v>0.17844621513944223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7-4292-820F-993C70C1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195680"/>
        <c:axId val="1712194720"/>
      </c:lineChart>
      <c:catAx>
        <c:axId val="17121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94720"/>
        <c:crosses val="autoZero"/>
        <c:auto val="1"/>
        <c:lblAlgn val="ctr"/>
        <c:lblOffset val="100"/>
        <c:noMultiLvlLbl val="0"/>
      </c:catAx>
      <c:valAx>
        <c:axId val="17121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95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Marriot</a:t>
            </a:r>
            <a:r>
              <a:rPr lang="en-IN" b="1" baseline="0"/>
              <a:t> International - Working Capital Efficiency (Days)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0198520250221577"/>
          <c:y val="0.19949074074074077"/>
          <c:w val="0.87023716244278615"/>
          <c:h val="0.5160254447360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'Balance Sheet'!$M$2</c:f>
              <c:strCache>
                <c:ptCount val="1"/>
                <c:pt idx="0">
                  <c:v>Days Sales Outstanding (DSO) (How quickly Marriot Collects Cash)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'Balance Sheet'!$N$1:$T$1</c:f>
              <c:strCache>
                <c:ptCount val="7"/>
                <c:pt idx="0">
                  <c:v>FY 2018</c:v>
                </c:pt>
                <c:pt idx="1">
                  <c:v>FY 2019</c:v>
                </c:pt>
                <c:pt idx="2">
                  <c:v>FY 2020</c:v>
                </c:pt>
                <c:pt idx="3">
                  <c:v>FY 2021</c:v>
                </c:pt>
                <c:pt idx="4">
                  <c:v>FY 2022</c:v>
                </c:pt>
                <c:pt idx="5">
                  <c:v>FY 2023</c:v>
                </c:pt>
                <c:pt idx="6">
                  <c:v>FY 2024</c:v>
                </c:pt>
              </c:strCache>
            </c:strRef>
          </c:cat>
          <c:val>
            <c:numRef>
              <c:f>'Balance Sheet'!$N$2:$T$2</c:f>
              <c:numCache>
                <c:formatCode>0</c:formatCode>
                <c:ptCount val="7"/>
                <c:pt idx="0">
                  <c:v>37.505780903747954</c:v>
                </c:pt>
                <c:pt idx="1">
                  <c:v>41.682958230020979</c:v>
                </c:pt>
                <c:pt idx="2">
                  <c:v>61.046258632106706</c:v>
                </c:pt>
                <c:pt idx="3">
                  <c:v>52.206826874503861</c:v>
                </c:pt>
                <c:pt idx="4">
                  <c:v>45.174746064603092</c:v>
                </c:pt>
                <c:pt idx="5">
                  <c:v>41.744190950111751</c:v>
                </c:pt>
                <c:pt idx="6">
                  <c:v>40.644422310756973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F-4C04-A71C-1E7E0FA03324}"/>
            </c:ext>
          </c:extLst>
        </c:ser>
        <c:ser>
          <c:idx val="1"/>
          <c:order val="1"/>
          <c:tx>
            <c:strRef>
              <c:f>'Balance Sheet'!$M$3</c:f>
              <c:strCache>
                <c:ptCount val="1"/>
                <c:pt idx="0">
                  <c:v>Days Payable Outstanding (DPO) (How long does Marriot take to pay suppliers)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'Balance Sheet'!$N$1:$T$1</c:f>
              <c:strCache>
                <c:ptCount val="7"/>
                <c:pt idx="0">
                  <c:v>FY 2018</c:v>
                </c:pt>
                <c:pt idx="1">
                  <c:v>FY 2019</c:v>
                </c:pt>
                <c:pt idx="2">
                  <c:v>FY 2020</c:v>
                </c:pt>
                <c:pt idx="3">
                  <c:v>FY 2021</c:v>
                </c:pt>
                <c:pt idx="4">
                  <c:v>FY 2022</c:v>
                </c:pt>
                <c:pt idx="5">
                  <c:v>FY 2023</c:v>
                </c:pt>
                <c:pt idx="6">
                  <c:v>FY 2024</c:v>
                </c:pt>
              </c:strCache>
            </c:strRef>
          </c:cat>
          <c:val>
            <c:numRef>
              <c:f>'Balance Sheet'!$N$3:$T$3</c:f>
              <c:numCache>
                <c:formatCode>0</c:formatCode>
                <c:ptCount val="7"/>
                <c:pt idx="0">
                  <c:v>16.386970264575041</c:v>
                </c:pt>
                <c:pt idx="1">
                  <c:v>14.801464376232047</c:v>
                </c:pt>
                <c:pt idx="2">
                  <c:v>21.110074626865671</c:v>
                </c:pt>
                <c:pt idx="3">
                  <c:v>23.967981186685961</c:v>
                </c:pt>
                <c:pt idx="4">
                  <c:v>16.792476102374344</c:v>
                </c:pt>
                <c:pt idx="5">
                  <c:v>14.490827908978428</c:v>
                </c:pt>
                <c:pt idx="6">
                  <c:v>13.925446272313616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F-4C04-A71C-1E7E0FA03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5678383"/>
        <c:axId val="1765688943"/>
      </c:barChart>
      <c:catAx>
        <c:axId val="176567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Years</a:t>
                </a:r>
              </a:p>
              <a:p>
                <a:pPr>
                  <a:defRPr b="1"/>
                </a:pP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88943"/>
        <c:crosses val="autoZero"/>
        <c:auto val="1"/>
        <c:lblAlgn val="ctr"/>
        <c:lblOffset val="100"/>
        <c:noMultiLvlLbl val="0"/>
      </c:catAx>
      <c:valAx>
        <c:axId val="17656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 Days</a:t>
                </a:r>
              </a:p>
              <a:p>
                <a:pPr>
                  <a:defRPr b="1"/>
                </a:pP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977966457292342E-2"/>
          <c:y val="0.86458223972003501"/>
          <c:w val="0.82870275590551179"/>
          <c:h val="0.13541776027996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Marriot</a:t>
            </a:r>
            <a:r>
              <a:rPr lang="en-IN" b="1" baseline="0"/>
              <a:t> International - Debt &amp; Leverage Analysis</a:t>
            </a:r>
          </a:p>
          <a:p>
            <a:pPr>
              <a:defRPr b="1"/>
            </a:pP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5048118985128"/>
          <c:y val="0.26472222222222225"/>
          <c:w val="0.863571741032371"/>
          <c:h val="0.51363371245261014"/>
        </c:manualLayout>
      </c:layout>
      <c:lineChart>
        <c:grouping val="standard"/>
        <c:varyColors val="0"/>
        <c:ser>
          <c:idx val="0"/>
          <c:order val="0"/>
          <c:tx>
            <c:strRef>
              <c:f>'Balance Sheet'!$M$8</c:f>
              <c:strCache>
                <c:ptCount val="1"/>
                <c:pt idx="0">
                  <c:v>Debt to Equity Ratio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'Balance Sheet'!$N$7:$T$7</c:f>
              <c:strCache>
                <c:ptCount val="7"/>
                <c:pt idx="0">
                  <c:v>FY 2018</c:v>
                </c:pt>
                <c:pt idx="1">
                  <c:v>FY 2019</c:v>
                </c:pt>
                <c:pt idx="2">
                  <c:v>FY 2020</c:v>
                </c:pt>
                <c:pt idx="3">
                  <c:v>FY 2021</c:v>
                </c:pt>
                <c:pt idx="4">
                  <c:v>FY 2022</c:v>
                </c:pt>
                <c:pt idx="5">
                  <c:v>FY 2023</c:v>
                </c:pt>
                <c:pt idx="6">
                  <c:v>FY 2024</c:v>
                </c:pt>
              </c:strCache>
            </c:strRef>
          </c:cat>
          <c:val>
            <c:numRef>
              <c:f>'Balance Sheet'!$N$8:$T$8</c:f>
              <c:numCache>
                <c:formatCode>0.00</c:formatCode>
                <c:ptCount val="7"/>
                <c:pt idx="0">
                  <c:v>4.2008988764044943</c:v>
                </c:pt>
                <c:pt idx="1">
                  <c:v>17.001422475106686</c:v>
                </c:pt>
                <c:pt idx="2">
                  <c:v>26.386046511627907</c:v>
                </c:pt>
                <c:pt idx="3">
                  <c:v>8.0523338048090523</c:v>
                </c:pt>
                <c:pt idx="4">
                  <c:v>19.725352112676056</c:v>
                </c:pt>
                <c:pt idx="5">
                  <c:v>-18.863636363636363</c:v>
                </c:pt>
                <c:pt idx="6">
                  <c:v>-5.1286764705882355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2-4359-8045-75CDC15CD933}"/>
            </c:ext>
          </c:extLst>
        </c:ser>
        <c:ser>
          <c:idx val="1"/>
          <c:order val="1"/>
          <c:tx>
            <c:strRef>
              <c:f>'Balance Sheet'!$M$9</c:f>
              <c:strCache>
                <c:ptCount val="1"/>
                <c:pt idx="0">
                  <c:v>Debt to Asset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'Balance Sheet'!$N$7:$T$7</c:f>
              <c:strCache>
                <c:ptCount val="7"/>
                <c:pt idx="0">
                  <c:v>FY 2018</c:v>
                </c:pt>
                <c:pt idx="1">
                  <c:v>FY 2019</c:v>
                </c:pt>
                <c:pt idx="2">
                  <c:v>FY 2020</c:v>
                </c:pt>
                <c:pt idx="3">
                  <c:v>FY 2021</c:v>
                </c:pt>
                <c:pt idx="4">
                  <c:v>FY 2022</c:v>
                </c:pt>
                <c:pt idx="5">
                  <c:v>FY 2023</c:v>
                </c:pt>
                <c:pt idx="6">
                  <c:v>FY 2024</c:v>
                </c:pt>
              </c:strCache>
            </c:strRef>
          </c:cat>
          <c:val>
            <c:numRef>
              <c:f>'Balance Sheet'!$N$9:$T$9</c:f>
              <c:numCache>
                <c:formatCode>0.00</c:formatCode>
                <c:ptCount val="7"/>
                <c:pt idx="0">
                  <c:v>0.39445476029709653</c:v>
                </c:pt>
                <c:pt idx="1">
                  <c:v>0.47710670232725239</c:v>
                </c:pt>
                <c:pt idx="2">
                  <c:v>0.45933363021740009</c:v>
                </c:pt>
                <c:pt idx="3">
                  <c:v>0.44558368880366295</c:v>
                </c:pt>
                <c:pt idx="4">
                  <c:v>0.45150110820068506</c:v>
                </c:pt>
                <c:pt idx="5">
                  <c:v>0.50109059749162577</c:v>
                </c:pt>
                <c:pt idx="6">
                  <c:v>0.58608967993277827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359-8045-75CDC15CD933}"/>
            </c:ext>
          </c:extLst>
        </c:ser>
        <c:ser>
          <c:idx val="2"/>
          <c:order val="2"/>
          <c:tx>
            <c:strRef>
              <c:f>'Balance Sheet'!$M$10</c:f>
              <c:strCache>
                <c:ptCount val="1"/>
                <c:pt idx="0">
                  <c:v>Interest Coverage Ratio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70C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'Balance Sheet'!$N$7:$T$7</c:f>
              <c:strCache>
                <c:ptCount val="7"/>
                <c:pt idx="0">
                  <c:v>FY 2018</c:v>
                </c:pt>
                <c:pt idx="1">
                  <c:v>FY 2019</c:v>
                </c:pt>
                <c:pt idx="2">
                  <c:v>FY 2020</c:v>
                </c:pt>
                <c:pt idx="3">
                  <c:v>FY 2021</c:v>
                </c:pt>
                <c:pt idx="4">
                  <c:v>FY 2022</c:v>
                </c:pt>
                <c:pt idx="5">
                  <c:v>FY 2023</c:v>
                </c:pt>
                <c:pt idx="6">
                  <c:v>FY 2024</c:v>
                </c:pt>
              </c:strCache>
            </c:strRef>
          </c:cat>
          <c:val>
            <c:numRef>
              <c:f>'Balance Sheet'!$N$10:$T$10</c:f>
              <c:numCache>
                <c:formatCode>0.00</c:formatCode>
                <c:ptCount val="7"/>
                <c:pt idx="0">
                  <c:v>7.3970588235294121</c:v>
                </c:pt>
                <c:pt idx="1">
                  <c:v>4.7486987309644668</c:v>
                </c:pt>
                <c:pt idx="2">
                  <c:v>0.97528089887640446</c:v>
                </c:pt>
                <c:pt idx="3">
                  <c:v>4.2214285714285715</c:v>
                </c:pt>
                <c:pt idx="4">
                  <c:v>8.5856079404466499</c:v>
                </c:pt>
                <c:pt idx="5">
                  <c:v>6.9026548672566372</c:v>
                </c:pt>
                <c:pt idx="6">
                  <c:v>5.530935251798561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2-4359-8045-75CDC15CD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686063"/>
        <c:axId val="1765685103"/>
      </c:lineChart>
      <c:catAx>
        <c:axId val="176568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Years</a:t>
                </a:r>
              </a:p>
              <a:p>
                <a:pPr>
                  <a:defRPr b="1"/>
                </a:pP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85103"/>
        <c:crosses val="autoZero"/>
        <c:auto val="0"/>
        <c:lblAlgn val="ctr"/>
        <c:lblOffset val="100"/>
        <c:noMultiLvlLbl val="0"/>
      </c:catAx>
      <c:valAx>
        <c:axId val="1765685103"/>
        <c:scaling>
          <c:orientation val="minMax"/>
          <c:max val="28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86063"/>
        <c:crosses val="autoZero"/>
        <c:crossBetween val="between"/>
        <c:majorUnit val="4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1786284547329755"/>
          <c:w val="0.9"/>
          <c:h val="5.6027493952289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'FCFF Forecast'!$A$10</c:f>
              <c:strCache>
                <c:ptCount val="1"/>
                <c:pt idx="0">
                  <c:v>FCFF (Free Cash Flow to Firm)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'FCFF Forecast'!$B$1:$F$1</c:f>
              <c:strCache>
                <c:ptCount val="5"/>
                <c:pt idx="0">
                  <c:v>2025E</c:v>
                </c:pt>
                <c:pt idx="1">
                  <c:v>2026E</c:v>
                </c:pt>
                <c:pt idx="2">
                  <c:v>2027E</c:v>
                </c:pt>
                <c:pt idx="3">
                  <c:v>2028E</c:v>
                </c:pt>
                <c:pt idx="4">
                  <c:v>2029E</c:v>
                </c:pt>
              </c:strCache>
            </c:strRef>
          </c:cat>
          <c:val>
            <c:numRef>
              <c:f>'FCFF Forecast'!$B$10:$F$10</c:f>
              <c:numCache>
                <c:formatCode>0.00</c:formatCode>
                <c:ptCount val="5"/>
                <c:pt idx="0">
                  <c:v>2776.8315740000007</c:v>
                </c:pt>
                <c:pt idx="1">
                  <c:v>3039.8913779025006</c:v>
                </c:pt>
                <c:pt idx="2">
                  <c:v>3332.4482279797503</c:v>
                </c:pt>
                <c:pt idx="3">
                  <c:v>3618.4076174809175</c:v>
                </c:pt>
                <c:pt idx="4">
                  <c:v>3930.1053193035591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6-45C0-BF23-BE720E3C12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5276064"/>
        <c:axId val="1745285664"/>
      </c:lineChart>
      <c:catAx>
        <c:axId val="174527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Years</a:t>
                </a:r>
              </a:p>
            </c:rich>
          </c:tx>
          <c:layout>
            <c:manualLayout>
              <c:xMode val="edge"/>
              <c:yMode val="edge"/>
              <c:x val="0.5370126859142607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85664"/>
        <c:crosses val="autoZero"/>
        <c:auto val="1"/>
        <c:lblAlgn val="ctr"/>
        <c:lblOffset val="100"/>
        <c:noMultiLvlLbl val="0"/>
      </c:catAx>
      <c:valAx>
        <c:axId val="17452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FCFF ($ million)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24587343248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Sensitivity of Implied Share Price to WACC &amp;</a:t>
            </a:r>
            <a:r>
              <a:rPr lang="en-IN" b="1" baseline="0"/>
              <a:t> Terminal Growth Rate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'Sensitivity Analysis'!$B$2</c:f>
              <c:strCache>
                <c:ptCount val="1"/>
                <c:pt idx="0">
                  <c:v>2%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'Sensitivity Analysis'!$A$3:$A$8</c:f>
              <c:numCache>
                <c:formatCode>0.00%</c:formatCode>
                <c:ptCount val="6"/>
                <c:pt idx="0">
                  <c:v>7.4999999999999997E-2</c:v>
                </c:pt>
                <c:pt idx="1">
                  <c:v>7.7499999999999999E-2</c:v>
                </c:pt>
                <c:pt idx="2">
                  <c:v>0.08</c:v>
                </c:pt>
                <c:pt idx="3">
                  <c:v>8.2500000000000004E-2</c:v>
                </c:pt>
                <c:pt idx="4">
                  <c:v>8.5000000000000006E-2</c:v>
                </c:pt>
                <c:pt idx="5">
                  <c:v>0.09</c:v>
                </c:pt>
              </c:numCache>
            </c:numRef>
          </c:cat>
          <c:val>
            <c:numRef>
              <c:f>'Sensitivity Analysis'!$B$3:$B$8</c:f>
              <c:numCache>
                <c:formatCode>_-[$$-409]* #,##0.00_ ;_-[$$-409]* \-#,##0.00\ ;_-[$$-409]* "-"??_ ;_-@_ </c:formatCode>
                <c:ptCount val="6"/>
                <c:pt idx="0">
                  <c:v>176.7958081065625</c:v>
                </c:pt>
                <c:pt idx="1">
                  <c:v>166.79181591803044</c:v>
                </c:pt>
                <c:pt idx="2">
                  <c:v>157.64833918209149</c:v>
                </c:pt>
                <c:pt idx="3">
                  <c:v>149.26170127281966</c:v>
                </c:pt>
                <c:pt idx="4">
                  <c:v>141.54418313209175</c:v>
                </c:pt>
                <c:pt idx="5">
                  <c:v>127.82831953227333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B-4F1C-8AFC-53CB61369AE2}"/>
            </c:ext>
          </c:extLst>
        </c:ser>
        <c:ser>
          <c:idx val="1"/>
          <c:order val="1"/>
          <c:tx>
            <c:strRef>
              <c:f>'Sensitivity Analysis'!$C$2</c:f>
              <c:strCache>
                <c:ptCount val="1"/>
                <c:pt idx="0">
                  <c:v>2.25%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'Sensitivity Analysis'!$A$3:$A$8</c:f>
              <c:numCache>
                <c:formatCode>0.00%</c:formatCode>
                <c:ptCount val="6"/>
                <c:pt idx="0">
                  <c:v>7.4999999999999997E-2</c:v>
                </c:pt>
                <c:pt idx="1">
                  <c:v>7.7499999999999999E-2</c:v>
                </c:pt>
                <c:pt idx="2">
                  <c:v>0.08</c:v>
                </c:pt>
                <c:pt idx="3">
                  <c:v>8.2500000000000004E-2</c:v>
                </c:pt>
                <c:pt idx="4">
                  <c:v>8.5000000000000006E-2</c:v>
                </c:pt>
                <c:pt idx="5">
                  <c:v>0.09</c:v>
                </c:pt>
              </c:numCache>
            </c:numRef>
          </c:cat>
          <c:val>
            <c:numRef>
              <c:f>'Sensitivity Analysis'!$C$3:$C$8</c:f>
              <c:numCache>
                <c:formatCode>_-[$$-409]* #,##0.00_ ;_-[$$-409]* \-#,##0.00\ ;_-[$$-409]* "-"??_ ;_-@_ </c:formatCode>
                <c:ptCount val="6"/>
                <c:pt idx="0">
                  <c:v>186.00410235110337</c:v>
                </c:pt>
                <c:pt idx="1">
                  <c:v>175.12163154530882</c:v>
                </c:pt>
                <c:pt idx="2">
                  <c:v>165.21354802105338</c:v>
                </c:pt>
                <c:pt idx="3">
                  <c:v>156.15762025542398</c:v>
                </c:pt>
                <c:pt idx="4">
                  <c:v>147.85118139819309</c:v>
                </c:pt>
                <c:pt idx="5">
                  <c:v>133.15218697669303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B-4F1C-8AFC-53CB61369AE2}"/>
            </c:ext>
          </c:extLst>
        </c:ser>
        <c:ser>
          <c:idx val="2"/>
          <c:order val="2"/>
          <c:tx>
            <c:strRef>
              <c:f>'Sensitivity Analysis'!$D$2</c:f>
              <c:strCache>
                <c:ptCount val="1"/>
                <c:pt idx="0">
                  <c:v>2.50%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'Sensitivity Analysis'!$A$3:$A$8</c:f>
              <c:numCache>
                <c:formatCode>0.00%</c:formatCode>
                <c:ptCount val="6"/>
                <c:pt idx="0">
                  <c:v>7.4999999999999997E-2</c:v>
                </c:pt>
                <c:pt idx="1">
                  <c:v>7.7499999999999999E-2</c:v>
                </c:pt>
                <c:pt idx="2">
                  <c:v>0.08</c:v>
                </c:pt>
                <c:pt idx="3">
                  <c:v>8.2500000000000004E-2</c:v>
                </c:pt>
                <c:pt idx="4">
                  <c:v>8.5000000000000006E-2</c:v>
                </c:pt>
                <c:pt idx="5">
                  <c:v>0.09</c:v>
                </c:pt>
              </c:numCache>
            </c:numRef>
          </c:cat>
          <c:val>
            <c:numRef>
              <c:f>'Sensitivity Analysis'!$D$3:$D$8</c:f>
              <c:numCache>
                <c:formatCode>_-[$$-409]* #,##0.00_ ;_-[$$-409]* \-#,##0.00\ ;_-[$$-409]* "-"??_ ;_-@_ </c:formatCode>
                <c:ptCount val="6"/>
                <c:pt idx="0">
                  <c:v>196.13322602009833</c:v>
                </c:pt>
                <c:pt idx="1">
                  <c:v>184.24476294661372</c:v>
                </c:pt>
                <c:pt idx="2">
                  <c:v>173.46650311810271</c:v>
                </c:pt>
                <c:pt idx="3">
                  <c:v>163.65318436695037</c:v>
                </c:pt>
                <c:pt idx="4">
                  <c:v>154.68376285313619</c:v>
                </c:pt>
                <c:pt idx="5">
                  <c:v>138.88558268606809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B-4F1C-8AFC-53CB61369AE2}"/>
            </c:ext>
          </c:extLst>
        </c:ser>
        <c:ser>
          <c:idx val="3"/>
          <c:order val="3"/>
          <c:tx>
            <c:strRef>
              <c:f>'Sensitivity Analysis'!$E$2</c:f>
              <c:strCache>
                <c:ptCount val="1"/>
                <c:pt idx="0">
                  <c:v>2.75%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'Sensitivity Analysis'!$A$3:$A$8</c:f>
              <c:numCache>
                <c:formatCode>0.00%</c:formatCode>
                <c:ptCount val="6"/>
                <c:pt idx="0">
                  <c:v>7.4999999999999997E-2</c:v>
                </c:pt>
                <c:pt idx="1">
                  <c:v>7.7499999999999999E-2</c:v>
                </c:pt>
                <c:pt idx="2">
                  <c:v>0.08</c:v>
                </c:pt>
                <c:pt idx="3">
                  <c:v>8.2500000000000004E-2</c:v>
                </c:pt>
                <c:pt idx="4">
                  <c:v>8.5000000000000006E-2</c:v>
                </c:pt>
                <c:pt idx="5">
                  <c:v>0.09</c:v>
                </c:pt>
              </c:numCache>
            </c:numRef>
          </c:cat>
          <c:val>
            <c:numRef>
              <c:f>'Sensitivity Analysis'!$E$3:$E$8</c:f>
              <c:numCache>
                <c:formatCode>_-[$$-409]* #,##0.00_ ;_-[$$-409]* \-#,##0.00\ ;_-[$$-409]* "-"??_ ;_-@_ </c:formatCode>
                <c:ptCount val="6"/>
                <c:pt idx="0">
                  <c:v>207.32857323319809</c:v>
                </c:pt>
                <c:pt idx="1">
                  <c:v>194.28020748804914</c:v>
                </c:pt>
                <c:pt idx="2">
                  <c:v>182.50545393868066</c:v>
                </c:pt>
                <c:pt idx="3">
                  <c:v>171.83016339770651</c:v>
                </c:pt>
                <c:pt idx="4">
                  <c:v>162.11048182590045</c:v>
                </c:pt>
                <c:pt idx="5">
                  <c:v>145.07765005219323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B-4F1C-8AFC-53CB61369AE2}"/>
            </c:ext>
          </c:extLst>
        </c:ser>
        <c:ser>
          <c:idx val="4"/>
          <c:order val="4"/>
          <c:tx>
            <c:strRef>
              <c:f>'Sensitivity Analysis'!$F$2</c:f>
              <c:strCache>
                <c:ptCount val="1"/>
                <c:pt idx="0">
                  <c:v>3%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'Sensitivity Analysis'!$A$3:$A$8</c:f>
              <c:numCache>
                <c:formatCode>0.00%</c:formatCode>
                <c:ptCount val="6"/>
                <c:pt idx="0">
                  <c:v>7.4999999999999997E-2</c:v>
                </c:pt>
                <c:pt idx="1">
                  <c:v>7.7499999999999999E-2</c:v>
                </c:pt>
                <c:pt idx="2">
                  <c:v>0.08</c:v>
                </c:pt>
                <c:pt idx="3">
                  <c:v>8.2500000000000004E-2</c:v>
                </c:pt>
                <c:pt idx="4">
                  <c:v>8.5000000000000006E-2</c:v>
                </c:pt>
                <c:pt idx="5">
                  <c:v>0.09</c:v>
                </c:pt>
              </c:numCache>
            </c:numRef>
          </c:cat>
          <c:val>
            <c:numRef>
              <c:f>'Sensitivity Analysis'!$F$3:$F$8</c:f>
              <c:numCache>
                <c:formatCode>_-[$$-409]* #,##0.00_ ;_-[$$-409]* \-#,##0.00\ ;_-[$$-409]* "-"??_ ;_-@_ </c:formatCode>
                <c:ptCount val="6"/>
                <c:pt idx="0">
                  <c:v>219.76784791442</c:v>
                </c:pt>
                <c:pt idx="1">
                  <c:v>205.37201461279355</c:v>
                </c:pt>
                <c:pt idx="2">
                  <c:v>192.4482998413163</c:v>
                </c:pt>
                <c:pt idx="3">
                  <c:v>180.78590233615367</c:v>
                </c:pt>
                <c:pt idx="4">
                  <c:v>170.21235706891602</c:v>
                </c:pt>
                <c:pt idx="5">
                  <c:v>151.78572303216211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B-4F1C-8AFC-53CB61369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6856352"/>
        <c:axId val="1936859232"/>
      </c:barChart>
      <c:catAx>
        <c:axId val="19368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WACC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59232"/>
        <c:crosses val="autoZero"/>
        <c:auto val="1"/>
        <c:lblAlgn val="ctr"/>
        <c:lblOffset val="100"/>
        <c:noMultiLvlLbl val="0"/>
      </c:catAx>
      <c:valAx>
        <c:axId val="19368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Implied Share</a:t>
                </a:r>
                <a:r>
                  <a:rPr lang="en-IN" b="1" baseline="0"/>
                  <a:t> Price (USD)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2.0746887966804978E-2"/>
              <c:y val="0.41297864308057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289560</xdr:colOff>
      <xdr:row>8</xdr:row>
      <xdr:rowOff>175260</xdr:rowOff>
    </xdr:from>
    <xdr:to>
      <xdr:col>31</xdr:col>
      <xdr:colOff>548640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48C519-7810-448B-9152-E069DE3BD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</xdr:colOff>
      <xdr:row>9</xdr:row>
      <xdr:rowOff>15240</xdr:rowOff>
    </xdr:from>
    <xdr:to>
      <xdr:col>21</xdr:col>
      <xdr:colOff>454215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E82FA3-A9A3-4A1D-8F60-152523CD4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586740</xdr:colOff>
      <xdr:row>28</xdr:row>
      <xdr:rowOff>7620</xdr:rowOff>
    </xdr:from>
    <xdr:to>
      <xdr:col>26</xdr:col>
      <xdr:colOff>15240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1EE8AE-DBF6-4083-B35A-A06548A3B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11</xdr:row>
      <xdr:rowOff>0</xdr:rowOff>
    </xdr:from>
    <xdr:to>
      <xdr:col>16</xdr:col>
      <xdr:colOff>7620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B8388-CE21-415E-BB69-F629C9A96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11</xdr:row>
      <xdr:rowOff>15240</xdr:rowOff>
    </xdr:from>
    <xdr:to>
      <xdr:col>26</xdr:col>
      <xdr:colOff>15240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0EBEE-BAEF-48E3-AF8D-C54D5C8F3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33</xdr:row>
      <xdr:rowOff>160020</xdr:rowOff>
    </xdr:from>
    <xdr:to>
      <xdr:col>10</xdr:col>
      <xdr:colOff>0</xdr:colOff>
      <xdr:row>42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F839BE-ED55-BF48-0318-D5B720EF6866}"/>
            </a:ext>
          </a:extLst>
        </xdr:cNvPr>
        <xdr:cNvSpPr txBox="1"/>
      </xdr:nvSpPr>
      <xdr:spPr>
        <a:xfrm>
          <a:off x="6332220" y="6195060"/>
          <a:ext cx="249174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To avoid distortion from COVID recovery years, we excluded 2021 and 2022 from the revenue growth forecast. A 2-year average of 2023 and 2024 was used to anchor a conservative growth path, beginning at 10% in 2025E and tapering down by 50bps per year to reflect long-term stabilization.</a:t>
          </a:r>
        </a:p>
      </xdr:txBody>
    </xdr:sp>
    <xdr:clientData/>
  </xdr:twoCellAnchor>
  <xdr:twoCellAnchor>
    <xdr:from>
      <xdr:col>8</xdr:col>
      <xdr:colOff>236220</xdr:colOff>
      <xdr:row>0</xdr:row>
      <xdr:rowOff>0</xdr:rowOff>
    </xdr:from>
    <xdr:to>
      <xdr:col>10</xdr:col>
      <xdr:colOff>7620</xdr:colOff>
      <xdr:row>7</xdr:row>
      <xdr:rowOff>30480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8D9FD6-9358-EE43-7A94-6B690B709F0C}"/>
            </a:ext>
          </a:extLst>
        </xdr:cNvPr>
        <xdr:cNvSpPr txBox="1"/>
      </xdr:nvSpPr>
      <xdr:spPr>
        <a:xfrm>
          <a:off x="6332220" y="0"/>
          <a:ext cx="249936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 gradual improvement in EBITDA margin (10–20 bps per year) was assumed, reflecting Marriott’s operational scale, cost discipline, and expected normalization post-COVID. The rate reflects historical trends and avoids aggressive projections</a:t>
          </a:r>
        </a:p>
      </xdr:txBody>
    </xdr:sp>
    <xdr:clientData/>
  </xdr:twoCellAnchor>
  <xdr:twoCellAnchor>
    <xdr:from>
      <xdr:col>9</xdr:col>
      <xdr:colOff>0</xdr:colOff>
      <xdr:row>8</xdr:row>
      <xdr:rowOff>15240</xdr:rowOff>
    </xdr:from>
    <xdr:to>
      <xdr:col>10</xdr:col>
      <xdr:colOff>45720</xdr:colOff>
      <xdr:row>16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2D330A-CD04-4010-E8D3-524831FF1702}"/>
            </a:ext>
          </a:extLst>
        </xdr:cNvPr>
        <xdr:cNvSpPr txBox="1"/>
      </xdr:nvSpPr>
      <xdr:spPr>
        <a:xfrm>
          <a:off x="6339840" y="1478280"/>
          <a:ext cx="252984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EBIT margin forecast is anchored in recent stable years (2023–2024), averaging 15.88%. A moderate improvement of 10 bps per year was assumed, reflecting continued recovery, operational efficiencies, and scale, while remaining conservative given the normalization trend post-COVID.</a:t>
          </a:r>
        </a:p>
      </xdr:txBody>
    </xdr:sp>
    <xdr:clientData/>
  </xdr:twoCellAnchor>
  <xdr:twoCellAnchor>
    <xdr:from>
      <xdr:col>9</xdr:col>
      <xdr:colOff>7620</xdr:colOff>
      <xdr:row>42</xdr:row>
      <xdr:rowOff>152400</xdr:rowOff>
    </xdr:from>
    <xdr:to>
      <xdr:col>9</xdr:col>
      <xdr:colOff>2476500</xdr:colOff>
      <xdr:row>49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4F75198-8BE6-FBBC-CE36-F836A255817B}"/>
            </a:ext>
          </a:extLst>
        </xdr:cNvPr>
        <xdr:cNvSpPr txBox="1"/>
      </xdr:nvSpPr>
      <xdr:spPr>
        <a:xfrm>
          <a:off x="6347460" y="7833360"/>
          <a:ext cx="2468880" cy="112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Depreciation as a % of revenue declined steadily from 1.6% in 2021 to 0.73% in 2024, likely reflecting Marriott’s shift toward an asset-light operating model. A stable depreciation rate of 0.75% was assumed for the forecast period.</a:t>
          </a:r>
        </a:p>
      </xdr:txBody>
    </xdr:sp>
    <xdr:clientData/>
  </xdr:twoCellAnchor>
  <xdr:twoCellAnchor>
    <xdr:from>
      <xdr:col>8</xdr:col>
      <xdr:colOff>236220</xdr:colOff>
      <xdr:row>16</xdr:row>
      <xdr:rowOff>144780</xdr:rowOff>
    </xdr:from>
    <xdr:to>
      <xdr:col>10</xdr:col>
      <xdr:colOff>53340</xdr:colOff>
      <xdr:row>25</xdr:row>
      <xdr:rowOff>15240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1C41D3-EB26-33CD-DCC1-AD3F5F1CBBCE}"/>
            </a:ext>
          </a:extLst>
        </xdr:cNvPr>
        <xdr:cNvSpPr txBox="1"/>
      </xdr:nvSpPr>
      <xdr:spPr>
        <a:xfrm>
          <a:off x="6332220" y="3070860"/>
          <a:ext cx="2545080" cy="1516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Capital expenditures as a % of revenue increased from 1.35% in 2021 to 2.92% in 2024, likely due to deferred spending post-COVID and strategic investments. A five-year forecast beginning at 2.40% and gradually declining to 2.20% was assumed, consistent with Marriott’s capital-efficient strategy.</a:t>
          </a:r>
        </a:p>
      </xdr:txBody>
    </xdr:sp>
    <xdr:clientData/>
  </xdr:twoCellAnchor>
  <xdr:twoCellAnchor>
    <xdr:from>
      <xdr:col>8</xdr:col>
      <xdr:colOff>236220</xdr:colOff>
      <xdr:row>25</xdr:row>
      <xdr:rowOff>167640</xdr:rowOff>
    </xdr:from>
    <xdr:to>
      <xdr:col>10</xdr:col>
      <xdr:colOff>7620</xdr:colOff>
      <xdr:row>33</xdr:row>
      <xdr:rowOff>7620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F887C0-2030-171D-782B-8D417B9D444B}"/>
            </a:ext>
          </a:extLst>
        </xdr:cNvPr>
        <xdr:cNvSpPr txBox="1"/>
      </xdr:nvSpPr>
      <xdr:spPr>
        <a:xfrm>
          <a:off x="6332220" y="4739640"/>
          <a:ext cx="2499360" cy="1303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While recent years showed a working capital release (negative </a:t>
          </a:r>
          <a:r>
            <a:rPr lang="el-GR" sz="1100"/>
            <a:t>Δ</a:t>
          </a:r>
          <a:r>
            <a:rPr lang="en-IN" sz="1100"/>
            <a:t>NWC), it is unlikely to persist indefinitely. To reflect a prudent level of working capital reinvestment as the company grows, a flat assumption of 0.30% of revenue was applied for 2025–2029.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167640</xdr:rowOff>
    </xdr:from>
    <xdr:to>
      <xdr:col>15</xdr:col>
      <xdr:colOff>297180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96461-DFC2-6817-340E-617669DD2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</xdr:row>
      <xdr:rowOff>7620</xdr:rowOff>
    </xdr:from>
    <xdr:to>
      <xdr:col>11</xdr:col>
      <xdr:colOff>0</xdr:colOff>
      <xdr:row>9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3AC6A7-26C8-ADD1-44FC-698FBD6D1010}"/>
            </a:ext>
          </a:extLst>
        </xdr:cNvPr>
        <xdr:cNvSpPr txBox="1"/>
      </xdr:nvSpPr>
      <xdr:spPr>
        <a:xfrm>
          <a:off x="8542020" y="190500"/>
          <a:ext cx="3627120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 of Equity=Rf​+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β×(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Rm​−Rf​)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 of Equity=Rf​+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β×(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Rm​−Rf​)</a:t>
          </a:r>
          <a:r>
            <a:rPr lang="en-IN"/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Rf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4.01% ✅ (from Treasury)</a:t>
          </a:r>
          <a:r>
            <a:rPr lang="en-IN"/>
            <a:t> 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Beta (</a:t>
          </a:r>
          <a:r>
            <a:rPr lang="el-G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β)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1.418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✅ (from Bloomberg)</a:t>
          </a:r>
        </a:p>
        <a:p>
          <a:r>
            <a:rPr lang="en-IN"/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Market Risk Premium (Rm – Rf)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3.75% ✅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(from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Bloomberg)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10</xdr:col>
      <xdr:colOff>381000</xdr:colOff>
      <xdr:row>11</xdr:row>
      <xdr:rowOff>45720</xdr:rowOff>
    </xdr:from>
    <xdr:to>
      <xdr:col>10</xdr:col>
      <xdr:colOff>426719</xdr:colOff>
      <xdr:row>11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8E21C3-8D24-6CA8-9A9E-9AF8AD47B399}"/>
            </a:ext>
          </a:extLst>
        </xdr:cNvPr>
        <xdr:cNvSpPr txBox="1"/>
      </xdr:nvSpPr>
      <xdr:spPr>
        <a:xfrm>
          <a:off x="7833360" y="2057400"/>
          <a:ext cx="45719" cy="45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22860</xdr:colOff>
      <xdr:row>19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A5D01-7624-5EA4-EF44-7E9047C87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D1030-63DD-47C4-AF7D-DA55EFB9BDFB}" name="Table4" displayName="Table4" ref="A1:K84" totalsRowShown="0">
  <tableColumns count="11">
    <tableColumn id="1" xr3:uid="{5B702B4E-640B-41BD-997B-863FA8502296}" name="Marriott International Inc/MD (MAR US) - BBG Adjusted"/>
    <tableColumn id="2" xr3:uid="{7AC15DD8-59FF-4A2F-B6C9-A7BF4E1D1AF6}" name="FY 2018" dataDxfId="66"/>
    <tableColumn id="3" xr3:uid="{280C6A70-5C8C-4807-8371-71C771C2D136}" name="FY 2019"/>
    <tableColumn id="4" xr3:uid="{F07B97AA-2F9D-47C3-979B-C414C27BE2A4}" name="FY 2020"/>
    <tableColumn id="5" xr3:uid="{EA349B34-3FEF-4FE3-8480-F848991B55CD}" name="FY 2021"/>
    <tableColumn id="6" xr3:uid="{80C8CB05-AE88-471A-967D-4A06CEFF7852}" name="FY 2022"/>
    <tableColumn id="7" xr3:uid="{F1605FA6-A664-430A-BB85-4AEF840684DC}" name="FY 2023"/>
    <tableColumn id="8" xr3:uid="{4FAF30AF-DDD6-41C6-BACF-2144FF856FA5}" name="FY 2024"/>
    <tableColumn id="9" xr3:uid="{11FAC0CB-ECDB-4028-A0AD-7DB245E1AB79}" name="Last 12M"/>
    <tableColumn id="10" xr3:uid="{FAEA78E6-0F76-437B-B501-0A10971E1DB5}" name="FY 2025 Est"/>
    <tableColumn id="11" xr3:uid="{ECA53A8A-A11F-43F2-A362-EB219F55732C}" name="FY 2026 Es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6B3477-C93E-4D13-ABCE-0A4A9B29085B}" name="Table13" displayName="Table13" ref="N16:Q20" totalsRowShown="0">
  <tableColumns count="4">
    <tableColumn id="1" xr3:uid="{1D2ABC4A-A434-44E3-A077-EE57845314F8}" name="Years"/>
    <tableColumn id="2" xr3:uid="{523CC0F0-8017-4AB5-AB5E-8C88A507E448}" name="ΔNWC " dataDxfId="24"/>
    <tableColumn id="3" xr3:uid="{435F55F5-9AE3-4BC7-9DFF-AF5E0D77BFF9}" name="Revenue"/>
    <tableColumn id="4" xr3:uid="{FFAE39AA-831A-4998-B2D7-D49F297B37B6}" name="ΔNWC as % of Revenue" dataDxfId="23">
      <calculatedColumnFormula>O17/P17*100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08E0B1-EE56-4C7E-A7BA-0779C160465A}" name="Table14" displayName="Table14" ref="N2:Q6" totalsRowShown="0">
  <tableColumns count="4">
    <tableColumn id="1" xr3:uid="{93139696-55DB-4C36-9539-BEA9B15DDF9F}" name="Year"/>
    <tableColumn id="2" xr3:uid="{71C3CB72-1465-4C52-A942-FBB167A76EEA}" name="Revenue"/>
    <tableColumn id="3" xr3:uid="{EDB4E1FF-39F9-49C2-8924-00453B805E60}" name="Capex" dataDxfId="22"/>
    <tableColumn id="4" xr3:uid="{B9F6DD8D-F760-4D6F-8094-A890DF998D34}" name="Capex%of Revenue" dataDxfId="21" dataCellStyle="Percent">
      <calculatedColumnFormula>(ABS(P3)/O3)*100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D92CF6-8C19-42AF-BE98-ED692D4510C2}" name="Table15" displayName="Table15" ref="N23:R26" totalsRowShown="0">
  <tableColumns count="5">
    <tableColumn id="1" xr3:uid="{C1B49296-D648-41F2-8627-6A81294D9198}" name="Years"/>
    <tableColumn id="2" xr3:uid="{D0A9BAA6-B61B-4B55-9251-4E23DEFF30D1}" name="2021" dataDxfId="20"/>
    <tableColumn id="3" xr3:uid="{27AF1492-5A48-40B7-8991-A759C70BD9BE}" name="2022" dataDxfId="19"/>
    <tableColumn id="4" xr3:uid="{ADC127B3-332A-411C-AE7F-43C81136EA03}" name="2023" dataDxfId="18"/>
    <tableColumn id="5" xr3:uid="{AE0346F8-6FDE-4D79-86EC-81494924FE26}" name="2024" dataDxfId="17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6E09485-6834-44A8-8DE2-2FCD7E3C85D7}" name="Table16" displayName="Table16" ref="A20:B27" totalsRowShown="0">
  <tableColumns count="2">
    <tableColumn id="1" xr3:uid="{FDD0634E-9F90-4BDA-8006-8A5FD6FA4DED}" name="Assumptions"/>
    <tableColumn id="2" xr3:uid="{38342A46-D4BF-4BB0-8765-8D57C0013969}" name="Calculations" dataDxfId="16" dataCellStyle="Comma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9EE594-11D0-437B-91E8-BB5F5DFB6305}" name="Table17" displayName="Table17" ref="A1:F10" totalsRowShown="0">
  <tableColumns count="6">
    <tableColumn id="1" xr3:uid="{F0083022-2E51-4EF7-A658-332C0E752518}" name="Metric"/>
    <tableColumn id="2" xr3:uid="{62B90AFD-F085-4DFC-AB87-425C701FF7A2}" name="2025E" dataDxfId="15"/>
    <tableColumn id="3" xr3:uid="{4FFE890C-0632-44BF-A432-A71DC5EA026F}" name="2026E" dataDxfId="14"/>
    <tableColumn id="4" xr3:uid="{A79D311A-E99F-4256-BF5D-48BECD906439}" name="2027E" dataDxfId="13"/>
    <tableColumn id="5" xr3:uid="{F6C74028-3C0B-4135-9C26-F28BB5880235}" name="2028E" dataDxfId="12"/>
    <tableColumn id="6" xr3:uid="{82C13FE2-84E7-4F8C-83EE-72E8E5822DFF}" name="2029E" dataDxfId="11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DCC6FA3-1D74-44F6-9A45-4F1689CB3206}" name="Table18" displayName="Table18" ref="A12:B16" totalsRowShown="0" headerRowDxfId="10">
  <tableColumns count="2">
    <tableColumn id="1" xr3:uid="{631A957A-3498-4D09-B7B5-AC183F08CF24}" name="Metrics"/>
    <tableColumn id="2" xr3:uid="{08120B0B-D7D8-46C8-8981-64B0E5BDD32A}" name="Value" dataDxfId="9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34A9226-5007-423C-9269-EA1726B674C2}" name="Table19" displayName="Table19" ref="A8:B10" totalsRowShown="0">
  <tableColumns count="2">
    <tableColumn id="1" xr3:uid="{7DFF03D5-82C8-4728-AF0A-B7C9800C695E}" name="WACC &amp; g"/>
    <tableColumn id="2" xr3:uid="{12BE8563-E10F-46F3-BF0A-524E84E6E5F3}" name="Values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C37A91-62A4-4CE2-919D-AEFA93E91C4F}" name="Table20" displayName="Table20" ref="A19:C33" totalsRowShown="0">
  <tableColumns count="3">
    <tableColumn id="1" xr3:uid="{5A0B800D-C6F3-4A44-9593-DD1F40EDDED1}" name="Metrics"/>
    <tableColumn id="2" xr3:uid="{4ADF86C7-5443-49ED-A7DD-D34436F6D9E3}" name="2024"/>
    <tableColumn id="3" xr3:uid="{3F0A5AC4-65E2-410F-9458-4292501DF4D8}" name="2023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150DC3E-73C0-413E-BC4B-F73BC1E07B98}" name="Table21" displayName="Table21" ref="A1:G5" totalsRowShown="0">
  <tableColumns count="7">
    <tableColumn id="1" xr3:uid="{18E9C017-B646-4E4F-AE6E-B393E77B2392}" name="Year "/>
    <tableColumn id="2" xr3:uid="{CA643967-807D-44D0-BBE6-FC953571CB37}" name="2025E" dataDxfId="8"/>
    <tableColumn id="3" xr3:uid="{649BD537-C5B5-47C1-8EAC-B41D1331908C}" name="2026E"/>
    <tableColumn id="4" xr3:uid="{4D4EDD62-BE20-4FB7-A927-4FB1B317E0D2}" name="2027E"/>
    <tableColumn id="5" xr3:uid="{AC8E244B-2B80-4C92-998A-FF5E1A9CCF39}" name="2028E"/>
    <tableColumn id="6" xr3:uid="{D7FAA980-C8E3-4D68-A413-30B5B4F2B484}" name="2029E"/>
    <tableColumn id="7" xr3:uid="{2E8649E0-7247-4440-90E0-5E3B568D520E}" name="Terminal Valu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AD9F6C-1D42-4A80-9E79-62C4AC1ED40B}" name="Table22" displayName="Table22" ref="A1:B8" totalsRowShown="0">
  <tableColumns count="2">
    <tableColumn id="1" xr3:uid="{80443B60-3DD6-4FB7-BF75-19C9C8D531F2}" name="Valuation Component"/>
    <tableColumn id="2" xr3:uid="{28BC7A1B-4A2A-4F2A-B8C5-F950EDCC0CF7}" name="Amount (USD)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3CDAB9-02CF-43E2-874D-44DAFAF04F1A}" name="Table9" displayName="Table9" ref="M1:T2" totalsRowShown="0" headerRowDxfId="65" dataDxfId="64" dataCellStyle="Percent">
  <tableColumns count="8">
    <tableColumn id="1" xr3:uid="{90426516-262E-44A3-BACA-569FC2134B95}" name="Revenue Growth (%)"/>
    <tableColumn id="2" xr3:uid="{62FE5179-250C-4E1B-9D03-B72779C72A6E}" name="FY 2018"/>
    <tableColumn id="3" xr3:uid="{6E9A0FEC-1B65-4495-AE9A-63DE3870B6E0}" name="FY 2019" dataDxfId="63" dataCellStyle="Percent"/>
    <tableColumn id="4" xr3:uid="{D506AD36-A0F0-40F8-A249-F7C895CF3632}" name="FY 2020" dataDxfId="62" dataCellStyle="Percent"/>
    <tableColumn id="5" xr3:uid="{3FAA7E64-549A-4A8B-A63D-6A9C006CDD8C}" name="FY 2021" dataDxfId="61" dataCellStyle="Percent"/>
    <tableColumn id="6" xr3:uid="{FDF66C3C-43D7-4B91-8A40-B9170171BCFC}" name="FY 2022" dataDxfId="60" dataCellStyle="Percent"/>
    <tableColumn id="7" xr3:uid="{E3D6EA7A-3582-425C-919A-E08DDF652202}" name="FY 2023" dataDxfId="59" dataCellStyle="Percent"/>
    <tableColumn id="8" xr3:uid="{3C6BDD7D-788A-4E77-A32A-E43B91BBE146}" name="FY 2024" dataDxfId="58" dataCellStyle="Percent"/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39241B8-DEB3-499A-94F8-52EE9A267DC7}" name="Table23" displayName="Table23" ref="A2:F8" totalsRowShown="0">
  <tableColumns count="6">
    <tableColumn id="1" xr3:uid="{2A47EAAC-0E0C-45B3-AE8E-F5B63BE4E877}" name="WACC" dataDxfId="6"/>
    <tableColumn id="2" xr3:uid="{95027137-E25B-49D1-8AB4-28137F0A1A60}" name="2%" dataDxfId="5">
      <calculatedColumnFormula>IF(
   ISNUMBER($A3)*ISNUMBER(B$1)*(A3 &gt; B$1),
   (
     PV_FCFFs +
     ((FCFF_2029 * (1 + B$1)) / (A3 - B$1)) * (1 / ((1 + A3)^5))
     - Net_Debt
   ) / Shares_outstanding,
   NA()
)</calculatedColumnFormula>
    </tableColumn>
    <tableColumn id="3" xr3:uid="{1BE06868-A2F7-4CAE-859D-84369D039BD5}" name="2.25%" dataDxfId="4">
      <calculatedColumnFormula>IF(
   ISNUMBER($A3)*ISNUMBER(C$1)*($A3 &gt; C$1),
   (
     PV_FCFFs +
     ((FCFF_2029 * (1 + C$1)) / ($A3 - C$1)) * (1 / (1 + $A3)^5)
     - Net_Debt
   ) / Shares_outstanding,
   NA()
)</calculatedColumnFormula>
    </tableColumn>
    <tableColumn id="4" xr3:uid="{DA2E5740-7A8A-448A-94B3-89329ADE1B3C}" name="2.50%" dataDxfId="3">
      <calculatedColumnFormula>IF(
   ISNUMBER($A3)*ISNUMBER(D$1)*($A3 &gt; D$1),
   (
     PV_FCFFs +
     ((FCFF_2029 * (1 + D$1)) / ($A3 - D$1)) * (1 / (1 + $A3)^5)
     - Net_Debt
   ) / Shares_outstanding,
   NA()
)</calculatedColumnFormula>
    </tableColumn>
    <tableColumn id="5" xr3:uid="{192938DB-0642-499B-AD5E-D6FCAE559258}" name="2.75%" dataDxfId="2">
      <calculatedColumnFormula>IF(
   ISNUMBER($A3)*ISNUMBER(E$1)*($A3 &gt; E$1),
   (
     PV_FCFFs +
     ((FCFF_2029 * (1 + E$1)) / ($A3 - E$1)) * (1 / (1 + $A3)^5)
     - Net_Debt
   ) / Shares_outstanding,
   NA()
)</calculatedColumnFormula>
    </tableColumn>
    <tableColumn id="6" xr3:uid="{CE88FC56-8464-4077-A40D-E3600DD6F674}" name="3%" dataDxfId="1">
      <calculatedColumnFormula>IF(
   ISNUMBER($A3)*ISNUMBER(F$1)*($A3 &gt; F$1),
   (
     PV_FCFFs +
     ((FCFF_2029 * (1 + F$1)) / ($A3 - F$1)) * (1 / (1 + $A3)^5)
     - Net_Debt
   ) / Shares_outstanding,
   NA()
)</calculatedColumnFormula>
    </tableColumn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BECB521-CF1C-431E-99B1-24CB491E7EA4}" name="Table24" displayName="Table24" ref="H1:I5" totalsRowShown="0">
  <tableColumns count="2">
    <tableColumn id="1" xr3:uid="{E2742FCA-3868-411A-8FD2-85982CA06368}" name="Metric "/>
    <tableColumn id="2" xr3:uid="{7A503802-564B-443B-A02E-0FDFFBBCAFD5}" name="Valu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8AF423-DF0B-4126-846E-4A799FF81D11}" name="Table10" displayName="Table10" ref="W1:AD4" totalsRowShown="0" headerRowDxfId="57" dataDxfId="56" dataCellStyle="Percent">
  <tableColumns count="8">
    <tableColumn id="1" xr3:uid="{5426DDB6-B513-4D6C-A6BD-473FA859F322}" name="Growth rates &amp; Margins"/>
    <tableColumn id="2" xr3:uid="{BEC8A676-998A-4E0C-A6A0-FA7F5337A114}" name="FY 2018"/>
    <tableColumn id="3" xr3:uid="{62CCCBBA-732A-4DFE-BE83-D87EF67AED9E}" name="FY 2019" dataDxfId="55" dataCellStyle="Percent"/>
    <tableColumn id="4" xr3:uid="{EA02C5B3-4FA2-4B3A-B08C-107EC711B370}" name="FY 2020" dataDxfId="54" dataCellStyle="Percent"/>
    <tableColumn id="5" xr3:uid="{DB71FED5-6955-4801-B927-0F727E1C0008}" name="FY 2021" dataDxfId="53" dataCellStyle="Percent"/>
    <tableColumn id="6" xr3:uid="{21176240-D31B-455B-A3C5-A4F561E48B86}" name="FY 2022" dataDxfId="52" dataCellStyle="Percent"/>
    <tableColumn id="7" xr3:uid="{099F319F-FC1F-41E1-B7DF-263665E72168}" name="FY 2023" dataDxfId="51" dataCellStyle="Percent"/>
    <tableColumn id="8" xr3:uid="{E39D3828-1AA8-4A56-967E-B79102FC08AA}" name="FY 2024" dataDxfId="50" dataCellStyle="Percent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3DAA19-7977-4278-8B99-7F3C0233A30D}" name="Table5" displayName="Table5" ref="A1:K99" totalsRowShown="0">
  <tableColumns count="11">
    <tableColumn id="1" xr3:uid="{FF36B739-0442-4B37-8142-C62FDDC3354D}" name="Marriott International Inc/MD (MAR US) - Standardized"/>
    <tableColumn id="2" xr3:uid="{73EE2D40-02BE-4046-90E3-46B742410808}" name="FY 2015" dataDxfId="49"/>
    <tableColumn id="3" xr3:uid="{690DC61F-971F-4CC9-A10C-7253DFDDE02B}" name="FY 2016"/>
    <tableColumn id="4" xr3:uid="{CB24F896-972D-4297-9ECA-93E613F0B880}" name="FY 2017"/>
    <tableColumn id="5" xr3:uid="{2DEB8FA4-0C80-401F-83DF-6F2C06AFBBEB}" name="FY 2018"/>
    <tableColumn id="6" xr3:uid="{692E8900-7BB6-4E45-AD6A-4473D685741B}" name="FY 2019"/>
    <tableColumn id="7" xr3:uid="{2E48AE0D-F4DC-47DF-B526-4353407E2506}" name="FY 2020"/>
    <tableColumn id="8" xr3:uid="{15D0F926-68D9-44C4-8D41-B0A6AF118EA2}" name="FY 2021"/>
    <tableColumn id="9" xr3:uid="{FD60F0C3-59F4-4758-9431-01EC198A69A0}" name="FY 2022"/>
    <tableColumn id="10" xr3:uid="{82682D3A-2464-42AD-A79A-1064EDA69154}" name="FY 2023"/>
    <tableColumn id="11" xr3:uid="{AC6D0CF7-FC28-4621-922D-2A3655126207}" name="FY 20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3D5B8A-56EA-4A48-B5FF-A4167DB6E38F}" name="Table7" displayName="Table7" ref="M1:T3" totalsRowShown="0" headerRowDxfId="48" headerRowBorderDxfId="47" tableBorderDxfId="46">
  <tableColumns count="8">
    <tableColumn id="1" xr3:uid="{586D87B8-351B-4E7D-8E18-FB12DE3DDE24}" name="Working Capital Efficiency Analysis"/>
    <tableColumn id="2" xr3:uid="{542F5A0A-A7BD-46CC-9577-BF4D7082F69D}" name="FY 2018"/>
    <tableColumn id="3" xr3:uid="{42F3FDD7-6C0A-482B-95A8-5ECEF3599E3E}" name="FY 2019" dataDxfId="45"/>
    <tableColumn id="4" xr3:uid="{0FC8A6FB-9F5C-4D4E-9169-948F4D4BD2F8}" name="FY 2020" dataDxfId="44"/>
    <tableColumn id="5" xr3:uid="{9BABDBB4-5389-478C-927F-119D4BABF6E4}" name="FY 2021" dataDxfId="43"/>
    <tableColumn id="6" xr3:uid="{63E3D64E-2311-45D9-B83B-EC54BC76D575}" name="FY 2022" dataDxfId="42"/>
    <tableColumn id="7" xr3:uid="{C8E53C60-9CC7-4E16-9723-77730FCD3828}" name="FY 2023" dataDxfId="41"/>
    <tableColumn id="8" xr3:uid="{C3446762-724B-4459-9B37-D6F572C4BCD4}" name="FY 2024" dataDxfId="4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3F4A74-C9EF-4573-8269-784FE418F57F}" name="Table8" displayName="Table8" ref="M7:T10" totalsRowShown="0" headerRowDxfId="39" headerRowBorderDxfId="38" tableBorderDxfId="37">
  <tableColumns count="8">
    <tableColumn id="1" xr3:uid="{D4128BB8-F9B8-46CB-A594-86D243DF61CC}" name="Debt &amp; Leverag Analysis"/>
    <tableColumn id="2" xr3:uid="{87C15F1F-D2DA-476F-BF67-FECC5619A9DB}" name="FY 2018"/>
    <tableColumn id="3" xr3:uid="{C78CE6AE-D290-42A0-AB4F-1156B59E2C4F}" name="FY 2019" dataDxfId="36"/>
    <tableColumn id="4" xr3:uid="{D5EC084F-DE67-4FCB-830A-0615584970A6}" name="FY 2020" dataDxfId="35"/>
    <tableColumn id="5" xr3:uid="{2B2E562D-6BE3-49F5-AD35-2DF27ADC3A20}" name="FY 2021" dataDxfId="34"/>
    <tableColumn id="6" xr3:uid="{F6F060AB-2D3D-4CAF-9CD8-F9A2988A562D}" name="FY 2022" dataDxfId="33"/>
    <tableColumn id="7" xr3:uid="{ADB3B5BD-DBFD-4A1C-ABA2-93A5CDFFF838}" name="FY 2023" dataDxfId="32"/>
    <tableColumn id="8" xr3:uid="{8189A7C0-9781-4E88-AD1F-CD3A231BC201}" name="FY 2024" dataDxfId="3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74D5A-CB04-4966-847A-F4763CA3FCFF}" name="Table6" displayName="Table6" ref="A1:K65" totalsRowShown="0">
  <tableColumns count="11">
    <tableColumn id="1" xr3:uid="{3B07D936-0EDE-456B-A438-6C62325DE713}" name="Marriott International Inc/MD (MAR US) - Standardized"/>
    <tableColumn id="2" xr3:uid="{A6BCDD60-96D5-4395-B8D3-EF2562837A83}" name="FY 2016"/>
    <tableColumn id="3" xr3:uid="{EA0EA313-BEC1-40E5-B8AE-A681CDA4A504}" name="FY 2017"/>
    <tableColumn id="4" xr3:uid="{8F681A68-4ED9-4F11-A949-50F1D1093DA8}" name="FY 2018"/>
    <tableColumn id="5" xr3:uid="{7FEDCF8D-319A-4E8F-854D-4C3195E3EBEE}" name="FY 2019"/>
    <tableColumn id="6" xr3:uid="{C47A8E8F-CBAA-4AF5-803D-2DA4F6A75B7C}" name="FY 2020"/>
    <tableColumn id="7" xr3:uid="{99977553-814C-4FC0-B9BC-9632D0AF6144}" name="FY 2021"/>
    <tableColumn id="8" xr3:uid="{6E5E7BCA-07D9-4E8C-8D4A-95B80C312077}" name="FY 2022"/>
    <tableColumn id="9" xr3:uid="{53FC5445-B904-4AB0-B81F-5221E436202E}" name="FY 2023"/>
    <tableColumn id="10" xr3:uid="{04A4C0CB-737D-4BC2-A00E-D49829011793}" name="FY 2024"/>
    <tableColumn id="11" xr3:uid="{3AB40EF1-E9F5-4229-AB14-1B8AB8FA035F}" name="Last 12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BA0877-711E-4EDD-9F22-780CAEF3E101}" name="Table11" displayName="Table11" ref="A2:F9" totalsRowShown="0">
  <tableColumns count="6">
    <tableColumn id="1" xr3:uid="{A6107815-AC6A-4C2F-A632-009561833FC7}" name="Assumptions "/>
    <tableColumn id="2" xr3:uid="{FBC12110-B51A-4459-8B21-A363EDDFEFB5}" name="2025 Est "/>
    <tableColumn id="3" xr3:uid="{75A5AFFA-B2E4-47FE-98F8-CC02BB6585E4}" name="2026 Est "/>
    <tableColumn id="4" xr3:uid="{B4CC108C-326C-4E59-9AE1-6867E3D217BA}" name="2027 Est "/>
    <tableColumn id="5" xr3:uid="{1A064E89-D9D1-44D6-A17D-1045A581E0E8}" name="2028 Est "/>
    <tableColumn id="6" xr3:uid="{25353B44-AECF-4C1B-8E61-5D4B376A1B51}" name="2029 Est 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37970A-D7C8-44E2-9F72-8EF26C9E9F8C}" name="Table12" displayName="Table12" ref="N8:S12" totalsRowShown="0" headerRowDxfId="30">
  <tableColumns count="6">
    <tableColumn id="1" xr3:uid="{86B15666-80FA-4C33-B9BC-226F01F9950C}" name="Change in Net working Capital (% of revenue) "/>
    <tableColumn id="2" xr3:uid="{FCFC12BB-CACC-4A02-A0E7-2EB38D010BE9}" name="FY 2020" dataDxfId="29"/>
    <tableColumn id="3" xr3:uid="{C07AB8BB-B70F-444C-9ACE-EA1E967F827C}" name="FY 2021" dataDxfId="28"/>
    <tableColumn id="4" xr3:uid="{323F817B-D24F-4D98-B8D6-337C8E791C96}" name="FY 2022" dataDxfId="27"/>
    <tableColumn id="5" xr3:uid="{295F38F8-B7EE-47A2-B9BF-72032FE93920}" name="FY 2023" dataDxfId="26"/>
    <tableColumn id="6" xr3:uid="{0D8EBD5D-1D47-46EF-840D-BC231FF812EC}" name="FY 2024" dataDxfId="2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5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3D00-AC6D-49F1-9738-380D17B40D95}">
  <dimension ref="A1:AD84"/>
  <sheetViews>
    <sheetView topLeftCell="H1" zoomScaleNormal="100" workbookViewId="0">
      <selection activeCell="AE31" sqref="AE31"/>
    </sheetView>
  </sheetViews>
  <sheetFormatPr defaultRowHeight="14.4" x14ac:dyDescent="0.3"/>
  <cols>
    <col min="1" max="1" width="48.88671875" bestFit="1" customWidth="1"/>
    <col min="2" max="8" width="10.77734375" bestFit="1" customWidth="1"/>
    <col min="9" max="11" width="10.77734375" hidden="1" customWidth="1"/>
    <col min="12" max="12" width="3" customWidth="1"/>
    <col min="13" max="13" width="18.44140625" bestFit="1" customWidth="1"/>
    <col min="14" max="20" width="9.21875" customWidth="1"/>
    <col min="21" max="21" width="2.21875" customWidth="1"/>
    <col min="23" max="23" width="21.109375" bestFit="1" customWidth="1"/>
  </cols>
  <sheetData>
    <row r="1" spans="1:3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M1" t="s">
        <v>232</v>
      </c>
      <c r="N1" s="15" t="s">
        <v>3</v>
      </c>
      <c r="O1" s="15" t="s">
        <v>4</v>
      </c>
      <c r="P1" s="15" t="s">
        <v>5</v>
      </c>
      <c r="Q1" s="15" t="s">
        <v>6</v>
      </c>
      <c r="R1" s="15" t="s">
        <v>7</v>
      </c>
      <c r="S1" s="15" t="s">
        <v>8</v>
      </c>
      <c r="T1" s="16" t="s">
        <v>9</v>
      </c>
      <c r="W1" t="s">
        <v>245</v>
      </c>
      <c r="X1" s="15" t="s">
        <v>3</v>
      </c>
      <c r="Y1" s="15" t="s">
        <v>4</v>
      </c>
      <c r="Z1" s="15" t="s">
        <v>5</v>
      </c>
      <c r="AA1" s="15" t="s">
        <v>6</v>
      </c>
      <c r="AB1" s="15" t="s">
        <v>7</v>
      </c>
      <c r="AC1" s="15" t="s">
        <v>8</v>
      </c>
      <c r="AD1" s="16" t="s">
        <v>9</v>
      </c>
    </row>
    <row r="2" spans="1:30" x14ac:dyDescent="0.3">
      <c r="A2" t="s">
        <v>13</v>
      </c>
      <c r="M2" t="s">
        <v>232</v>
      </c>
      <c r="O2" s="14">
        <v>1.0309278350515427E-2</v>
      </c>
      <c r="P2" s="14">
        <v>-0.49594697692160972</v>
      </c>
      <c r="Q2" s="14">
        <v>0.31085043988269789</v>
      </c>
      <c r="R2" s="14">
        <v>0.49909792884462734</v>
      </c>
      <c r="S2" s="14">
        <v>0.14152987050498234</v>
      </c>
      <c r="T2" s="14">
        <v>5.8491123012693436E-2</v>
      </c>
      <c r="W2" t="s">
        <v>232</v>
      </c>
      <c r="Y2" s="17">
        <v>1.0309278350515427E-2</v>
      </c>
      <c r="Z2" s="17">
        <v>-0.49594697692160972</v>
      </c>
      <c r="AA2" s="17">
        <v>0.31085043988269789</v>
      </c>
      <c r="AB2" s="17">
        <v>0.49909792884462734</v>
      </c>
      <c r="AC2" s="17">
        <v>0.14152987050498234</v>
      </c>
      <c r="AD2" s="17">
        <v>5.8491123012693436E-2</v>
      </c>
    </row>
    <row r="3" spans="1:30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21</v>
      </c>
      <c r="J3" s="1" t="s">
        <v>22</v>
      </c>
      <c r="K3" s="1" t="s">
        <v>23</v>
      </c>
      <c r="W3" t="s">
        <v>236</v>
      </c>
      <c r="X3" s="17">
        <v>9.1868195394546687E-2</v>
      </c>
      <c r="Y3" s="17">
        <v>6.0699980926950219E-2</v>
      </c>
      <c r="Z3" s="17">
        <v>-2.5257780720840034E-2</v>
      </c>
      <c r="AA3" s="17">
        <v>7.9310095980370934E-2</v>
      </c>
      <c r="AB3" s="17">
        <v>0.11351273287440428</v>
      </c>
      <c r="AC3" s="17">
        <v>0.13001307299793363</v>
      </c>
      <c r="AD3" s="17">
        <v>9.4621513944223107E-2</v>
      </c>
    </row>
    <row r="4" spans="1:30" x14ac:dyDescent="0.3">
      <c r="W4" t="s">
        <v>234</v>
      </c>
      <c r="X4" s="17">
        <v>0.13483957992099432</v>
      </c>
      <c r="Y4" s="17">
        <v>0.11725096795727635</v>
      </c>
      <c r="Z4" s="17">
        <v>0.1011257213130262</v>
      </c>
      <c r="AA4" s="17">
        <v>0.15999134011690841</v>
      </c>
      <c r="AB4" s="17">
        <v>0.18808068165407019</v>
      </c>
      <c r="AC4" s="17">
        <v>0.18268460338211107</v>
      </c>
      <c r="AD4" s="17">
        <v>0.17844621513944223</v>
      </c>
    </row>
    <row r="6" spans="1:30" x14ac:dyDescent="0.3">
      <c r="A6" t="s">
        <v>0</v>
      </c>
      <c r="B6" s="12">
        <v>20758</v>
      </c>
      <c r="C6" s="12">
        <v>20972</v>
      </c>
      <c r="D6" s="12">
        <v>10571</v>
      </c>
      <c r="E6" s="12">
        <v>13857</v>
      </c>
      <c r="F6" s="12">
        <v>20773</v>
      </c>
      <c r="G6" s="12">
        <v>23713</v>
      </c>
      <c r="H6" s="12">
        <v>25100</v>
      </c>
      <c r="I6" s="12">
        <v>25100</v>
      </c>
      <c r="J6" s="12">
        <v>26351.761999999999</v>
      </c>
      <c r="K6" s="12">
        <v>27650.095000000001</v>
      </c>
    </row>
    <row r="7" spans="1:30" x14ac:dyDescent="0.3">
      <c r="A7" s="5" t="s">
        <v>232</v>
      </c>
      <c r="B7" s="13"/>
      <c r="C7" s="13">
        <f>C6/B6-1</f>
        <v>1.0309278350515427E-2</v>
      </c>
      <c r="D7" s="13">
        <f t="shared" ref="D7:J7" si="0">D6/C6-1</f>
        <v>-0.49594697692160972</v>
      </c>
      <c r="E7" s="13">
        <f t="shared" si="0"/>
        <v>0.31085043988269789</v>
      </c>
      <c r="F7" s="13">
        <f t="shared" si="0"/>
        <v>0.49909792884462734</v>
      </c>
      <c r="G7" s="13">
        <f t="shared" si="0"/>
        <v>0.14152987050498234</v>
      </c>
      <c r="H7" s="13">
        <f t="shared" si="0"/>
        <v>5.8491123012693436E-2</v>
      </c>
      <c r="I7" s="13">
        <f t="shared" si="0"/>
        <v>0</v>
      </c>
      <c r="J7" s="13">
        <f t="shared" si="0"/>
        <v>4.9870996015936253E-2</v>
      </c>
      <c r="K7" s="13">
        <f>K6/J6-1</f>
        <v>4.9269305027876298E-2</v>
      </c>
    </row>
    <row r="8" spans="1:30" x14ac:dyDescent="0.3">
      <c r="A8" t="s">
        <v>24</v>
      </c>
      <c r="B8" s="2">
        <v>1635</v>
      </c>
      <c r="C8" s="2">
        <v>1612</v>
      </c>
      <c r="D8" s="2">
        <v>568</v>
      </c>
      <c r="E8" s="2">
        <v>796</v>
      </c>
      <c r="F8" s="2">
        <v>1367</v>
      </c>
      <c r="G8" s="2">
        <v>1564</v>
      </c>
      <c r="H8" s="2">
        <v>1551</v>
      </c>
      <c r="I8" s="2">
        <v>1551</v>
      </c>
      <c r="J8" s="2"/>
      <c r="K8" s="2"/>
    </row>
    <row r="9" spans="1:30" x14ac:dyDescent="0.3">
      <c r="A9" t="s">
        <v>25</v>
      </c>
      <c r="B9" s="2">
        <v>19123</v>
      </c>
      <c r="C9" s="2">
        <v>19360</v>
      </c>
      <c r="D9" s="2">
        <v>10003</v>
      </c>
      <c r="E9" s="2">
        <v>13061</v>
      </c>
      <c r="F9" s="2">
        <v>19406</v>
      </c>
      <c r="G9" s="2">
        <v>22149</v>
      </c>
      <c r="H9" s="2">
        <v>23549</v>
      </c>
      <c r="I9" s="2">
        <v>23549</v>
      </c>
      <c r="J9" s="2"/>
      <c r="K9" s="2"/>
    </row>
    <row r="10" spans="1:30" x14ac:dyDescent="0.3">
      <c r="A10" t="s">
        <v>26</v>
      </c>
      <c r="B10" s="2">
        <v>17084</v>
      </c>
      <c r="C10" s="2">
        <v>17755</v>
      </c>
      <c r="D10" s="2">
        <v>9112</v>
      </c>
      <c r="E10" s="2">
        <v>11056</v>
      </c>
      <c r="F10" s="2">
        <v>16215</v>
      </c>
      <c r="G10" s="2">
        <v>18589</v>
      </c>
      <c r="H10" s="2">
        <v>19999</v>
      </c>
      <c r="I10" s="2">
        <v>19999</v>
      </c>
      <c r="J10" s="2"/>
      <c r="K10" s="2"/>
    </row>
    <row r="11" spans="1:30" x14ac:dyDescent="0.3">
      <c r="A11" t="s">
        <v>27</v>
      </c>
      <c r="B11" s="2">
        <v>17084</v>
      </c>
      <c r="C11" s="2">
        <v>17755</v>
      </c>
      <c r="D11" s="2">
        <v>9112</v>
      </c>
      <c r="E11" s="2">
        <v>11056</v>
      </c>
      <c r="F11" s="2">
        <v>16215</v>
      </c>
      <c r="G11" s="2">
        <v>18589</v>
      </c>
      <c r="H11" s="2">
        <v>19999</v>
      </c>
      <c r="I11" s="2">
        <v>19999</v>
      </c>
      <c r="J11" s="2"/>
      <c r="K11" s="2"/>
    </row>
    <row r="12" spans="1:30" x14ac:dyDescent="0.3">
      <c r="A12" t="s">
        <v>28</v>
      </c>
      <c r="B12" s="12">
        <v>3674</v>
      </c>
      <c r="C12" s="12">
        <v>3217</v>
      </c>
      <c r="D12" s="12">
        <v>1459</v>
      </c>
      <c r="E12" s="12">
        <v>2801</v>
      </c>
      <c r="F12" s="12">
        <v>4558</v>
      </c>
      <c r="G12" s="12">
        <v>5124</v>
      </c>
      <c r="H12" s="12">
        <v>5101</v>
      </c>
      <c r="I12" s="12">
        <v>5101</v>
      </c>
      <c r="J12" s="2"/>
      <c r="K12" s="2"/>
    </row>
    <row r="13" spans="1:30" x14ac:dyDescent="0.3">
      <c r="A13" s="5" t="s">
        <v>233</v>
      </c>
      <c r="B13" s="13">
        <f>B12/B6</f>
        <v>0.17699200308314866</v>
      </c>
      <c r="C13" s="13">
        <f t="shared" ref="C13:K13" si="1">C12/C6</f>
        <v>0.15339500286095747</v>
      </c>
      <c r="D13" s="13">
        <f t="shared" si="1"/>
        <v>0.13801910888279253</v>
      </c>
      <c r="E13" s="13">
        <f t="shared" si="1"/>
        <v>0.20213610449592265</v>
      </c>
      <c r="F13" s="13">
        <f t="shared" si="1"/>
        <v>0.21941943869445915</v>
      </c>
      <c r="G13" s="13">
        <f t="shared" si="1"/>
        <v>0.2160840045544638</v>
      </c>
      <c r="H13" s="13">
        <f t="shared" si="1"/>
        <v>0.20322709163346614</v>
      </c>
      <c r="I13" s="13">
        <f t="shared" si="1"/>
        <v>0.20322709163346614</v>
      </c>
      <c r="J13" s="13">
        <f t="shared" si="1"/>
        <v>0</v>
      </c>
      <c r="K13" s="13">
        <f t="shared" si="1"/>
        <v>0</v>
      </c>
    </row>
    <row r="14" spans="1:30" x14ac:dyDescent="0.3">
      <c r="A14" t="s">
        <v>29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/>
      <c r="K14" s="2"/>
    </row>
    <row r="15" spans="1:30" x14ac:dyDescent="0.3">
      <c r="A15" t="s">
        <v>30</v>
      </c>
      <c r="B15" s="2">
        <v>1159</v>
      </c>
      <c r="C15" s="2">
        <v>1346.0127</v>
      </c>
      <c r="D15" s="2">
        <v>1025</v>
      </c>
      <c r="E15" s="2">
        <v>1028</v>
      </c>
      <c r="F15" s="2">
        <v>1098</v>
      </c>
      <c r="G15" s="2">
        <v>1224</v>
      </c>
      <c r="H15" s="2">
        <v>1257</v>
      </c>
      <c r="I15" s="2">
        <v>1257</v>
      </c>
      <c r="J15" s="2"/>
      <c r="K15" s="2"/>
    </row>
    <row r="16" spans="1:30" x14ac:dyDescent="0.3">
      <c r="A16" t="s">
        <v>31</v>
      </c>
      <c r="B16" s="2">
        <v>927</v>
      </c>
      <c r="C16" s="2">
        <v>938</v>
      </c>
      <c r="D16" s="2">
        <v>762</v>
      </c>
      <c r="E16" s="2">
        <v>823</v>
      </c>
      <c r="F16" s="2">
        <v>891</v>
      </c>
      <c r="G16" s="2">
        <v>1011</v>
      </c>
      <c r="H16" s="2">
        <v>1074</v>
      </c>
      <c r="I16" s="2">
        <v>1074</v>
      </c>
      <c r="J16" s="2"/>
      <c r="K16" s="2"/>
    </row>
    <row r="17" spans="1:11" x14ac:dyDescent="0.3">
      <c r="A17" t="s">
        <v>32</v>
      </c>
      <c r="B17" s="2">
        <v>927</v>
      </c>
      <c r="C17" s="2">
        <v>938</v>
      </c>
      <c r="D17" s="2">
        <v>762</v>
      </c>
      <c r="E17" s="2">
        <v>823</v>
      </c>
      <c r="F17" s="2">
        <v>891</v>
      </c>
      <c r="G17" s="2">
        <v>1011</v>
      </c>
      <c r="H17" s="2">
        <v>1074</v>
      </c>
      <c r="I17" s="2">
        <v>1074</v>
      </c>
      <c r="J17" s="2"/>
      <c r="K17" s="2"/>
    </row>
    <row r="18" spans="1:11" x14ac:dyDescent="0.3">
      <c r="A18" t="s">
        <v>33</v>
      </c>
      <c r="B18" s="2">
        <v>0</v>
      </c>
      <c r="C18" s="2">
        <v>0</v>
      </c>
      <c r="D18" s="2" t="s">
        <v>34</v>
      </c>
      <c r="E18" s="2" t="s">
        <v>34</v>
      </c>
      <c r="F18" s="2">
        <v>0</v>
      </c>
      <c r="G18" s="2">
        <v>0</v>
      </c>
      <c r="H18" s="2">
        <v>0</v>
      </c>
      <c r="I18" s="2"/>
      <c r="J18" s="2"/>
      <c r="K18" s="2"/>
    </row>
    <row r="19" spans="1:11" x14ac:dyDescent="0.3">
      <c r="A19" t="s">
        <v>35</v>
      </c>
      <c r="B19" s="2">
        <v>226</v>
      </c>
      <c r="C19" s="2">
        <v>341</v>
      </c>
      <c r="D19" s="2">
        <v>346</v>
      </c>
      <c r="E19" s="2">
        <v>220</v>
      </c>
      <c r="F19" s="2">
        <v>193</v>
      </c>
      <c r="G19" s="2">
        <v>189</v>
      </c>
      <c r="H19" s="2">
        <v>183</v>
      </c>
      <c r="I19" s="2">
        <v>183</v>
      </c>
      <c r="J19" s="2"/>
      <c r="K19" s="2"/>
    </row>
    <row r="20" spans="1:11" x14ac:dyDescent="0.3">
      <c r="A20" s="5" t="s">
        <v>260</v>
      </c>
      <c r="B20" s="8">
        <f>B19/B6*100</f>
        <v>1.0887368725310724</v>
      </c>
      <c r="C20" s="8">
        <f t="shared" ref="C20:H20" si="2">C19/C6*100</f>
        <v>1.6259774938012588</v>
      </c>
      <c r="D20" s="8">
        <f t="shared" si="2"/>
        <v>3.2731056664459373</v>
      </c>
      <c r="E20" s="8">
        <f t="shared" si="2"/>
        <v>1.5876452334560149</v>
      </c>
      <c r="F20" s="8">
        <f t="shared" si="2"/>
        <v>0.92909064651229956</v>
      </c>
      <c r="G20" s="8">
        <f t="shared" si="2"/>
        <v>0.79703116434023524</v>
      </c>
      <c r="H20" s="8">
        <f t="shared" si="2"/>
        <v>0.72908366533864544</v>
      </c>
      <c r="I20" s="2"/>
      <c r="J20" s="2"/>
      <c r="K20" s="2"/>
    </row>
    <row r="21" spans="1:11" x14ac:dyDescent="0.3">
      <c r="A21" t="s">
        <v>36</v>
      </c>
      <c r="B21" s="2">
        <v>6</v>
      </c>
      <c r="C21" s="2">
        <v>67.012699999999995</v>
      </c>
      <c r="D21" s="2">
        <v>-83</v>
      </c>
      <c r="E21" s="2">
        <v>-15</v>
      </c>
      <c r="F21" s="2">
        <v>14</v>
      </c>
      <c r="G21" s="2">
        <v>24</v>
      </c>
      <c r="H21" s="2">
        <v>0</v>
      </c>
      <c r="I21" s="2">
        <v>0</v>
      </c>
      <c r="J21" s="2"/>
      <c r="K21" s="2"/>
    </row>
    <row r="22" spans="1:11" x14ac:dyDescent="0.3">
      <c r="A22" t="s">
        <v>37</v>
      </c>
      <c r="B22" s="2">
        <v>2515</v>
      </c>
      <c r="C22" s="2">
        <v>1870.9873</v>
      </c>
      <c r="D22" s="2">
        <v>434</v>
      </c>
      <c r="E22" s="2">
        <v>1773</v>
      </c>
      <c r="F22" s="2">
        <v>3460</v>
      </c>
      <c r="G22" s="2">
        <v>3900</v>
      </c>
      <c r="H22" s="2">
        <v>3844</v>
      </c>
      <c r="I22" s="2">
        <v>3844</v>
      </c>
      <c r="J22" s="2">
        <v>4504.2110000000002</v>
      </c>
      <c r="K22" s="2">
        <v>4909.75</v>
      </c>
    </row>
    <row r="23" spans="1:11" x14ac:dyDescent="0.3">
      <c r="A23" t="s">
        <v>38</v>
      </c>
      <c r="B23" s="2">
        <v>210</v>
      </c>
      <c r="C23" s="2">
        <v>201</v>
      </c>
      <c r="D23" s="2">
        <v>550</v>
      </c>
      <c r="E23" s="2">
        <v>406</v>
      </c>
      <c r="F23" s="2">
        <v>348</v>
      </c>
      <c r="G23" s="2">
        <v>486</v>
      </c>
      <c r="H23" s="2">
        <v>627</v>
      </c>
      <c r="I23" s="2">
        <v>627</v>
      </c>
      <c r="J23" s="2"/>
      <c r="K23" s="2"/>
    </row>
    <row r="24" spans="1:11" x14ac:dyDescent="0.3">
      <c r="A24" t="s">
        <v>39</v>
      </c>
      <c r="B24" s="2">
        <v>318</v>
      </c>
      <c r="C24" s="2">
        <v>368</v>
      </c>
      <c r="D24" s="2">
        <v>418</v>
      </c>
      <c r="E24" s="2">
        <v>392</v>
      </c>
      <c r="F24" s="2">
        <v>377</v>
      </c>
      <c r="G24" s="2">
        <v>535</v>
      </c>
      <c r="H24" s="2">
        <v>655</v>
      </c>
      <c r="I24" s="2">
        <v>655</v>
      </c>
      <c r="J24" s="2"/>
      <c r="K24" s="2"/>
    </row>
    <row r="25" spans="1:11" x14ac:dyDescent="0.3">
      <c r="A25" t="s">
        <v>40</v>
      </c>
      <c r="B25" s="2">
        <v>340</v>
      </c>
      <c r="C25" s="2">
        <v>394</v>
      </c>
      <c r="D25" s="2">
        <v>445</v>
      </c>
      <c r="E25" s="2">
        <v>420</v>
      </c>
      <c r="F25" s="2">
        <v>403</v>
      </c>
      <c r="G25" s="2">
        <v>565</v>
      </c>
      <c r="H25" s="2">
        <v>695</v>
      </c>
      <c r="I25" s="2">
        <v>695</v>
      </c>
      <c r="J25" s="2"/>
      <c r="K25" s="2"/>
    </row>
    <row r="26" spans="1:11" x14ac:dyDescent="0.3">
      <c r="A26" t="s">
        <v>41</v>
      </c>
      <c r="B26" s="2">
        <v>22</v>
      </c>
      <c r="C26" s="2">
        <v>26</v>
      </c>
      <c r="D26" s="2">
        <v>27</v>
      </c>
      <c r="E26" s="2">
        <v>28</v>
      </c>
      <c r="F26" s="2">
        <v>26</v>
      </c>
      <c r="G26" s="2">
        <v>30</v>
      </c>
      <c r="H26" s="2">
        <v>40</v>
      </c>
      <c r="I26" s="2">
        <v>40</v>
      </c>
      <c r="J26" s="2"/>
      <c r="K26" s="2"/>
    </row>
    <row r="27" spans="1:11" x14ac:dyDescent="0.3">
      <c r="A27" t="s">
        <v>42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/>
      <c r="K27" s="2"/>
    </row>
    <row r="28" spans="1:11" x14ac:dyDescent="0.3">
      <c r="A28" t="s">
        <v>43</v>
      </c>
      <c r="B28" s="2">
        <v>-103</v>
      </c>
      <c r="C28" s="2">
        <v>-13</v>
      </c>
      <c r="D28" s="2">
        <v>141</v>
      </c>
      <c r="E28" s="2">
        <v>24</v>
      </c>
      <c r="F28" s="2">
        <v>-18</v>
      </c>
      <c r="G28" s="2">
        <v>-9</v>
      </c>
      <c r="H28" s="2">
        <v>-8</v>
      </c>
      <c r="I28" s="2">
        <v>-8</v>
      </c>
      <c r="J28" s="2"/>
      <c r="K28" s="2"/>
    </row>
    <row r="29" spans="1:11" x14ac:dyDescent="0.3">
      <c r="A29" t="s">
        <v>44</v>
      </c>
      <c r="B29" s="2">
        <v>-5</v>
      </c>
      <c r="C29" s="2">
        <v>-154</v>
      </c>
      <c r="D29" s="2">
        <v>-9</v>
      </c>
      <c r="E29" s="2">
        <v>-10</v>
      </c>
      <c r="F29" s="2">
        <v>-11</v>
      </c>
      <c r="G29" s="2">
        <v>-40</v>
      </c>
      <c r="H29" s="2">
        <v>-20</v>
      </c>
      <c r="I29" s="2">
        <v>-20</v>
      </c>
      <c r="J29" s="2"/>
      <c r="K29" s="2"/>
    </row>
    <row r="30" spans="1:11" x14ac:dyDescent="0.3">
      <c r="A30" t="s">
        <v>45</v>
      </c>
      <c r="B30" s="2">
        <v>2305</v>
      </c>
      <c r="C30" s="2">
        <v>1669.9873</v>
      </c>
      <c r="D30" s="2">
        <v>-116</v>
      </c>
      <c r="E30" s="2">
        <v>1367</v>
      </c>
      <c r="F30" s="2">
        <v>3112</v>
      </c>
      <c r="G30" s="2">
        <v>3414</v>
      </c>
      <c r="H30" s="2">
        <v>3217</v>
      </c>
      <c r="I30" s="2">
        <v>3217</v>
      </c>
      <c r="J30" s="2">
        <v>3741.136</v>
      </c>
      <c r="K30" s="2">
        <v>4078.0430000000001</v>
      </c>
    </row>
    <row r="31" spans="1:11" x14ac:dyDescent="0.3">
      <c r="A31" t="s">
        <v>46</v>
      </c>
      <c r="B31" s="2">
        <v>-40</v>
      </c>
      <c r="C31" s="2">
        <v>70.987300000000005</v>
      </c>
      <c r="D31" s="2">
        <v>350</v>
      </c>
      <c r="E31" s="2">
        <v>187</v>
      </c>
      <c r="F31" s="2">
        <v>-2</v>
      </c>
      <c r="G31" s="2">
        <v>36</v>
      </c>
      <c r="H31" s="2">
        <v>66</v>
      </c>
      <c r="I31" s="2">
        <v>66</v>
      </c>
      <c r="J31" s="2"/>
      <c r="K31" s="2"/>
    </row>
    <row r="32" spans="1:11" x14ac:dyDescent="0.3">
      <c r="A32" t="s">
        <v>47</v>
      </c>
      <c r="B32" s="2">
        <v>155</v>
      </c>
      <c r="C32" s="2">
        <v>138</v>
      </c>
      <c r="D32" s="2" t="s">
        <v>34</v>
      </c>
      <c r="E32" s="2">
        <v>8</v>
      </c>
      <c r="F32" s="2">
        <v>12</v>
      </c>
      <c r="G32" s="2">
        <v>60</v>
      </c>
      <c r="H32" s="2" t="s">
        <v>34</v>
      </c>
      <c r="I32" s="2"/>
      <c r="J32" s="2"/>
      <c r="K32" s="2"/>
    </row>
    <row r="33" spans="1:11" x14ac:dyDescent="0.3">
      <c r="A33" t="s">
        <v>48</v>
      </c>
      <c r="B33" s="2">
        <v>-189</v>
      </c>
      <c r="C33" s="2">
        <v>-181.0127</v>
      </c>
      <c r="D33" s="2">
        <v>6</v>
      </c>
      <c r="E33" s="2" t="s">
        <v>34</v>
      </c>
      <c r="F33" s="2">
        <v>-2</v>
      </c>
      <c r="G33" s="2">
        <v>-24</v>
      </c>
      <c r="H33" s="2">
        <v>-11</v>
      </c>
      <c r="I33" s="2">
        <v>-11</v>
      </c>
      <c r="J33" s="2"/>
      <c r="K33" s="2"/>
    </row>
    <row r="34" spans="1:11" x14ac:dyDescent="0.3">
      <c r="A34" t="s">
        <v>49</v>
      </c>
      <c r="B34" s="2" t="s">
        <v>34</v>
      </c>
      <c r="C34" s="2" t="s">
        <v>34</v>
      </c>
      <c r="D34" s="2" t="s">
        <v>34</v>
      </c>
      <c r="E34" s="2">
        <v>164</v>
      </c>
      <c r="F34" s="2" t="s">
        <v>34</v>
      </c>
      <c r="G34" s="2" t="s">
        <v>34</v>
      </c>
      <c r="H34" s="2" t="s">
        <v>34</v>
      </c>
      <c r="I34" s="2"/>
      <c r="J34" s="2"/>
      <c r="K34" s="2"/>
    </row>
    <row r="35" spans="1:11" x14ac:dyDescent="0.3">
      <c r="A35" t="s">
        <v>50</v>
      </c>
      <c r="B35" s="2" t="s">
        <v>34</v>
      </c>
      <c r="C35" s="2">
        <v>114</v>
      </c>
      <c r="D35" s="2">
        <v>77</v>
      </c>
      <c r="E35" s="2">
        <v>15</v>
      </c>
      <c r="F35" s="2">
        <v>11</v>
      </c>
      <c r="G35" s="2" t="s">
        <v>34</v>
      </c>
      <c r="H35" s="2" t="s">
        <v>34</v>
      </c>
      <c r="I35" s="2"/>
      <c r="J35" s="2"/>
      <c r="K35" s="2"/>
    </row>
    <row r="36" spans="1:11" x14ac:dyDescent="0.3">
      <c r="A36" t="s">
        <v>51</v>
      </c>
      <c r="B36" s="2">
        <v>-6</v>
      </c>
      <c r="C36" s="2" t="s">
        <v>34</v>
      </c>
      <c r="D36" s="2" t="s">
        <v>34</v>
      </c>
      <c r="E36" s="2" t="s">
        <v>34</v>
      </c>
      <c r="F36" s="2" t="s">
        <v>34</v>
      </c>
      <c r="G36" s="2" t="s">
        <v>34</v>
      </c>
      <c r="H36" s="2" t="s">
        <v>34</v>
      </c>
      <c r="I36" s="2"/>
      <c r="J36" s="2"/>
      <c r="K36" s="2"/>
    </row>
    <row r="37" spans="1:11" x14ac:dyDescent="0.3">
      <c r="A37" t="s">
        <v>52</v>
      </c>
      <c r="B37" s="2" t="s">
        <v>34</v>
      </c>
      <c r="C37" s="2" t="s">
        <v>34</v>
      </c>
      <c r="D37" s="2" t="s">
        <v>34</v>
      </c>
      <c r="E37" s="2" t="s">
        <v>34</v>
      </c>
      <c r="F37" s="2" t="s">
        <v>34</v>
      </c>
      <c r="G37" s="2" t="s">
        <v>34</v>
      </c>
      <c r="H37" s="2" t="s">
        <v>34</v>
      </c>
      <c r="I37" s="2"/>
      <c r="J37" s="2"/>
      <c r="K37" s="2"/>
    </row>
    <row r="38" spans="1:11" x14ac:dyDescent="0.3">
      <c r="A38" t="s">
        <v>53</v>
      </c>
      <c r="B38" s="2" t="s">
        <v>34</v>
      </c>
      <c r="C38" s="2" t="s">
        <v>34</v>
      </c>
      <c r="D38" s="2" t="s">
        <v>34</v>
      </c>
      <c r="E38" s="2" t="s">
        <v>34</v>
      </c>
      <c r="F38" s="2">
        <v>-23</v>
      </c>
      <c r="G38" s="2" t="s">
        <v>34</v>
      </c>
      <c r="H38" s="2" t="s">
        <v>34</v>
      </c>
      <c r="I38" s="2"/>
      <c r="J38" s="2"/>
      <c r="K38" s="2"/>
    </row>
    <row r="39" spans="1:11" x14ac:dyDescent="0.3">
      <c r="A39" t="s">
        <v>54</v>
      </c>
      <c r="B39" s="2" t="s">
        <v>34</v>
      </c>
      <c r="C39" s="2" t="s">
        <v>34</v>
      </c>
      <c r="D39" s="2">
        <v>267</v>
      </c>
      <c r="E39" s="2" t="s">
        <v>34</v>
      </c>
      <c r="F39" s="2" t="s">
        <v>34</v>
      </c>
      <c r="G39" s="2" t="s">
        <v>34</v>
      </c>
      <c r="H39" s="2">
        <v>77</v>
      </c>
      <c r="I39" s="2">
        <v>61</v>
      </c>
      <c r="J39" s="2"/>
      <c r="K39" s="2"/>
    </row>
    <row r="40" spans="1:11" x14ac:dyDescent="0.3">
      <c r="A40" s="24" t="s">
        <v>55</v>
      </c>
      <c r="B40" s="25">
        <v>2345</v>
      </c>
      <c r="C40" s="25">
        <v>1599</v>
      </c>
      <c r="D40" s="25">
        <v>-466</v>
      </c>
      <c r="E40" s="25">
        <v>1180</v>
      </c>
      <c r="F40" s="25">
        <v>3114</v>
      </c>
      <c r="G40" s="25">
        <v>3378</v>
      </c>
      <c r="H40" s="25">
        <v>3151</v>
      </c>
      <c r="I40" s="25">
        <v>3151</v>
      </c>
      <c r="J40" s="25">
        <v>3741.136</v>
      </c>
      <c r="K40" s="25">
        <v>4078.0430000000001</v>
      </c>
    </row>
    <row r="41" spans="1:11" x14ac:dyDescent="0.3">
      <c r="A41" t="s">
        <v>56</v>
      </c>
      <c r="B41" s="2">
        <v>438</v>
      </c>
      <c r="C41" s="2">
        <v>326</v>
      </c>
      <c r="D41" s="2">
        <v>-199</v>
      </c>
      <c r="E41" s="2">
        <v>81</v>
      </c>
      <c r="F41" s="2">
        <v>756</v>
      </c>
      <c r="G41" s="2">
        <v>295</v>
      </c>
      <c r="H41" s="2">
        <v>776</v>
      </c>
      <c r="I41" s="2">
        <v>776</v>
      </c>
      <c r="J41" s="2"/>
      <c r="K41" s="2"/>
    </row>
    <row r="42" spans="1:11" x14ac:dyDescent="0.3">
      <c r="A42" t="s">
        <v>57</v>
      </c>
      <c r="B42" s="2">
        <v>547</v>
      </c>
      <c r="C42" s="2">
        <v>490</v>
      </c>
      <c r="D42" s="2">
        <v>110</v>
      </c>
      <c r="E42" s="2">
        <v>-37</v>
      </c>
      <c r="F42" s="2">
        <v>601</v>
      </c>
      <c r="G42" s="2">
        <v>838</v>
      </c>
      <c r="H42" s="2" t="s">
        <v>34</v>
      </c>
      <c r="I42" s="2"/>
      <c r="J42" s="2"/>
      <c r="K42" s="2"/>
    </row>
    <row r="43" spans="1:11" x14ac:dyDescent="0.3">
      <c r="A43" t="s">
        <v>58</v>
      </c>
      <c r="B43" s="2">
        <v>-109</v>
      </c>
      <c r="C43" s="2">
        <v>-164</v>
      </c>
      <c r="D43" s="2">
        <v>-309</v>
      </c>
      <c r="E43" s="2">
        <v>118</v>
      </c>
      <c r="F43" s="2">
        <v>155</v>
      </c>
      <c r="G43" s="2">
        <v>-543</v>
      </c>
      <c r="H43" s="2" t="s">
        <v>34</v>
      </c>
      <c r="I43" s="2"/>
      <c r="J43" s="2"/>
      <c r="K43" s="2"/>
    </row>
    <row r="44" spans="1:11" x14ac:dyDescent="0.3">
      <c r="A44" t="s">
        <v>59</v>
      </c>
      <c r="B44" s="2">
        <v>1907</v>
      </c>
      <c r="C44" s="2">
        <v>1273</v>
      </c>
      <c r="D44" s="2">
        <v>-267</v>
      </c>
      <c r="E44" s="2">
        <v>1099</v>
      </c>
      <c r="F44" s="2">
        <v>2358</v>
      </c>
      <c r="G44" s="2">
        <v>3083</v>
      </c>
      <c r="H44" s="2">
        <v>2375</v>
      </c>
      <c r="I44" s="2">
        <v>2375</v>
      </c>
      <c r="J44" s="2">
        <v>2758.5</v>
      </c>
      <c r="K44" s="2">
        <v>2992.8180000000002</v>
      </c>
    </row>
    <row r="45" spans="1:11" x14ac:dyDescent="0.3">
      <c r="A45" t="s">
        <v>60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/>
      <c r="K45" s="2"/>
    </row>
    <row r="46" spans="1:11" x14ac:dyDescent="0.3">
      <c r="A46" t="s">
        <v>61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/>
      <c r="K46" s="2"/>
    </row>
    <row r="47" spans="1:11" x14ac:dyDescent="0.3">
      <c r="A47" t="s">
        <v>62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/>
      <c r="K47" s="2"/>
    </row>
    <row r="48" spans="1:11" x14ac:dyDescent="0.3">
      <c r="A48" t="s">
        <v>63</v>
      </c>
      <c r="B48" s="2">
        <v>1907</v>
      </c>
      <c r="C48" s="2">
        <v>1273</v>
      </c>
      <c r="D48" s="2">
        <v>-267</v>
      </c>
      <c r="E48" s="2">
        <v>1099</v>
      </c>
      <c r="F48" s="2">
        <v>2358</v>
      </c>
      <c r="G48" s="2">
        <v>3083</v>
      </c>
      <c r="H48" s="2">
        <v>2375</v>
      </c>
      <c r="I48" s="2">
        <v>2375</v>
      </c>
      <c r="J48" s="2"/>
      <c r="K48" s="2"/>
    </row>
    <row r="49" spans="1:12" x14ac:dyDescent="0.3">
      <c r="A49" t="s">
        <v>64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/>
      <c r="K49" s="2"/>
    </row>
    <row r="50" spans="1:12" x14ac:dyDescent="0.3">
      <c r="A50" t="s">
        <v>65</v>
      </c>
      <c r="B50" s="12">
        <v>1907</v>
      </c>
      <c r="C50" s="12">
        <v>1273</v>
      </c>
      <c r="D50" s="12">
        <v>-267</v>
      </c>
      <c r="E50" s="12">
        <v>1099</v>
      </c>
      <c r="F50" s="12">
        <v>2358</v>
      </c>
      <c r="G50" s="12">
        <v>3083</v>
      </c>
      <c r="H50" s="12">
        <v>2375</v>
      </c>
      <c r="I50" s="12">
        <v>2375</v>
      </c>
      <c r="J50" s="12">
        <v>2758.5</v>
      </c>
      <c r="K50" s="12">
        <v>2992.8180000000002</v>
      </c>
    </row>
    <row r="51" spans="1:12" x14ac:dyDescent="0.3">
      <c r="A51" s="5" t="s">
        <v>236</v>
      </c>
      <c r="B51" s="13">
        <f>B50/B6</f>
        <v>9.1868195394546687E-2</v>
      </c>
      <c r="C51" s="13">
        <f t="shared" ref="C51:K51" si="3">C50/C6</f>
        <v>6.0699980926950219E-2</v>
      </c>
      <c r="D51" s="13">
        <f t="shared" si="3"/>
        <v>-2.5257780720840034E-2</v>
      </c>
      <c r="E51" s="13">
        <f t="shared" si="3"/>
        <v>7.9310095980370934E-2</v>
      </c>
      <c r="F51" s="13">
        <f t="shared" si="3"/>
        <v>0.11351273287440428</v>
      </c>
      <c r="G51" s="13">
        <f t="shared" si="3"/>
        <v>0.13001307299793363</v>
      </c>
      <c r="H51" s="13">
        <f t="shared" si="3"/>
        <v>9.4621513944223107E-2</v>
      </c>
      <c r="I51" s="13">
        <f t="shared" si="3"/>
        <v>9.4621513944223107E-2</v>
      </c>
      <c r="J51" s="13">
        <f t="shared" si="3"/>
        <v>0.10467990717281069</v>
      </c>
      <c r="K51" s="13">
        <f t="shared" si="3"/>
        <v>0.10823897711743848</v>
      </c>
    </row>
    <row r="52" spans="1:12" x14ac:dyDescent="0.3">
      <c r="A52" t="s">
        <v>66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/>
      <c r="K52" s="2"/>
    </row>
    <row r="53" spans="1:12" x14ac:dyDescent="0.3">
      <c r="A53" t="s">
        <v>67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/>
      <c r="K53" s="2"/>
    </row>
    <row r="54" spans="1:12" x14ac:dyDescent="0.3">
      <c r="A54" t="s">
        <v>68</v>
      </c>
      <c r="B54" s="2">
        <v>1907</v>
      </c>
      <c r="C54" s="2">
        <v>1273</v>
      </c>
      <c r="D54" s="2">
        <v>-267</v>
      </c>
      <c r="E54" s="2">
        <v>1099</v>
      </c>
      <c r="F54" s="2">
        <v>2358</v>
      </c>
      <c r="G54" s="2">
        <v>3083</v>
      </c>
      <c r="H54" s="2">
        <v>2375</v>
      </c>
      <c r="I54" s="2">
        <v>2375</v>
      </c>
      <c r="J54" s="2">
        <v>2758.5</v>
      </c>
      <c r="K54" s="2">
        <v>2992.8180000000002</v>
      </c>
    </row>
    <row r="55" spans="1:12" x14ac:dyDescent="0.3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2" x14ac:dyDescent="0.3">
      <c r="A56" t="s">
        <v>69</v>
      </c>
      <c r="B56" s="2">
        <v>1888.2916</v>
      </c>
      <c r="C56" s="2">
        <v>1327.5385000000001</v>
      </c>
      <c r="D56" s="2">
        <v>-5.3220999999999998</v>
      </c>
      <c r="E56" s="2">
        <v>1140.5522000000001</v>
      </c>
      <c r="F56" s="2">
        <v>2385.9259999999999</v>
      </c>
      <c r="G56" s="2">
        <v>3016.7021</v>
      </c>
      <c r="H56" s="2">
        <v>2424.1122999999998</v>
      </c>
      <c r="I56" s="2">
        <v>2424.1760591673601</v>
      </c>
      <c r="J56" s="2">
        <v>2759.87</v>
      </c>
      <c r="K56" s="2">
        <v>2995.6959999999999</v>
      </c>
      <c r="L56" s="14"/>
    </row>
    <row r="57" spans="1:12" x14ac:dyDescent="0.3">
      <c r="A57" t="s">
        <v>70</v>
      </c>
      <c r="B57" s="2">
        <v>-18.708400000000001</v>
      </c>
      <c r="C57" s="2">
        <v>54.538499999999999</v>
      </c>
      <c r="D57" s="2">
        <v>261.67790000000002</v>
      </c>
      <c r="E57" s="2">
        <v>41.552199999999999</v>
      </c>
      <c r="F57" s="2">
        <v>27.925999999999998</v>
      </c>
      <c r="G57" s="2">
        <v>-66.297899999999998</v>
      </c>
      <c r="H57" s="2">
        <v>49.112299999999998</v>
      </c>
      <c r="I57" s="2">
        <v>49.176089858906003</v>
      </c>
      <c r="J57" s="2"/>
      <c r="K57" s="2"/>
    </row>
    <row r="58" spans="1:12" x14ac:dyDescent="0.3">
      <c r="A58" t="s">
        <v>71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/>
      <c r="K58" s="2"/>
    </row>
    <row r="59" spans="1:12" x14ac:dyDescent="0.3"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2" x14ac:dyDescent="0.3">
      <c r="A60" t="s">
        <v>72</v>
      </c>
      <c r="B60" s="2">
        <v>350.1</v>
      </c>
      <c r="C60" s="2">
        <v>332.7</v>
      </c>
      <c r="D60" s="2">
        <v>325.8</v>
      </c>
      <c r="E60" s="2">
        <v>327.2</v>
      </c>
      <c r="F60" s="2">
        <v>324.39999999999998</v>
      </c>
      <c r="G60" s="2">
        <v>301.5</v>
      </c>
      <c r="H60" s="2">
        <v>284.2</v>
      </c>
      <c r="I60" s="2">
        <v>278.89999999999998</v>
      </c>
      <c r="J60" s="2"/>
      <c r="K60" s="2"/>
    </row>
    <row r="61" spans="1:12" x14ac:dyDescent="0.3">
      <c r="A61" t="s">
        <v>73</v>
      </c>
      <c r="B61" s="2">
        <v>5.45</v>
      </c>
      <c r="C61" s="2">
        <v>3.83</v>
      </c>
      <c r="D61" s="2">
        <v>-0.82</v>
      </c>
      <c r="E61" s="2">
        <v>3.36</v>
      </c>
      <c r="F61" s="2">
        <v>7.27</v>
      </c>
      <c r="G61" s="2">
        <v>10.23</v>
      </c>
      <c r="H61" s="2">
        <v>8.36</v>
      </c>
      <c r="I61" s="2">
        <v>8.35</v>
      </c>
      <c r="J61" s="2">
        <v>10.201000000000001</v>
      </c>
      <c r="K61" s="2">
        <v>11.532</v>
      </c>
    </row>
    <row r="62" spans="1:12" x14ac:dyDescent="0.3">
      <c r="A62" t="s">
        <v>74</v>
      </c>
      <c r="B62" s="2">
        <v>5.45</v>
      </c>
      <c r="C62" s="2">
        <v>3.83</v>
      </c>
      <c r="D62" s="2">
        <v>-0.82</v>
      </c>
      <c r="E62" s="2">
        <v>3.36</v>
      </c>
      <c r="F62" s="2">
        <v>7.27</v>
      </c>
      <c r="G62" s="2">
        <v>10.23</v>
      </c>
      <c r="H62" s="2">
        <v>8.36</v>
      </c>
      <c r="I62" s="2">
        <v>8.35</v>
      </c>
      <c r="J62" s="2">
        <v>10.201000000000001</v>
      </c>
      <c r="K62" s="2">
        <v>11.532</v>
      </c>
    </row>
    <row r="63" spans="1:12" x14ac:dyDescent="0.3">
      <c r="A63" t="s">
        <v>75</v>
      </c>
      <c r="B63" s="2">
        <v>5.3936000000000002</v>
      </c>
      <c r="C63" s="2">
        <v>3.9902000000000002</v>
      </c>
      <c r="D63" s="2">
        <v>-1.6299999999999999E-2</v>
      </c>
      <c r="E63" s="2">
        <v>3.4857999999999998</v>
      </c>
      <c r="F63" s="2">
        <v>7.3548999999999998</v>
      </c>
      <c r="G63" s="2">
        <v>10.005599999999999</v>
      </c>
      <c r="H63" s="2">
        <v>8.5296000000000003</v>
      </c>
      <c r="I63" s="2">
        <v>8.5240950000000009</v>
      </c>
      <c r="J63" s="2">
        <v>10.199999999999999</v>
      </c>
      <c r="K63" s="2">
        <v>11.535</v>
      </c>
    </row>
    <row r="64" spans="1:12" x14ac:dyDescent="0.3"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">
      <c r="A65" t="s">
        <v>76</v>
      </c>
      <c r="B65" s="2">
        <v>354.2</v>
      </c>
      <c r="C65" s="2">
        <v>335.5</v>
      </c>
      <c r="D65" s="2">
        <v>325.8</v>
      </c>
      <c r="E65" s="2">
        <v>329.3</v>
      </c>
      <c r="F65" s="2">
        <v>325.8</v>
      </c>
      <c r="G65" s="2">
        <v>302.89999999999998</v>
      </c>
      <c r="H65" s="2">
        <v>285.2</v>
      </c>
      <c r="I65" s="2">
        <v>280.10000000000002</v>
      </c>
      <c r="J65" s="2"/>
      <c r="K65" s="2"/>
    </row>
    <row r="66" spans="1:11" x14ac:dyDescent="0.3">
      <c r="A66" t="s">
        <v>77</v>
      </c>
      <c r="B66" s="2">
        <v>5.38</v>
      </c>
      <c r="C66" s="2">
        <v>3.8</v>
      </c>
      <c r="D66" s="2">
        <v>-0.82</v>
      </c>
      <c r="E66" s="2">
        <v>3.34</v>
      </c>
      <c r="F66" s="2">
        <v>7.24</v>
      </c>
      <c r="G66" s="2">
        <v>10.18</v>
      </c>
      <c r="H66" s="2">
        <v>8.33</v>
      </c>
      <c r="I66" s="2">
        <v>8.32</v>
      </c>
      <c r="J66" s="2">
        <v>10.201000000000001</v>
      </c>
      <c r="K66" s="2">
        <v>11.532</v>
      </c>
    </row>
    <row r="67" spans="1:11" x14ac:dyDescent="0.3">
      <c r="A67" t="s">
        <v>78</v>
      </c>
      <c r="B67" s="2">
        <v>5.38</v>
      </c>
      <c r="C67" s="2">
        <v>3.8</v>
      </c>
      <c r="D67" s="2">
        <v>-0.82</v>
      </c>
      <c r="E67" s="2">
        <v>3.34</v>
      </c>
      <c r="F67" s="2">
        <v>7.24</v>
      </c>
      <c r="G67" s="2">
        <v>10.18</v>
      </c>
      <c r="H67" s="2">
        <v>8.33</v>
      </c>
      <c r="I67" s="2">
        <v>8.32</v>
      </c>
      <c r="J67" s="2">
        <v>10.201000000000001</v>
      </c>
      <c r="K67" s="2">
        <v>11.532</v>
      </c>
    </row>
    <row r="68" spans="1:11" x14ac:dyDescent="0.3">
      <c r="A68" t="s">
        <v>79</v>
      </c>
      <c r="B68" s="2">
        <v>5.3272000000000004</v>
      </c>
      <c r="C68" s="2">
        <v>3.9626000000000001</v>
      </c>
      <c r="D68" s="2">
        <v>-1.6799999999999999E-2</v>
      </c>
      <c r="E68" s="2">
        <v>3.4662000000000002</v>
      </c>
      <c r="F68" s="2">
        <v>7.3257000000000003</v>
      </c>
      <c r="G68" s="2">
        <v>9.9611000000000001</v>
      </c>
      <c r="H68" s="2">
        <v>8.5022000000000002</v>
      </c>
      <c r="I68" s="2">
        <v>8.4940519999999999</v>
      </c>
      <c r="J68" s="2">
        <v>10.199999999999999</v>
      </c>
      <c r="K68" s="2">
        <v>11.535</v>
      </c>
    </row>
    <row r="69" spans="1:1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t="s">
        <v>80</v>
      </c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">
      <c r="A71" t="s">
        <v>81</v>
      </c>
      <c r="B71" s="2" t="s">
        <v>82</v>
      </c>
      <c r="C71" s="2" t="s">
        <v>82</v>
      </c>
      <c r="D71" s="2" t="s">
        <v>82</v>
      </c>
      <c r="E71" s="2" t="s">
        <v>82</v>
      </c>
      <c r="F71" s="2" t="s">
        <v>82</v>
      </c>
      <c r="G71" s="2" t="s">
        <v>82</v>
      </c>
      <c r="H71" s="2" t="s">
        <v>82</v>
      </c>
      <c r="I71" s="2"/>
      <c r="J71" s="2"/>
      <c r="K71" s="2"/>
    </row>
    <row r="72" spans="1:11" x14ac:dyDescent="0.3">
      <c r="A72" t="s">
        <v>1</v>
      </c>
      <c r="B72" s="12">
        <v>2799</v>
      </c>
      <c r="C72" s="12">
        <v>2458.9872999999998</v>
      </c>
      <c r="D72" s="12">
        <v>1069</v>
      </c>
      <c r="E72" s="12">
        <v>2217</v>
      </c>
      <c r="F72" s="12">
        <v>3907</v>
      </c>
      <c r="G72" s="12">
        <v>4332</v>
      </c>
      <c r="H72" s="12">
        <v>4479</v>
      </c>
      <c r="I72" s="12">
        <v>4336</v>
      </c>
      <c r="J72" s="12">
        <v>5370.13</v>
      </c>
      <c r="K72" s="12">
        <v>5754.0870000000004</v>
      </c>
    </row>
    <row r="73" spans="1:11" x14ac:dyDescent="0.3">
      <c r="A73" s="5" t="s">
        <v>234</v>
      </c>
      <c r="B73" s="13">
        <f>B72/B6</f>
        <v>0.13483957992099432</v>
      </c>
      <c r="C73" s="13">
        <f t="shared" ref="C73:K73" si="4">C72/C6</f>
        <v>0.11725096795727635</v>
      </c>
      <c r="D73" s="13">
        <f t="shared" si="4"/>
        <v>0.1011257213130262</v>
      </c>
      <c r="E73" s="13">
        <f t="shared" si="4"/>
        <v>0.15999134011690841</v>
      </c>
      <c r="F73" s="13">
        <f t="shared" si="4"/>
        <v>0.18808068165407019</v>
      </c>
      <c r="G73" s="13">
        <f t="shared" si="4"/>
        <v>0.18268460338211107</v>
      </c>
      <c r="H73" s="13">
        <f t="shared" si="4"/>
        <v>0.17844621513944223</v>
      </c>
      <c r="I73" s="13">
        <f t="shared" si="4"/>
        <v>0.17274900398406373</v>
      </c>
      <c r="J73" s="13">
        <f t="shared" si="4"/>
        <v>0.20378637299471664</v>
      </c>
      <c r="K73" s="13">
        <f t="shared" si="4"/>
        <v>0.20810369729290262</v>
      </c>
    </row>
    <row r="74" spans="1:11" x14ac:dyDescent="0.3">
      <c r="A74" t="s">
        <v>83</v>
      </c>
      <c r="B74" s="12">
        <v>2543</v>
      </c>
      <c r="C74" s="12">
        <v>2112.9872999999998</v>
      </c>
      <c r="D74" s="12">
        <v>820</v>
      </c>
      <c r="E74" s="12">
        <v>2079</v>
      </c>
      <c r="F74" s="12">
        <v>3793</v>
      </c>
      <c r="G74" s="12">
        <v>4143</v>
      </c>
      <c r="H74" s="12">
        <v>4296</v>
      </c>
      <c r="I74" s="12">
        <v>997</v>
      </c>
      <c r="J74" s="12"/>
      <c r="K74" s="12"/>
    </row>
    <row r="75" spans="1:11" x14ac:dyDescent="0.3">
      <c r="A75" t="s">
        <v>84</v>
      </c>
      <c r="B75" s="12">
        <v>2515</v>
      </c>
      <c r="C75" s="12">
        <v>1870.9873</v>
      </c>
      <c r="D75" s="12">
        <v>434</v>
      </c>
      <c r="E75" s="12">
        <v>1773</v>
      </c>
      <c r="F75" s="12">
        <v>3460</v>
      </c>
      <c r="G75" s="12">
        <v>3900</v>
      </c>
      <c r="H75" s="12">
        <v>3844</v>
      </c>
      <c r="I75" s="12">
        <v>3844</v>
      </c>
      <c r="J75" s="12">
        <v>4504.2110000000002</v>
      </c>
      <c r="K75" s="12">
        <v>4909.75</v>
      </c>
    </row>
    <row r="76" spans="1:11" x14ac:dyDescent="0.3">
      <c r="A76" s="5" t="s">
        <v>235</v>
      </c>
      <c r="B76" s="13">
        <f t="shared" ref="B76:K76" si="5">B75/B6</f>
        <v>0.1211581077175065</v>
      </c>
      <c r="C76" s="13">
        <f t="shared" si="5"/>
        <v>8.921358477970627E-2</v>
      </c>
      <c r="D76" s="13">
        <f t="shared" si="5"/>
        <v>4.1055718475073312E-2</v>
      </c>
      <c r="E76" s="13">
        <f t="shared" si="5"/>
        <v>0.12794977267806884</v>
      </c>
      <c r="F76" s="13">
        <f t="shared" si="5"/>
        <v>0.1665623646079045</v>
      </c>
      <c r="G76" s="13">
        <f t="shared" si="5"/>
        <v>0.16446674819719143</v>
      </c>
      <c r="H76" s="13">
        <f t="shared" si="5"/>
        <v>0.15314741035856574</v>
      </c>
      <c r="I76" s="13">
        <f t="shared" si="5"/>
        <v>0.15314741035856574</v>
      </c>
      <c r="J76" s="13">
        <f t="shared" si="5"/>
        <v>0.17092636917409926</v>
      </c>
      <c r="K76" s="13">
        <f t="shared" si="5"/>
        <v>0.17756720184867356</v>
      </c>
    </row>
    <row r="77" spans="1:11" x14ac:dyDescent="0.3">
      <c r="A77" t="s">
        <v>85</v>
      </c>
      <c r="B77" s="2">
        <v>9.0967000000000002</v>
      </c>
      <c r="C77" s="2">
        <v>6.3300999999999998</v>
      </c>
      <c r="D77" s="2">
        <v>-5.0299999999999997E-2</v>
      </c>
      <c r="E77" s="2">
        <v>8.2309000000000001</v>
      </c>
      <c r="F77" s="2">
        <v>11.4857</v>
      </c>
      <c r="G77" s="2">
        <v>12.7217</v>
      </c>
      <c r="H77" s="2">
        <v>9.6577999999999999</v>
      </c>
      <c r="I77" s="2">
        <v>9.65807207115102</v>
      </c>
      <c r="J77" s="2">
        <v>10.473189610622599</v>
      </c>
      <c r="K77" s="2">
        <v>10.834306355909399</v>
      </c>
    </row>
    <row r="78" spans="1:11" x14ac:dyDescent="0.3">
      <c r="A78" t="s">
        <v>86</v>
      </c>
      <c r="B78" s="2">
        <v>117943.18180000001</v>
      </c>
      <c r="C78" s="2">
        <v>120528.7356</v>
      </c>
      <c r="D78" s="2">
        <v>87363.636400000003</v>
      </c>
      <c r="E78" s="2">
        <v>115475</v>
      </c>
      <c r="F78" s="2">
        <v>148378.57139999999</v>
      </c>
      <c r="G78" s="2">
        <v>160222.973</v>
      </c>
      <c r="H78" s="2">
        <v>161935.48389999999</v>
      </c>
      <c r="I78" s="2">
        <v>41477.419354838697</v>
      </c>
      <c r="J78" s="2"/>
      <c r="K78" s="2"/>
    </row>
    <row r="79" spans="1:11" x14ac:dyDescent="0.3">
      <c r="A79" t="s">
        <v>87</v>
      </c>
      <c r="B79" s="2">
        <v>1.56</v>
      </c>
      <c r="C79" s="2">
        <v>1.85</v>
      </c>
      <c r="D79" s="2">
        <v>0</v>
      </c>
      <c r="E79" s="2">
        <v>0</v>
      </c>
      <c r="F79" s="2">
        <v>1</v>
      </c>
      <c r="G79" s="2">
        <v>1.96</v>
      </c>
      <c r="H79" s="2">
        <v>2.41</v>
      </c>
      <c r="I79" s="2">
        <v>2.41</v>
      </c>
      <c r="J79" s="2">
        <v>2.6139999999999999</v>
      </c>
      <c r="K79" s="2">
        <v>2.859</v>
      </c>
    </row>
    <row r="80" spans="1:11" x14ac:dyDescent="0.3">
      <c r="A80" t="s">
        <v>88</v>
      </c>
      <c r="B80" s="2">
        <v>546.15599999999995</v>
      </c>
      <c r="C80" s="2">
        <v>615.495</v>
      </c>
      <c r="D80" s="2">
        <v>0</v>
      </c>
      <c r="E80" s="2">
        <v>0</v>
      </c>
      <c r="F80" s="2">
        <v>324.39999999999998</v>
      </c>
      <c r="G80" s="2">
        <v>590.94000000000005</v>
      </c>
      <c r="H80" s="2">
        <v>684.92200000000003</v>
      </c>
      <c r="I80" s="2">
        <v>684.11400000000003</v>
      </c>
      <c r="J80" s="2"/>
      <c r="K80" s="2"/>
    </row>
    <row r="81" spans="1:11" x14ac:dyDescent="0.3">
      <c r="A81" t="s">
        <v>89</v>
      </c>
      <c r="B81" s="2" t="s">
        <v>34</v>
      </c>
      <c r="C81" s="2" t="s">
        <v>34</v>
      </c>
      <c r="D81" s="2" t="s">
        <v>34</v>
      </c>
      <c r="E81" s="2" t="s">
        <v>34</v>
      </c>
      <c r="F81" s="2" t="s">
        <v>34</v>
      </c>
      <c r="G81" s="2" t="s">
        <v>34</v>
      </c>
      <c r="H81" s="2" t="s">
        <v>34</v>
      </c>
      <c r="I81" s="2"/>
      <c r="J81" s="2"/>
      <c r="K81" s="2"/>
    </row>
    <row r="82" spans="1:11" x14ac:dyDescent="0.3">
      <c r="A82" t="s">
        <v>90</v>
      </c>
      <c r="B82" s="2">
        <v>256</v>
      </c>
      <c r="C82" s="2">
        <v>346</v>
      </c>
      <c r="D82" s="2">
        <v>249</v>
      </c>
      <c r="E82" s="2">
        <v>138</v>
      </c>
      <c r="F82" s="2">
        <v>114</v>
      </c>
      <c r="G82" s="2">
        <v>189</v>
      </c>
      <c r="H82" s="2">
        <v>183</v>
      </c>
      <c r="I82" s="2">
        <v>86</v>
      </c>
      <c r="J82" s="2"/>
      <c r="K82" s="2"/>
    </row>
    <row r="83" spans="1:11" x14ac:dyDescent="0.3">
      <c r="A83" t="s">
        <v>91</v>
      </c>
      <c r="B83" s="2">
        <v>275</v>
      </c>
      <c r="C83" s="2">
        <v>298</v>
      </c>
      <c r="D83" s="2">
        <v>217</v>
      </c>
      <c r="E83" s="2">
        <v>200</v>
      </c>
      <c r="F83" s="2">
        <v>255</v>
      </c>
      <c r="G83" s="2">
        <v>283</v>
      </c>
      <c r="H83" s="2">
        <v>265</v>
      </c>
      <c r="I83" s="2"/>
      <c r="J83" s="2"/>
      <c r="K83" s="2"/>
    </row>
    <row r="84" spans="1:11" x14ac:dyDescent="0.3">
      <c r="A84" t="s">
        <v>92</v>
      </c>
      <c r="B84" t="s">
        <v>93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E1A0-4820-45C4-B834-C1FBEB988EE7}">
  <dimension ref="A1:T99"/>
  <sheetViews>
    <sheetView topLeftCell="K8" workbookViewId="0">
      <selection activeCell="AB20" sqref="AB20"/>
    </sheetView>
  </sheetViews>
  <sheetFormatPr defaultRowHeight="14.4" x14ac:dyDescent="0.3"/>
  <cols>
    <col min="1" max="1" width="48.44140625" bestFit="1" customWidth="1"/>
    <col min="2" max="4" width="10.77734375" hidden="1" customWidth="1"/>
    <col min="5" max="11" width="10.77734375" bestFit="1" customWidth="1"/>
    <col min="12" max="12" width="2.109375" customWidth="1"/>
    <col min="13" max="13" width="39.88671875" customWidth="1"/>
    <col min="14" max="14" width="9.21875" customWidth="1"/>
    <col min="15" max="15" width="9.88671875" customWidth="1"/>
    <col min="16" max="20" width="9.21875" customWidth="1"/>
    <col min="21" max="21" width="2.77734375" customWidth="1"/>
    <col min="22" max="22" width="2.33203125" customWidth="1"/>
  </cols>
  <sheetData>
    <row r="1" spans="1:20" x14ac:dyDescent="0.3">
      <c r="A1" t="s">
        <v>94</v>
      </c>
      <c r="B1" t="s">
        <v>95</v>
      </c>
      <c r="C1" t="s">
        <v>96</v>
      </c>
      <c r="D1" t="s">
        <v>97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6" t="s">
        <v>239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6" t="s">
        <v>8</v>
      </c>
      <c r="T1" s="7" t="s">
        <v>9</v>
      </c>
    </row>
    <row r="2" spans="1:20" x14ac:dyDescent="0.3">
      <c r="A2" s="3" t="s">
        <v>13</v>
      </c>
      <c r="M2" t="s">
        <v>237</v>
      </c>
      <c r="N2" s="11">
        <f>E10/'Income Statement'!B6*365</f>
        <v>37.505780903747954</v>
      </c>
      <c r="O2" s="11">
        <f>F10/'Income Statement'!C6*365</f>
        <v>41.682958230020979</v>
      </c>
      <c r="P2" s="11">
        <f>G10/'Income Statement'!D6*365</f>
        <v>61.046258632106706</v>
      </c>
      <c r="Q2" s="11">
        <f>H10/'Income Statement'!E6*365</f>
        <v>52.206826874503861</v>
      </c>
      <c r="R2" s="11">
        <f>I10/'Income Statement'!F6*365</f>
        <v>45.174746064603092</v>
      </c>
      <c r="S2" s="11">
        <f>J10/'Income Statement'!G6*365</f>
        <v>41.744190950111751</v>
      </c>
      <c r="T2" s="11">
        <f>K10/'Income Statement'!H6*365</f>
        <v>40.644422310756973</v>
      </c>
    </row>
    <row r="3" spans="1:20" x14ac:dyDescent="0.3">
      <c r="A3" s="1" t="s">
        <v>14</v>
      </c>
      <c r="B3" s="1" t="s">
        <v>98</v>
      </c>
      <c r="C3" s="1" t="s">
        <v>99</v>
      </c>
      <c r="D3" s="1" t="s">
        <v>100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M3" t="s">
        <v>238</v>
      </c>
      <c r="N3" s="11">
        <f>E42/'Income Statement'!B11*365</f>
        <v>16.386970264575041</v>
      </c>
      <c r="O3" s="11">
        <f>F42/'Income Statement'!C11*365</f>
        <v>14.801464376232047</v>
      </c>
      <c r="P3" s="11">
        <f>G42/'Income Statement'!D11*365</f>
        <v>21.110074626865671</v>
      </c>
      <c r="Q3" s="11">
        <f>H42/'Income Statement'!E11*365</f>
        <v>23.967981186685961</v>
      </c>
      <c r="R3" s="11">
        <f>I42/'Income Statement'!F11*365</f>
        <v>16.792476102374344</v>
      </c>
      <c r="S3" s="11">
        <f>J42/'Income Statement'!G11*365</f>
        <v>14.490827908978428</v>
      </c>
      <c r="T3" s="11">
        <f>K42/'Income Statement'!H11*365</f>
        <v>13.925446272313616</v>
      </c>
    </row>
    <row r="6" spans="1:20" x14ac:dyDescent="0.3">
      <c r="A6" t="s">
        <v>101</v>
      </c>
    </row>
    <row r="7" spans="1:20" x14ac:dyDescent="0.3">
      <c r="A7" t="s">
        <v>102</v>
      </c>
      <c r="B7" s="2">
        <v>96</v>
      </c>
      <c r="C7" s="2">
        <v>858</v>
      </c>
      <c r="D7" s="2">
        <v>383</v>
      </c>
      <c r="E7" s="2">
        <v>316</v>
      </c>
      <c r="F7" s="2">
        <v>225</v>
      </c>
      <c r="G7" s="2">
        <v>877</v>
      </c>
      <c r="H7" s="2">
        <v>1393</v>
      </c>
      <c r="I7" s="2">
        <v>507</v>
      </c>
      <c r="J7" s="2">
        <v>338</v>
      </c>
      <c r="K7" s="2">
        <v>396</v>
      </c>
      <c r="M7" s="9" t="s">
        <v>244</v>
      </c>
      <c r="N7" s="9" t="s">
        <v>3</v>
      </c>
      <c r="O7" s="9" t="s">
        <v>4</v>
      </c>
      <c r="P7" s="9" t="s">
        <v>5</v>
      </c>
      <c r="Q7" s="9" t="s">
        <v>6</v>
      </c>
      <c r="R7" s="9" t="s">
        <v>7</v>
      </c>
      <c r="S7" s="9" t="s">
        <v>8</v>
      </c>
      <c r="T7" s="10" t="s">
        <v>9</v>
      </c>
    </row>
    <row r="8" spans="1:20" x14ac:dyDescent="0.3">
      <c r="A8" t="s">
        <v>103</v>
      </c>
      <c r="B8" s="2">
        <v>96</v>
      </c>
      <c r="C8" s="2">
        <v>858</v>
      </c>
      <c r="D8" s="2">
        <v>383</v>
      </c>
      <c r="E8" s="2">
        <v>316</v>
      </c>
      <c r="F8" s="2">
        <v>225</v>
      </c>
      <c r="G8" s="2">
        <v>877</v>
      </c>
      <c r="H8" s="2">
        <v>1393</v>
      </c>
      <c r="I8" s="2">
        <v>507</v>
      </c>
      <c r="J8" s="2">
        <v>338</v>
      </c>
      <c r="K8" s="2">
        <v>396</v>
      </c>
      <c r="M8" t="s">
        <v>241</v>
      </c>
      <c r="N8" s="2">
        <f>E58/E83</f>
        <v>4.2008988764044943</v>
      </c>
      <c r="O8" s="2">
        <f t="shared" ref="O8:T8" si="0">F58/F83</f>
        <v>17.001422475106686</v>
      </c>
      <c r="P8" s="2">
        <f t="shared" si="0"/>
        <v>26.386046511627907</v>
      </c>
      <c r="Q8" s="2">
        <f t="shared" si="0"/>
        <v>8.0523338048090523</v>
      </c>
      <c r="R8" s="2">
        <f t="shared" si="0"/>
        <v>19.725352112676056</v>
      </c>
      <c r="S8" s="2">
        <f t="shared" si="0"/>
        <v>-18.863636363636363</v>
      </c>
      <c r="T8" s="2">
        <f t="shared" si="0"/>
        <v>-5.1286764705882355</v>
      </c>
    </row>
    <row r="9" spans="1:20" x14ac:dyDescent="0.3">
      <c r="A9" t="s">
        <v>104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M9" t="s">
        <v>242</v>
      </c>
      <c r="N9" s="2">
        <f>E58/E38</f>
        <v>0.39445476029709653</v>
      </c>
      <c r="O9" s="2">
        <f t="shared" ref="O9:T9" si="1">F58/F38</f>
        <v>0.47710670232725239</v>
      </c>
      <c r="P9" s="2">
        <f t="shared" si="1"/>
        <v>0.45933363021740009</v>
      </c>
      <c r="Q9" s="2">
        <f t="shared" si="1"/>
        <v>0.44558368880366295</v>
      </c>
      <c r="R9" s="2">
        <f t="shared" si="1"/>
        <v>0.45150110820068506</v>
      </c>
      <c r="S9" s="2">
        <f t="shared" si="1"/>
        <v>0.50109059749162577</v>
      </c>
      <c r="T9" s="2">
        <f t="shared" si="1"/>
        <v>0.58608967993277827</v>
      </c>
    </row>
    <row r="10" spans="1:20" x14ac:dyDescent="0.3">
      <c r="A10" t="s">
        <v>105</v>
      </c>
      <c r="B10" s="2">
        <v>1103</v>
      </c>
      <c r="C10" s="2">
        <v>1695</v>
      </c>
      <c r="D10" s="2">
        <v>1973</v>
      </c>
      <c r="E10" s="2">
        <v>2133</v>
      </c>
      <c r="F10" s="2">
        <v>2395</v>
      </c>
      <c r="G10" s="2">
        <v>1768</v>
      </c>
      <c r="H10" s="2">
        <v>1982</v>
      </c>
      <c r="I10" s="2">
        <v>2571</v>
      </c>
      <c r="J10" s="2">
        <v>2712</v>
      </c>
      <c r="K10" s="2">
        <v>2795</v>
      </c>
      <c r="M10" t="s">
        <v>243</v>
      </c>
      <c r="N10" s="2">
        <f>'Income Statement'!B75/'Income Statement'!B25</f>
        <v>7.3970588235294121</v>
      </c>
      <c r="O10" s="2">
        <f>'Income Statement'!C75/'Income Statement'!C25</f>
        <v>4.7486987309644668</v>
      </c>
      <c r="P10" s="2">
        <f>'Income Statement'!D75/'Income Statement'!D25</f>
        <v>0.97528089887640446</v>
      </c>
      <c r="Q10" s="2">
        <f>'Income Statement'!E75/'Income Statement'!E25</f>
        <v>4.2214285714285715</v>
      </c>
      <c r="R10" s="2">
        <f>'Income Statement'!F75/'Income Statement'!F25</f>
        <v>8.5856079404466499</v>
      </c>
      <c r="S10" s="2">
        <f>'Income Statement'!G75/'Income Statement'!G25</f>
        <v>6.9026548672566372</v>
      </c>
      <c r="T10" s="2">
        <f>'Income Statement'!H75/'Income Statement'!H25</f>
        <v>5.530935251798561</v>
      </c>
    </row>
    <row r="11" spans="1:20" x14ac:dyDescent="0.3">
      <c r="A11" t="s">
        <v>106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20" x14ac:dyDescent="0.3">
      <c r="A12" t="s">
        <v>107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20" x14ac:dyDescent="0.3">
      <c r="A13" t="s">
        <v>108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20" x14ac:dyDescent="0.3">
      <c r="A14" t="s">
        <v>109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20" x14ac:dyDescent="0.3">
      <c r="A15" t="s">
        <v>110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20" x14ac:dyDescent="0.3">
      <c r="A16" t="s">
        <v>111</v>
      </c>
      <c r="B16" s="2">
        <v>185</v>
      </c>
      <c r="C16" s="2">
        <v>818</v>
      </c>
      <c r="D16" s="2">
        <v>384</v>
      </c>
      <c r="E16" s="2">
        <v>257</v>
      </c>
      <c r="F16" s="2">
        <v>507</v>
      </c>
      <c r="G16" s="2">
        <v>180</v>
      </c>
      <c r="H16" s="2">
        <v>251</v>
      </c>
      <c r="I16" s="2">
        <v>235</v>
      </c>
      <c r="J16" s="2">
        <v>261</v>
      </c>
      <c r="K16" s="2">
        <v>294</v>
      </c>
    </row>
    <row r="17" spans="1:11" x14ac:dyDescent="0.3">
      <c r="A17" t="s">
        <v>112</v>
      </c>
      <c r="B17" s="2">
        <v>77</v>
      </c>
      <c r="C17" s="2">
        <v>230</v>
      </c>
      <c r="D17" s="2">
        <v>235</v>
      </c>
      <c r="E17" s="2">
        <v>249</v>
      </c>
      <c r="F17" s="2">
        <v>252</v>
      </c>
      <c r="G17" s="2">
        <v>172</v>
      </c>
      <c r="H17" s="2">
        <v>251</v>
      </c>
      <c r="I17" s="2">
        <v>235</v>
      </c>
      <c r="J17" s="2">
        <v>261</v>
      </c>
      <c r="K17" s="2">
        <v>294</v>
      </c>
    </row>
    <row r="18" spans="1:11" x14ac:dyDescent="0.3">
      <c r="A18" t="s">
        <v>113</v>
      </c>
      <c r="B18" s="2" t="s">
        <v>34</v>
      </c>
      <c r="C18" s="2" t="s">
        <v>34</v>
      </c>
      <c r="D18" s="2" t="s">
        <v>34</v>
      </c>
      <c r="E18" s="2" t="s">
        <v>34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3">
      <c r="A19" t="s">
        <v>114</v>
      </c>
      <c r="B19" s="2">
        <v>78</v>
      </c>
      <c r="C19" s="2">
        <v>588</v>
      </c>
      <c r="D19" s="2">
        <v>149</v>
      </c>
      <c r="E19" s="2">
        <v>8</v>
      </c>
      <c r="F19" s="2">
        <v>255</v>
      </c>
      <c r="G19" s="2">
        <v>8</v>
      </c>
      <c r="H19" s="2" t="s">
        <v>34</v>
      </c>
      <c r="I19" s="2" t="s">
        <v>34</v>
      </c>
      <c r="J19" s="2" t="s">
        <v>34</v>
      </c>
      <c r="K19" s="2" t="s">
        <v>34</v>
      </c>
    </row>
    <row r="20" spans="1:11" x14ac:dyDescent="0.3">
      <c r="A20" t="s">
        <v>115</v>
      </c>
      <c r="B20" s="2" t="s">
        <v>34</v>
      </c>
      <c r="C20" s="2" t="s">
        <v>34</v>
      </c>
      <c r="D20" s="2" t="s">
        <v>34</v>
      </c>
      <c r="E20" s="2" t="s">
        <v>34</v>
      </c>
      <c r="F20" s="2" t="s">
        <v>34</v>
      </c>
      <c r="G20" s="2" t="s">
        <v>34</v>
      </c>
      <c r="H20" s="2" t="s">
        <v>34</v>
      </c>
      <c r="I20" s="2" t="s">
        <v>34</v>
      </c>
      <c r="J20" s="2" t="s">
        <v>34</v>
      </c>
      <c r="K20" s="2" t="s">
        <v>34</v>
      </c>
    </row>
    <row r="21" spans="1:11" x14ac:dyDescent="0.3">
      <c r="A21" t="s">
        <v>116</v>
      </c>
      <c r="B21" s="2">
        <v>30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 x14ac:dyDescent="0.3">
      <c r="A22" t="s">
        <v>117</v>
      </c>
      <c r="B22" s="2">
        <v>1384</v>
      </c>
      <c r="C22" s="2">
        <v>3371</v>
      </c>
      <c r="D22" s="2">
        <v>2740</v>
      </c>
      <c r="E22" s="2">
        <v>2706</v>
      </c>
      <c r="F22" s="2">
        <v>3127</v>
      </c>
      <c r="G22" s="2">
        <v>2825</v>
      </c>
      <c r="H22" s="2">
        <v>3626</v>
      </c>
      <c r="I22" s="2">
        <v>3313</v>
      </c>
      <c r="J22" s="2">
        <v>3311</v>
      </c>
      <c r="K22" s="2">
        <v>3485</v>
      </c>
    </row>
    <row r="23" spans="1:11" x14ac:dyDescent="0.3">
      <c r="A23" t="s">
        <v>118</v>
      </c>
      <c r="B23" s="2">
        <v>1029</v>
      </c>
      <c r="C23" s="2">
        <v>2335</v>
      </c>
      <c r="D23" s="2">
        <v>1793</v>
      </c>
      <c r="E23" s="2">
        <v>1956</v>
      </c>
      <c r="F23" s="2">
        <v>2792</v>
      </c>
      <c r="G23" s="2">
        <v>2266</v>
      </c>
      <c r="H23" s="2">
        <v>2565</v>
      </c>
      <c r="I23" s="2">
        <v>2572</v>
      </c>
      <c r="J23" s="2">
        <v>2510</v>
      </c>
      <c r="K23" s="2">
        <v>2678</v>
      </c>
    </row>
    <row r="24" spans="1:11" x14ac:dyDescent="0.3">
      <c r="A24" t="s">
        <v>119</v>
      </c>
      <c r="B24" s="2">
        <v>1926</v>
      </c>
      <c r="C24" s="2">
        <v>3320</v>
      </c>
      <c r="D24" s="2">
        <v>2890</v>
      </c>
      <c r="E24" s="2">
        <v>3473</v>
      </c>
      <c r="F24" s="2">
        <v>4093</v>
      </c>
      <c r="G24" s="2">
        <v>3154</v>
      </c>
      <c r="H24" s="2">
        <v>3415</v>
      </c>
      <c r="I24" s="2">
        <v>3446</v>
      </c>
      <c r="J24" s="2">
        <v>3400</v>
      </c>
      <c r="K24" s="2">
        <v>3559</v>
      </c>
    </row>
    <row r="25" spans="1:11" x14ac:dyDescent="0.3">
      <c r="A25" t="s">
        <v>120</v>
      </c>
      <c r="B25" s="2">
        <v>897</v>
      </c>
      <c r="C25" s="2">
        <v>985</v>
      </c>
      <c r="D25" s="2">
        <v>1097</v>
      </c>
      <c r="E25" s="2">
        <v>1517</v>
      </c>
      <c r="F25" s="2">
        <v>1301</v>
      </c>
      <c r="G25" s="2">
        <v>888</v>
      </c>
      <c r="H25" s="2">
        <v>850</v>
      </c>
      <c r="I25" s="2">
        <v>874</v>
      </c>
      <c r="J25" s="2">
        <v>890</v>
      </c>
      <c r="K25" s="2">
        <v>881</v>
      </c>
    </row>
    <row r="26" spans="1:11" x14ac:dyDescent="0.3">
      <c r="A26" t="s">
        <v>121</v>
      </c>
      <c r="B26" s="2">
        <v>215</v>
      </c>
      <c r="C26" s="2">
        <v>245</v>
      </c>
      <c r="D26" s="2">
        <v>142</v>
      </c>
      <c r="E26" s="2">
        <v>125</v>
      </c>
      <c r="F26" s="2">
        <v>117</v>
      </c>
      <c r="G26" s="2">
        <v>159</v>
      </c>
      <c r="H26" s="2">
        <v>144</v>
      </c>
      <c r="I26" s="2">
        <v>152</v>
      </c>
      <c r="J26" s="2">
        <v>138</v>
      </c>
      <c r="K26" s="2">
        <v>136</v>
      </c>
    </row>
    <row r="27" spans="1:11" x14ac:dyDescent="0.3">
      <c r="A27" t="s">
        <v>122</v>
      </c>
      <c r="B27" s="2">
        <v>215</v>
      </c>
      <c r="C27" s="2">
        <v>245</v>
      </c>
      <c r="D27" s="2">
        <v>142</v>
      </c>
      <c r="E27" s="2">
        <v>125</v>
      </c>
      <c r="F27" s="2">
        <v>117</v>
      </c>
      <c r="G27" s="2">
        <v>159</v>
      </c>
      <c r="H27" s="2">
        <v>144</v>
      </c>
      <c r="I27" s="2">
        <v>152</v>
      </c>
      <c r="J27" s="2">
        <v>138</v>
      </c>
      <c r="K27" s="2">
        <v>136</v>
      </c>
    </row>
    <row r="28" spans="1:11" x14ac:dyDescent="0.3">
      <c r="A28" t="s">
        <v>123</v>
      </c>
      <c r="B28" s="2">
        <v>3454</v>
      </c>
      <c r="C28" s="2">
        <v>18189</v>
      </c>
      <c r="D28" s="2">
        <v>19171</v>
      </c>
      <c r="E28" s="2">
        <v>18909</v>
      </c>
      <c r="F28" s="2">
        <v>19015</v>
      </c>
      <c r="G28" s="2">
        <v>19451</v>
      </c>
      <c r="H28" s="2">
        <v>19218</v>
      </c>
      <c r="I28" s="2">
        <v>18778</v>
      </c>
      <c r="J28" s="2">
        <v>19715</v>
      </c>
      <c r="K28" s="2">
        <v>19883</v>
      </c>
    </row>
    <row r="29" spans="1:11" x14ac:dyDescent="0.3">
      <c r="A29" t="s">
        <v>124</v>
      </c>
      <c r="B29" s="2">
        <v>2394</v>
      </c>
      <c r="C29" s="2">
        <v>16868</v>
      </c>
      <c r="D29" s="2">
        <v>17751</v>
      </c>
      <c r="E29" s="2">
        <v>17419</v>
      </c>
      <c r="F29" s="2">
        <v>17689</v>
      </c>
      <c r="G29" s="2">
        <v>18164</v>
      </c>
      <c r="H29" s="2">
        <v>17999</v>
      </c>
      <c r="I29" s="2">
        <v>17619</v>
      </c>
      <c r="J29" s="2">
        <v>18076</v>
      </c>
      <c r="K29" s="2">
        <v>18219</v>
      </c>
    </row>
    <row r="30" spans="1:11" x14ac:dyDescent="0.3">
      <c r="A30" t="s">
        <v>125</v>
      </c>
      <c r="B30" s="2">
        <v>943</v>
      </c>
      <c r="C30" s="2">
        <v>7598</v>
      </c>
      <c r="D30" s="2">
        <v>9207</v>
      </c>
      <c r="E30" s="2">
        <v>9039</v>
      </c>
      <c r="F30" s="2">
        <v>9048</v>
      </c>
      <c r="G30" s="2">
        <v>9175</v>
      </c>
      <c r="H30" s="2">
        <v>9073</v>
      </c>
      <c r="I30" s="2">
        <v>8872</v>
      </c>
      <c r="J30" s="2">
        <v>8886</v>
      </c>
      <c r="K30" s="2">
        <v>8731</v>
      </c>
    </row>
    <row r="31" spans="1:11" x14ac:dyDescent="0.3">
      <c r="A31" t="s">
        <v>126</v>
      </c>
      <c r="B31" s="2">
        <v>1451</v>
      </c>
      <c r="C31" s="2">
        <v>9270</v>
      </c>
      <c r="D31" s="2">
        <v>8544</v>
      </c>
      <c r="E31" s="2">
        <v>8380</v>
      </c>
      <c r="F31" s="2">
        <v>8641</v>
      </c>
      <c r="G31" s="2">
        <v>8989</v>
      </c>
      <c r="H31" s="2">
        <v>8926</v>
      </c>
      <c r="I31" s="2">
        <v>8747</v>
      </c>
      <c r="J31" s="2">
        <v>9190</v>
      </c>
      <c r="K31" s="2">
        <v>9488</v>
      </c>
    </row>
    <row r="32" spans="1:11" x14ac:dyDescent="0.3">
      <c r="A32" t="s">
        <v>115</v>
      </c>
      <c r="B32" s="2">
        <v>672</v>
      </c>
      <c r="C32" s="2">
        <v>116</v>
      </c>
      <c r="D32" s="2">
        <v>93</v>
      </c>
      <c r="E32" s="2">
        <v>171</v>
      </c>
      <c r="F32" s="2">
        <v>154</v>
      </c>
      <c r="G32" s="2">
        <v>249</v>
      </c>
      <c r="H32" s="2">
        <v>228</v>
      </c>
      <c r="I32" s="2">
        <v>240</v>
      </c>
      <c r="J32" s="2">
        <v>673</v>
      </c>
      <c r="K32" s="2">
        <v>650</v>
      </c>
    </row>
    <row r="33" spans="1:11" x14ac:dyDescent="0.3">
      <c r="A33" t="s">
        <v>113</v>
      </c>
      <c r="B33" s="2" t="s">
        <v>34</v>
      </c>
      <c r="C33" s="2" t="s">
        <v>34</v>
      </c>
      <c r="D33" s="2" t="s">
        <v>34</v>
      </c>
      <c r="E33" s="2" t="s">
        <v>34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</row>
    <row r="34" spans="1:11" x14ac:dyDescent="0.3">
      <c r="A34" t="s">
        <v>127</v>
      </c>
      <c r="B34" s="2" t="s">
        <v>34</v>
      </c>
      <c r="C34" s="2">
        <v>40</v>
      </c>
      <c r="D34" s="2">
        <v>56</v>
      </c>
      <c r="E34" s="2">
        <v>21</v>
      </c>
      <c r="F34" s="2" t="s">
        <v>34</v>
      </c>
      <c r="G34" s="2" t="s">
        <v>34</v>
      </c>
      <c r="H34" s="2" t="s">
        <v>34</v>
      </c>
      <c r="I34" s="2" t="s">
        <v>34</v>
      </c>
      <c r="J34" s="2" t="s">
        <v>34</v>
      </c>
      <c r="K34" s="2" t="s">
        <v>34</v>
      </c>
    </row>
    <row r="35" spans="1:11" x14ac:dyDescent="0.3">
      <c r="A35" t="s">
        <v>128</v>
      </c>
      <c r="B35" s="2">
        <v>165</v>
      </c>
      <c r="C35" s="2">
        <v>728</v>
      </c>
      <c r="D35" s="2">
        <v>734</v>
      </c>
      <c r="E35" s="2">
        <v>732</v>
      </c>
      <c r="F35" s="2">
        <v>577</v>
      </c>
      <c r="G35" s="2">
        <v>422</v>
      </c>
      <c r="H35" s="2">
        <v>387</v>
      </c>
      <c r="I35" s="2">
        <v>335</v>
      </c>
      <c r="J35" s="2">
        <v>308</v>
      </c>
      <c r="K35" s="2">
        <v>298</v>
      </c>
    </row>
    <row r="36" spans="1:11" x14ac:dyDescent="0.3">
      <c r="A36" t="s">
        <v>129</v>
      </c>
      <c r="B36" s="2">
        <v>223</v>
      </c>
      <c r="C36" s="2">
        <v>437</v>
      </c>
      <c r="D36" s="2">
        <v>537</v>
      </c>
      <c r="E36" s="2">
        <v>566</v>
      </c>
      <c r="F36" s="2">
        <v>595</v>
      </c>
      <c r="G36" s="2">
        <v>616</v>
      </c>
      <c r="H36" s="2">
        <v>604</v>
      </c>
      <c r="I36" s="2">
        <v>584</v>
      </c>
      <c r="J36" s="2">
        <v>658</v>
      </c>
      <c r="K36" s="2">
        <v>716</v>
      </c>
    </row>
    <row r="37" spans="1:11" x14ac:dyDescent="0.3">
      <c r="A37" t="s">
        <v>130</v>
      </c>
      <c r="B37" s="2">
        <v>4698</v>
      </c>
      <c r="C37" s="2">
        <v>20769</v>
      </c>
      <c r="D37" s="2">
        <v>21106</v>
      </c>
      <c r="E37" s="2">
        <v>20990</v>
      </c>
      <c r="F37" s="2">
        <v>21924</v>
      </c>
      <c r="G37" s="2">
        <v>21876</v>
      </c>
      <c r="H37" s="2">
        <v>21927</v>
      </c>
      <c r="I37" s="2">
        <v>21502</v>
      </c>
      <c r="J37" s="2">
        <v>22363</v>
      </c>
      <c r="K37" s="2">
        <v>22697</v>
      </c>
    </row>
    <row r="38" spans="1:11" x14ac:dyDescent="0.3">
      <c r="A38" t="s">
        <v>101</v>
      </c>
      <c r="B38" s="2">
        <v>6082</v>
      </c>
      <c r="C38" s="2">
        <v>24140</v>
      </c>
      <c r="D38" s="2">
        <v>23846</v>
      </c>
      <c r="E38" s="2">
        <v>23696</v>
      </c>
      <c r="F38" s="2">
        <v>25051</v>
      </c>
      <c r="G38" s="2">
        <v>24701</v>
      </c>
      <c r="H38" s="2">
        <v>25553</v>
      </c>
      <c r="I38" s="2">
        <v>24815</v>
      </c>
      <c r="J38" s="2">
        <v>25674</v>
      </c>
      <c r="K38" s="2">
        <v>26182</v>
      </c>
    </row>
    <row r="39" spans="1:1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t="s">
        <v>131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t="s">
        <v>132</v>
      </c>
      <c r="B41" s="2">
        <v>1981</v>
      </c>
      <c r="C41" s="2">
        <v>2972</v>
      </c>
      <c r="D41" s="2">
        <v>3288</v>
      </c>
      <c r="E41" s="2">
        <v>3075</v>
      </c>
      <c r="F41" s="2">
        <v>3312</v>
      </c>
      <c r="G41" s="2">
        <v>2663</v>
      </c>
      <c r="H41" s="2">
        <v>2930</v>
      </c>
      <c r="I41" s="2">
        <v>3235</v>
      </c>
      <c r="J41" s="2">
        <v>3776</v>
      </c>
      <c r="K41" s="2">
        <v>3749</v>
      </c>
    </row>
    <row r="42" spans="1:11" x14ac:dyDescent="0.3">
      <c r="A42" t="s">
        <v>133</v>
      </c>
      <c r="B42" s="2">
        <v>593</v>
      </c>
      <c r="C42" s="2">
        <v>687</v>
      </c>
      <c r="D42" s="2">
        <v>783</v>
      </c>
      <c r="E42" s="2">
        <v>767</v>
      </c>
      <c r="F42" s="2">
        <v>720</v>
      </c>
      <c r="G42" s="2">
        <v>527</v>
      </c>
      <c r="H42" s="2">
        <v>726</v>
      </c>
      <c r="I42" s="2">
        <v>746</v>
      </c>
      <c r="J42" s="2">
        <v>738</v>
      </c>
      <c r="K42" s="2">
        <v>763</v>
      </c>
    </row>
    <row r="43" spans="1:11" x14ac:dyDescent="0.3">
      <c r="A43" t="s">
        <v>134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</row>
    <row r="44" spans="1:11" x14ac:dyDescent="0.3">
      <c r="A44" t="s">
        <v>135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</row>
    <row r="45" spans="1:11" x14ac:dyDescent="0.3">
      <c r="A45" t="s">
        <v>136</v>
      </c>
      <c r="B45" s="2">
        <v>1388</v>
      </c>
      <c r="C45" s="2">
        <v>2285</v>
      </c>
      <c r="D45" s="2">
        <v>2505</v>
      </c>
      <c r="E45" s="2">
        <v>2308</v>
      </c>
      <c r="F45" s="2">
        <v>2592</v>
      </c>
      <c r="G45" s="2">
        <v>2136</v>
      </c>
      <c r="H45" s="2">
        <v>2204</v>
      </c>
      <c r="I45" s="2">
        <v>2489</v>
      </c>
      <c r="J45" s="2">
        <v>3038</v>
      </c>
      <c r="K45" s="2">
        <v>2986</v>
      </c>
    </row>
    <row r="46" spans="1:11" x14ac:dyDescent="0.3">
      <c r="A46" t="s">
        <v>137</v>
      </c>
      <c r="B46" s="2">
        <v>300</v>
      </c>
      <c r="C46" s="2">
        <v>309</v>
      </c>
      <c r="D46" s="2">
        <v>398</v>
      </c>
      <c r="E46" s="2">
        <v>833</v>
      </c>
      <c r="F46" s="2">
        <v>1107</v>
      </c>
      <c r="G46" s="2">
        <v>1320</v>
      </c>
      <c r="H46" s="2">
        <v>955</v>
      </c>
      <c r="I46" s="2">
        <v>790</v>
      </c>
      <c r="J46" s="2">
        <v>658</v>
      </c>
      <c r="K46" s="2">
        <v>1413</v>
      </c>
    </row>
    <row r="47" spans="1:11" x14ac:dyDescent="0.3">
      <c r="A47" t="s">
        <v>138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</row>
    <row r="48" spans="1:11" x14ac:dyDescent="0.3">
      <c r="A48" t="s">
        <v>139</v>
      </c>
      <c r="B48" s="2" t="s">
        <v>34</v>
      </c>
      <c r="C48" s="2" t="s">
        <v>34</v>
      </c>
      <c r="D48" s="2" t="s">
        <v>34</v>
      </c>
      <c r="E48" s="2" t="s">
        <v>34</v>
      </c>
      <c r="F48" s="2">
        <v>136</v>
      </c>
      <c r="G48" s="2">
        <v>154</v>
      </c>
      <c r="H48" s="2">
        <v>157</v>
      </c>
      <c r="I48" s="2">
        <v>114</v>
      </c>
      <c r="J48" s="2">
        <v>113</v>
      </c>
      <c r="K48" s="2">
        <v>113</v>
      </c>
    </row>
    <row r="49" spans="1:11" x14ac:dyDescent="0.3">
      <c r="A49" t="s">
        <v>140</v>
      </c>
      <c r="B49" s="2" t="s">
        <v>34</v>
      </c>
      <c r="C49" s="2" t="s">
        <v>34</v>
      </c>
      <c r="D49" s="2" t="s">
        <v>34</v>
      </c>
      <c r="E49" s="2" t="s">
        <v>34</v>
      </c>
      <c r="F49" s="2">
        <v>6</v>
      </c>
      <c r="G49" s="2">
        <v>7</v>
      </c>
      <c r="H49" s="2">
        <v>7</v>
      </c>
      <c r="I49" s="2">
        <v>8</v>
      </c>
      <c r="J49" s="2">
        <v>8</v>
      </c>
      <c r="K49" s="2">
        <v>9</v>
      </c>
    </row>
    <row r="50" spans="1:11" x14ac:dyDescent="0.3">
      <c r="A50" t="s">
        <v>141</v>
      </c>
      <c r="B50" s="2" t="s">
        <v>34</v>
      </c>
      <c r="C50" s="2" t="s">
        <v>34</v>
      </c>
      <c r="D50" s="2" t="s">
        <v>34</v>
      </c>
      <c r="E50" s="2" t="s">
        <v>34</v>
      </c>
      <c r="F50" s="2">
        <v>130</v>
      </c>
      <c r="G50" s="2">
        <v>147</v>
      </c>
      <c r="H50" s="2">
        <v>150</v>
      </c>
      <c r="I50" s="2">
        <v>106</v>
      </c>
      <c r="J50" s="2">
        <v>105</v>
      </c>
      <c r="K50" s="2">
        <v>104</v>
      </c>
    </row>
    <row r="51" spans="1:11" x14ac:dyDescent="0.3">
      <c r="A51" t="s">
        <v>142</v>
      </c>
      <c r="B51" s="2">
        <v>300</v>
      </c>
      <c r="C51" s="2">
        <v>309</v>
      </c>
      <c r="D51" s="2">
        <v>398</v>
      </c>
      <c r="E51" s="2">
        <v>833</v>
      </c>
      <c r="F51" s="2">
        <v>971</v>
      </c>
      <c r="G51" s="2">
        <v>1166</v>
      </c>
      <c r="H51" s="2">
        <v>798</v>
      </c>
      <c r="I51" s="2">
        <v>676</v>
      </c>
      <c r="J51" s="2">
        <v>545</v>
      </c>
      <c r="K51" s="2">
        <v>1300</v>
      </c>
    </row>
    <row r="52" spans="1:11" x14ac:dyDescent="0.3">
      <c r="A52" t="s">
        <v>143</v>
      </c>
      <c r="B52" s="2">
        <v>952</v>
      </c>
      <c r="C52" s="2">
        <v>1866</v>
      </c>
      <c r="D52" s="2">
        <v>2121</v>
      </c>
      <c r="E52" s="2">
        <v>2529</v>
      </c>
      <c r="F52" s="2">
        <v>2258</v>
      </c>
      <c r="G52" s="2">
        <v>1769</v>
      </c>
      <c r="H52" s="2">
        <v>2522</v>
      </c>
      <c r="I52" s="2">
        <v>3314</v>
      </c>
      <c r="J52" s="2">
        <v>3328</v>
      </c>
      <c r="K52" s="2">
        <v>3487</v>
      </c>
    </row>
    <row r="53" spans="1:11" x14ac:dyDescent="0.3">
      <c r="A53" t="s">
        <v>144</v>
      </c>
      <c r="B53" s="2">
        <v>0</v>
      </c>
      <c r="C53" s="2">
        <v>0</v>
      </c>
      <c r="D53" s="2">
        <v>2121</v>
      </c>
      <c r="E53" s="2">
        <v>2529</v>
      </c>
      <c r="F53" s="2">
        <v>2258</v>
      </c>
      <c r="G53" s="2">
        <v>1769</v>
      </c>
      <c r="H53" s="2">
        <v>2522</v>
      </c>
      <c r="I53" s="2">
        <v>3314</v>
      </c>
      <c r="J53" s="2">
        <v>3328</v>
      </c>
      <c r="K53" s="2">
        <v>3487</v>
      </c>
    </row>
    <row r="54" spans="1:11" x14ac:dyDescent="0.3">
      <c r="A54" t="s">
        <v>145</v>
      </c>
      <c r="B54" s="2" t="s">
        <v>34</v>
      </c>
      <c r="C54" s="2" t="s">
        <v>34</v>
      </c>
      <c r="D54" s="2" t="s">
        <v>34</v>
      </c>
      <c r="E54" s="2" t="s">
        <v>34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</row>
    <row r="55" spans="1:11" x14ac:dyDescent="0.3">
      <c r="A55" t="s">
        <v>146</v>
      </c>
      <c r="B55" s="2">
        <v>952</v>
      </c>
      <c r="C55" s="2">
        <v>1866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</row>
    <row r="56" spans="1:11" x14ac:dyDescent="0.3">
      <c r="A56" t="s">
        <v>147</v>
      </c>
      <c r="B56" s="2">
        <v>3233</v>
      </c>
      <c r="C56" s="2">
        <v>5147</v>
      </c>
      <c r="D56" s="2">
        <v>5807</v>
      </c>
      <c r="E56" s="2">
        <v>6437</v>
      </c>
      <c r="F56" s="2">
        <v>6677</v>
      </c>
      <c r="G56" s="2">
        <v>5752</v>
      </c>
      <c r="H56" s="2">
        <v>6407</v>
      </c>
      <c r="I56" s="2">
        <v>7339</v>
      </c>
      <c r="J56" s="2">
        <v>7762</v>
      </c>
      <c r="K56" s="2">
        <v>8649</v>
      </c>
    </row>
    <row r="57" spans="1:11" x14ac:dyDescent="0.3">
      <c r="A57" t="s">
        <v>148</v>
      </c>
      <c r="B57" s="2">
        <v>3807</v>
      </c>
      <c r="C57" s="2">
        <v>8197</v>
      </c>
      <c r="D57" s="2">
        <v>7840</v>
      </c>
      <c r="E57" s="2">
        <v>8514</v>
      </c>
      <c r="F57" s="2">
        <v>10845</v>
      </c>
      <c r="G57" s="2">
        <v>10026</v>
      </c>
      <c r="H57" s="2">
        <v>10431</v>
      </c>
      <c r="I57" s="2">
        <v>10414</v>
      </c>
      <c r="J57" s="2">
        <v>12207</v>
      </c>
      <c r="K57" s="2">
        <v>13932</v>
      </c>
    </row>
    <row r="58" spans="1:11" x14ac:dyDescent="0.3">
      <c r="A58" s="5" t="s">
        <v>240</v>
      </c>
      <c r="B58" s="8"/>
      <c r="C58" s="8"/>
      <c r="D58" s="8"/>
      <c r="E58" s="8">
        <f>E57+E46</f>
        <v>9347</v>
      </c>
      <c r="F58" s="8">
        <f t="shared" ref="F58:K58" si="2">F57+F46</f>
        <v>11952</v>
      </c>
      <c r="G58" s="8">
        <f t="shared" si="2"/>
        <v>11346</v>
      </c>
      <c r="H58" s="8">
        <f t="shared" si="2"/>
        <v>11386</v>
      </c>
      <c r="I58" s="8">
        <f t="shared" si="2"/>
        <v>11204</v>
      </c>
      <c r="J58" s="8">
        <f t="shared" si="2"/>
        <v>12865</v>
      </c>
      <c r="K58" s="8">
        <f t="shared" si="2"/>
        <v>15345</v>
      </c>
    </row>
    <row r="59" spans="1:11" x14ac:dyDescent="0.3">
      <c r="A59" t="s">
        <v>149</v>
      </c>
      <c r="B59" s="2">
        <v>3807</v>
      </c>
      <c r="C59" s="2">
        <v>8024</v>
      </c>
      <c r="D59" s="2">
        <v>7669</v>
      </c>
      <c r="E59" s="2">
        <v>8351</v>
      </c>
      <c r="F59" s="2">
        <v>9812</v>
      </c>
      <c r="G59" s="2">
        <v>9057</v>
      </c>
      <c r="H59" s="2">
        <v>9194</v>
      </c>
      <c r="I59" s="2">
        <v>9249</v>
      </c>
      <c r="J59" s="2">
        <v>11197</v>
      </c>
      <c r="K59" s="2">
        <v>13023</v>
      </c>
    </row>
    <row r="60" spans="1:11" x14ac:dyDescent="0.3">
      <c r="A60" t="s">
        <v>150</v>
      </c>
      <c r="B60" s="2" t="s">
        <v>34</v>
      </c>
      <c r="C60" s="2">
        <v>173</v>
      </c>
      <c r="D60" s="2">
        <v>171</v>
      </c>
      <c r="E60" s="2">
        <v>163</v>
      </c>
      <c r="F60" s="2">
        <v>1033</v>
      </c>
      <c r="G60" s="2">
        <v>969</v>
      </c>
      <c r="H60" s="2">
        <v>1237</v>
      </c>
      <c r="I60" s="2">
        <v>1165</v>
      </c>
      <c r="J60" s="2">
        <v>1010</v>
      </c>
      <c r="K60" s="2">
        <v>909</v>
      </c>
    </row>
    <row r="61" spans="1:11" x14ac:dyDescent="0.3">
      <c r="A61" t="s">
        <v>151</v>
      </c>
      <c r="B61" s="2" t="s">
        <v>34</v>
      </c>
      <c r="C61" s="2">
        <v>173</v>
      </c>
      <c r="D61" s="2">
        <v>171</v>
      </c>
      <c r="E61" s="2">
        <v>163</v>
      </c>
      <c r="F61" s="2">
        <v>151</v>
      </c>
      <c r="G61" s="2">
        <v>146</v>
      </c>
      <c r="H61" s="2">
        <v>139</v>
      </c>
      <c r="I61" s="2">
        <v>131</v>
      </c>
      <c r="J61" s="2">
        <v>123</v>
      </c>
      <c r="K61" s="2">
        <v>115</v>
      </c>
    </row>
    <row r="62" spans="1:11" x14ac:dyDescent="0.3">
      <c r="A62" t="s">
        <v>152</v>
      </c>
      <c r="B62" s="2" t="s">
        <v>34</v>
      </c>
      <c r="C62" s="2" t="s">
        <v>34</v>
      </c>
      <c r="D62" s="2" t="s">
        <v>34</v>
      </c>
      <c r="E62" s="2" t="s">
        <v>34</v>
      </c>
      <c r="F62" s="2">
        <v>882</v>
      </c>
      <c r="G62" s="2">
        <v>823</v>
      </c>
      <c r="H62" s="2">
        <v>1098</v>
      </c>
      <c r="I62" s="2">
        <v>1034</v>
      </c>
      <c r="J62" s="2">
        <v>887</v>
      </c>
      <c r="K62" s="2">
        <v>794</v>
      </c>
    </row>
    <row r="63" spans="1:11" x14ac:dyDescent="0.3">
      <c r="A63" t="s">
        <v>153</v>
      </c>
      <c r="B63" s="2">
        <v>2632</v>
      </c>
      <c r="C63" s="2">
        <v>5439</v>
      </c>
      <c r="D63" s="2">
        <v>6617</v>
      </c>
      <c r="E63" s="2">
        <v>6520</v>
      </c>
      <c r="F63" s="2">
        <v>6826</v>
      </c>
      <c r="G63" s="2">
        <v>8493</v>
      </c>
      <c r="H63" s="2">
        <v>7301</v>
      </c>
      <c r="I63" s="2">
        <v>6494</v>
      </c>
      <c r="J63" s="2">
        <v>6387</v>
      </c>
      <c r="K63" s="2">
        <v>6593</v>
      </c>
    </row>
    <row r="64" spans="1:11" x14ac:dyDescent="0.3">
      <c r="A64" t="s">
        <v>154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x14ac:dyDescent="0.3">
      <c r="A65" t="s">
        <v>155</v>
      </c>
      <c r="B65" s="2">
        <v>0</v>
      </c>
      <c r="C65" s="2">
        <v>40</v>
      </c>
      <c r="D65" s="2">
        <v>40</v>
      </c>
      <c r="E65" s="2">
        <v>35</v>
      </c>
      <c r="F65" s="2" t="s">
        <v>34</v>
      </c>
      <c r="G65" s="2" t="s">
        <v>34</v>
      </c>
      <c r="H65" s="2" t="s">
        <v>34</v>
      </c>
      <c r="I65" s="2" t="s">
        <v>34</v>
      </c>
      <c r="J65" s="2" t="s">
        <v>34</v>
      </c>
      <c r="K65" s="2" t="s">
        <v>34</v>
      </c>
    </row>
    <row r="66" spans="1:11" x14ac:dyDescent="0.3">
      <c r="A66" t="s">
        <v>156</v>
      </c>
      <c r="B66" s="2">
        <v>0</v>
      </c>
      <c r="C66" s="2" t="s">
        <v>34</v>
      </c>
      <c r="D66" s="2" t="s">
        <v>34</v>
      </c>
      <c r="E66" s="2" t="s">
        <v>34</v>
      </c>
      <c r="F66" s="2" t="s">
        <v>34</v>
      </c>
      <c r="G66" s="2" t="s">
        <v>34</v>
      </c>
      <c r="H66" s="2" t="s">
        <v>34</v>
      </c>
      <c r="I66" s="2" t="s">
        <v>34</v>
      </c>
      <c r="J66" s="2" t="s">
        <v>34</v>
      </c>
      <c r="K66" s="2" t="s">
        <v>34</v>
      </c>
    </row>
    <row r="67" spans="1:11" x14ac:dyDescent="0.3">
      <c r="A67" t="s">
        <v>157</v>
      </c>
      <c r="B67" s="2">
        <v>0</v>
      </c>
      <c r="C67" s="2" t="s">
        <v>34</v>
      </c>
      <c r="D67" s="2" t="s">
        <v>34</v>
      </c>
      <c r="E67" s="2" t="s">
        <v>34</v>
      </c>
      <c r="F67" s="2" t="s">
        <v>34</v>
      </c>
      <c r="G67" s="2" t="s">
        <v>34</v>
      </c>
      <c r="H67" s="2" t="s">
        <v>34</v>
      </c>
      <c r="I67" s="2" t="s">
        <v>34</v>
      </c>
      <c r="J67" s="2" t="s">
        <v>34</v>
      </c>
      <c r="K67" s="2" t="s">
        <v>34</v>
      </c>
    </row>
    <row r="68" spans="1:11" x14ac:dyDescent="0.3">
      <c r="A68" t="s">
        <v>144</v>
      </c>
      <c r="B68" s="2">
        <v>0</v>
      </c>
      <c r="C68" s="2">
        <v>0</v>
      </c>
      <c r="D68" s="2">
        <v>583</v>
      </c>
      <c r="E68" s="2">
        <v>3663</v>
      </c>
      <c r="F68" s="2">
        <v>4300</v>
      </c>
      <c r="G68" s="2">
        <v>6044</v>
      </c>
      <c r="H68" s="2">
        <v>1181</v>
      </c>
      <c r="I68" s="2">
        <v>1059</v>
      </c>
      <c r="J68" s="2">
        <v>1018</v>
      </c>
      <c r="K68" s="2">
        <v>1103</v>
      </c>
    </row>
    <row r="69" spans="1:11" x14ac:dyDescent="0.3">
      <c r="A69" t="s">
        <v>158</v>
      </c>
      <c r="B69" s="2">
        <v>16</v>
      </c>
      <c r="C69" s="2">
        <v>1020</v>
      </c>
      <c r="D69" s="2">
        <v>605</v>
      </c>
      <c r="E69" s="2">
        <v>485</v>
      </c>
      <c r="F69" s="2">
        <v>290</v>
      </c>
      <c r="G69" s="2">
        <v>83</v>
      </c>
      <c r="H69" s="2">
        <v>169</v>
      </c>
      <c r="I69" s="2">
        <v>313</v>
      </c>
      <c r="J69" s="2">
        <v>209</v>
      </c>
      <c r="K69" s="2">
        <v>81</v>
      </c>
    </row>
    <row r="70" spans="1:11" x14ac:dyDescent="0.3">
      <c r="A70" t="s">
        <v>145</v>
      </c>
      <c r="B70" s="2" t="s">
        <v>34</v>
      </c>
      <c r="C70" s="2" t="s">
        <v>34</v>
      </c>
      <c r="D70" s="2" t="s">
        <v>34</v>
      </c>
      <c r="E70" s="2" t="s">
        <v>34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</row>
    <row r="71" spans="1:11" x14ac:dyDescent="0.3">
      <c r="A71" t="s">
        <v>159</v>
      </c>
      <c r="B71" s="2">
        <v>2616</v>
      </c>
      <c r="C71" s="2">
        <v>4379</v>
      </c>
      <c r="D71" s="2">
        <v>5389</v>
      </c>
      <c r="E71" s="2">
        <v>2337</v>
      </c>
      <c r="F71" s="2">
        <v>2236</v>
      </c>
      <c r="G71" s="2">
        <v>2366</v>
      </c>
      <c r="H71" s="2">
        <v>5951</v>
      </c>
      <c r="I71" s="2">
        <v>5122</v>
      </c>
      <c r="J71" s="2">
        <v>5160</v>
      </c>
      <c r="K71" s="2">
        <v>5409</v>
      </c>
    </row>
    <row r="72" spans="1:11" x14ac:dyDescent="0.3">
      <c r="A72" t="s">
        <v>160</v>
      </c>
      <c r="B72" s="2">
        <v>6439</v>
      </c>
      <c r="C72" s="2">
        <v>13636</v>
      </c>
      <c r="D72" s="2">
        <v>14457</v>
      </c>
      <c r="E72" s="2">
        <v>15034</v>
      </c>
      <c r="F72" s="2">
        <v>17671</v>
      </c>
      <c r="G72" s="2">
        <v>18519</v>
      </c>
      <c r="H72" s="2">
        <v>17732</v>
      </c>
      <c r="I72" s="2">
        <v>16908</v>
      </c>
      <c r="J72" s="2">
        <v>18594</v>
      </c>
      <c r="K72" s="2">
        <v>20525</v>
      </c>
    </row>
    <row r="73" spans="1:11" x14ac:dyDescent="0.3">
      <c r="A73" t="s">
        <v>161</v>
      </c>
      <c r="B73" s="2">
        <v>9672</v>
      </c>
      <c r="C73" s="2">
        <v>18783</v>
      </c>
      <c r="D73" s="2">
        <v>20264</v>
      </c>
      <c r="E73" s="2">
        <v>21471</v>
      </c>
      <c r="F73" s="2">
        <v>24348</v>
      </c>
      <c r="G73" s="2">
        <v>24271</v>
      </c>
      <c r="H73" s="2">
        <v>24139</v>
      </c>
      <c r="I73" s="2">
        <v>24247</v>
      </c>
      <c r="J73" s="2">
        <v>26356</v>
      </c>
      <c r="K73" s="2">
        <v>29174</v>
      </c>
    </row>
    <row r="74" spans="1:11" x14ac:dyDescent="0.3">
      <c r="A74" t="s">
        <v>162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</row>
    <row r="75" spans="1:11" x14ac:dyDescent="0.3">
      <c r="A75" t="s">
        <v>163</v>
      </c>
      <c r="B75" s="2">
        <v>2826</v>
      </c>
      <c r="C75" s="2">
        <v>5813</v>
      </c>
      <c r="D75" s="2">
        <v>5775</v>
      </c>
      <c r="E75" s="2">
        <v>5819</v>
      </c>
      <c r="F75" s="2">
        <v>5805</v>
      </c>
      <c r="G75" s="2">
        <v>5856</v>
      </c>
      <c r="H75" s="2">
        <v>5897</v>
      </c>
      <c r="I75" s="2">
        <v>5970</v>
      </c>
      <c r="J75" s="2">
        <v>6056</v>
      </c>
      <c r="K75" s="2">
        <v>6184</v>
      </c>
    </row>
    <row r="76" spans="1:11" x14ac:dyDescent="0.3">
      <c r="A76" t="s">
        <v>164</v>
      </c>
      <c r="B76" s="2">
        <v>5</v>
      </c>
      <c r="C76" s="2">
        <v>5</v>
      </c>
      <c r="D76" s="2">
        <v>5</v>
      </c>
      <c r="E76" s="2">
        <v>5</v>
      </c>
      <c r="F76" s="2">
        <v>5</v>
      </c>
      <c r="G76" s="2">
        <v>5</v>
      </c>
      <c r="H76" s="2">
        <v>5</v>
      </c>
      <c r="I76" s="2">
        <v>5</v>
      </c>
      <c r="J76" s="2">
        <v>5</v>
      </c>
      <c r="K76" s="2">
        <v>5</v>
      </c>
    </row>
    <row r="77" spans="1:11" x14ac:dyDescent="0.3">
      <c r="A77" t="s">
        <v>165</v>
      </c>
      <c r="B77" s="2">
        <v>2821</v>
      </c>
      <c r="C77" s="2">
        <v>5808</v>
      </c>
      <c r="D77" s="2">
        <v>5770</v>
      </c>
      <c r="E77" s="2">
        <v>5814</v>
      </c>
      <c r="F77" s="2">
        <v>5800</v>
      </c>
      <c r="G77" s="2">
        <v>5851</v>
      </c>
      <c r="H77" s="2">
        <v>5892</v>
      </c>
      <c r="I77" s="2">
        <v>5965</v>
      </c>
      <c r="J77" s="2">
        <v>6051</v>
      </c>
      <c r="K77" s="2">
        <v>6179</v>
      </c>
    </row>
    <row r="78" spans="1:11" x14ac:dyDescent="0.3">
      <c r="A78" t="s">
        <v>166</v>
      </c>
      <c r="B78" s="2">
        <v>11098</v>
      </c>
      <c r="C78" s="2">
        <v>6460</v>
      </c>
      <c r="D78" s="2">
        <v>9418</v>
      </c>
      <c r="E78" s="2">
        <v>12185</v>
      </c>
      <c r="F78" s="2">
        <v>14385</v>
      </c>
      <c r="G78" s="2">
        <v>14497</v>
      </c>
      <c r="H78" s="2">
        <v>14446</v>
      </c>
      <c r="I78" s="2">
        <v>17015</v>
      </c>
      <c r="J78" s="2">
        <v>20929</v>
      </c>
      <c r="K78" s="2">
        <v>24644</v>
      </c>
    </row>
    <row r="79" spans="1:11" x14ac:dyDescent="0.3">
      <c r="A79" t="s">
        <v>167</v>
      </c>
      <c r="B79" s="2">
        <v>4878</v>
      </c>
      <c r="C79" s="2">
        <v>6501</v>
      </c>
      <c r="D79" s="2">
        <v>7242</v>
      </c>
      <c r="E79" s="2">
        <v>8982</v>
      </c>
      <c r="F79" s="2">
        <v>9644</v>
      </c>
      <c r="G79" s="2">
        <v>9206</v>
      </c>
      <c r="H79" s="2">
        <v>10305</v>
      </c>
      <c r="I79" s="2">
        <v>12342</v>
      </c>
      <c r="J79" s="2">
        <v>14838</v>
      </c>
      <c r="K79" s="2">
        <v>16531</v>
      </c>
    </row>
    <row r="80" spans="1:11" x14ac:dyDescent="0.3">
      <c r="A80" t="s">
        <v>168</v>
      </c>
      <c r="B80" s="2">
        <v>-196</v>
      </c>
      <c r="C80" s="2">
        <v>-497</v>
      </c>
      <c r="D80" s="2">
        <v>-17</v>
      </c>
      <c r="E80" s="2">
        <v>-391</v>
      </c>
      <c r="F80" s="2">
        <v>-361</v>
      </c>
      <c r="G80" s="2">
        <v>-135</v>
      </c>
      <c r="H80" s="2">
        <v>-342</v>
      </c>
      <c r="I80" s="2">
        <v>-729</v>
      </c>
      <c r="J80" s="2">
        <v>-647</v>
      </c>
      <c r="K80" s="2">
        <v>-1063</v>
      </c>
    </row>
    <row r="81" spans="1:11" x14ac:dyDescent="0.3">
      <c r="A81" t="s">
        <v>169</v>
      </c>
      <c r="B81" s="2">
        <v>-3590</v>
      </c>
      <c r="C81" s="2">
        <v>5357</v>
      </c>
      <c r="D81" s="2">
        <v>3582</v>
      </c>
      <c r="E81" s="2">
        <v>2225</v>
      </c>
      <c r="F81" s="2">
        <v>703</v>
      </c>
      <c r="G81" s="2">
        <v>430</v>
      </c>
      <c r="H81" s="2">
        <v>1414</v>
      </c>
      <c r="I81" s="2">
        <v>568</v>
      </c>
      <c r="J81" s="2">
        <v>-682</v>
      </c>
      <c r="K81" s="2">
        <v>-2992</v>
      </c>
    </row>
    <row r="82" spans="1:11" x14ac:dyDescent="0.3">
      <c r="A82" t="s">
        <v>170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</row>
    <row r="83" spans="1:11" x14ac:dyDescent="0.3">
      <c r="A83" t="s">
        <v>171</v>
      </c>
      <c r="B83" s="2">
        <v>-3590</v>
      </c>
      <c r="C83" s="2">
        <v>5357</v>
      </c>
      <c r="D83" s="2">
        <v>3582</v>
      </c>
      <c r="E83" s="2">
        <v>2225</v>
      </c>
      <c r="F83" s="2">
        <v>703</v>
      </c>
      <c r="G83" s="2">
        <v>430</v>
      </c>
      <c r="H83" s="2">
        <v>1414</v>
      </c>
      <c r="I83" s="2">
        <v>568</v>
      </c>
      <c r="J83" s="2">
        <v>-682</v>
      </c>
      <c r="K83" s="2">
        <v>-2992</v>
      </c>
    </row>
    <row r="84" spans="1:11" x14ac:dyDescent="0.3">
      <c r="A84" t="s">
        <v>172</v>
      </c>
      <c r="B84" s="2">
        <v>6082</v>
      </c>
      <c r="C84" s="2">
        <v>24140</v>
      </c>
      <c r="D84" s="2">
        <v>23846</v>
      </c>
      <c r="E84" s="2">
        <v>23696</v>
      </c>
      <c r="F84" s="2">
        <v>25051</v>
      </c>
      <c r="G84" s="2">
        <v>24701</v>
      </c>
      <c r="H84" s="2">
        <v>25553</v>
      </c>
      <c r="I84" s="2">
        <v>24815</v>
      </c>
      <c r="J84" s="2">
        <v>25674</v>
      </c>
      <c r="K84" s="2">
        <v>26182</v>
      </c>
    </row>
    <row r="85" spans="1:1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3">
      <c r="A86" t="s">
        <v>80</v>
      </c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3">
      <c r="A87" t="s">
        <v>81</v>
      </c>
      <c r="B87" s="2" t="s">
        <v>82</v>
      </c>
      <c r="C87" s="2" t="s">
        <v>82</v>
      </c>
      <c r="D87" s="2" t="s">
        <v>82</v>
      </c>
      <c r="E87" s="2" t="s">
        <v>82</v>
      </c>
      <c r="F87" s="2" t="s">
        <v>82</v>
      </c>
      <c r="G87" s="2" t="s">
        <v>82</v>
      </c>
      <c r="H87" s="2" t="s">
        <v>82</v>
      </c>
      <c r="I87" s="2" t="s">
        <v>82</v>
      </c>
      <c r="J87" s="2" t="s">
        <v>82</v>
      </c>
      <c r="K87" s="2" t="s">
        <v>82</v>
      </c>
    </row>
    <row r="88" spans="1:11" x14ac:dyDescent="0.3">
      <c r="A88" t="s">
        <v>173</v>
      </c>
      <c r="B88" s="2">
        <v>256.3</v>
      </c>
      <c r="C88" s="2">
        <v>386.1</v>
      </c>
      <c r="D88" s="2">
        <v>359.1</v>
      </c>
      <c r="E88" s="2">
        <v>339.1</v>
      </c>
      <c r="F88" s="2">
        <v>324</v>
      </c>
      <c r="G88" s="2">
        <v>324.39999999999998</v>
      </c>
      <c r="H88" s="2">
        <v>326.3</v>
      </c>
      <c r="I88" s="2">
        <v>310.60000000000002</v>
      </c>
      <c r="J88" s="2">
        <v>290.5</v>
      </c>
      <c r="K88" s="2">
        <v>276.7</v>
      </c>
    </row>
    <row r="89" spans="1:11" x14ac:dyDescent="0.3">
      <c r="A89" t="s">
        <v>174</v>
      </c>
      <c r="B89" s="2">
        <v>0</v>
      </c>
      <c r="C89" s="2">
        <v>40</v>
      </c>
      <c r="D89" s="2">
        <v>40</v>
      </c>
      <c r="E89" s="2">
        <v>35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</row>
    <row r="90" spans="1:11" x14ac:dyDescent="0.3">
      <c r="A90" t="s">
        <v>175</v>
      </c>
      <c r="B90" s="2">
        <v>962</v>
      </c>
      <c r="C90" s="2">
        <v>1742</v>
      </c>
      <c r="D90" s="2">
        <v>2292</v>
      </c>
      <c r="E90" s="2">
        <v>2073</v>
      </c>
      <c r="F90" s="2">
        <v>1310</v>
      </c>
      <c r="G90" s="2">
        <v>1235</v>
      </c>
      <c r="H90" s="2">
        <v>1666</v>
      </c>
      <c r="I90" s="2">
        <v>1507</v>
      </c>
      <c r="J90" s="2">
        <v>1300</v>
      </c>
      <c r="K90" s="2">
        <v>1162</v>
      </c>
    </row>
    <row r="91" spans="1:11" x14ac:dyDescent="0.3">
      <c r="A91" t="s">
        <v>176</v>
      </c>
      <c r="B91" s="2" t="s">
        <v>34</v>
      </c>
      <c r="C91" s="2">
        <v>173</v>
      </c>
      <c r="D91" s="2">
        <v>171</v>
      </c>
      <c r="E91" s="2">
        <v>163</v>
      </c>
      <c r="F91" s="2">
        <v>157</v>
      </c>
      <c r="G91" s="2">
        <v>153</v>
      </c>
      <c r="H91" s="2">
        <v>146</v>
      </c>
      <c r="I91" s="2">
        <v>139</v>
      </c>
      <c r="J91" s="2">
        <v>131</v>
      </c>
      <c r="K91" s="2">
        <v>124</v>
      </c>
    </row>
    <row r="92" spans="1:11" x14ac:dyDescent="0.3">
      <c r="A92" t="s">
        <v>177</v>
      </c>
      <c r="B92" s="2" t="s">
        <v>34</v>
      </c>
      <c r="C92" s="2" t="s">
        <v>34</v>
      </c>
      <c r="D92" s="2">
        <v>0</v>
      </c>
      <c r="E92" s="2">
        <v>0</v>
      </c>
      <c r="F92" s="2">
        <v>1.7</v>
      </c>
      <c r="G92" s="2">
        <v>3.6</v>
      </c>
      <c r="H92" s="2">
        <v>0</v>
      </c>
      <c r="I92" s="2">
        <v>0</v>
      </c>
      <c r="J92" s="2">
        <v>0</v>
      </c>
      <c r="K92" s="2">
        <v>0</v>
      </c>
    </row>
    <row r="93" spans="1:11" x14ac:dyDescent="0.3">
      <c r="A93" t="s">
        <v>178</v>
      </c>
      <c r="B93" s="2" t="s">
        <v>34</v>
      </c>
      <c r="C93" s="2" t="s">
        <v>34</v>
      </c>
      <c r="D93" s="2">
        <v>0</v>
      </c>
      <c r="E93" s="2">
        <v>0</v>
      </c>
      <c r="F93" s="2">
        <v>4.0999999999999996</v>
      </c>
      <c r="G93" s="2">
        <v>5.8</v>
      </c>
      <c r="H93" s="2">
        <v>0</v>
      </c>
      <c r="I93" s="2">
        <v>0</v>
      </c>
      <c r="J93" s="2">
        <v>0</v>
      </c>
      <c r="K93" s="2">
        <v>0</v>
      </c>
    </row>
    <row r="94" spans="1:11" x14ac:dyDescent="0.3">
      <c r="A94" t="s">
        <v>179</v>
      </c>
      <c r="B94" s="2">
        <v>4011</v>
      </c>
      <c r="C94" s="2">
        <v>7648</v>
      </c>
      <c r="D94" s="2">
        <v>7855</v>
      </c>
      <c r="E94" s="2">
        <v>9031</v>
      </c>
      <c r="F94" s="2">
        <v>11727</v>
      </c>
      <c r="G94" s="2">
        <v>10469</v>
      </c>
      <c r="H94" s="2">
        <v>9993</v>
      </c>
      <c r="I94" s="2">
        <v>10697</v>
      </c>
      <c r="J94" s="2">
        <v>12527</v>
      </c>
      <c r="K94" s="2">
        <v>14949</v>
      </c>
    </row>
    <row r="95" spans="1:11" x14ac:dyDescent="0.3">
      <c r="A95" t="s">
        <v>180</v>
      </c>
      <c r="B95" s="2" t="s">
        <v>34</v>
      </c>
      <c r="C95" s="2">
        <v>142.76650000000001</v>
      </c>
      <c r="D95" s="2">
        <v>219.29089999999999</v>
      </c>
      <c r="E95" s="2">
        <v>405.88760000000002</v>
      </c>
      <c r="F95" s="2">
        <v>1668.1366</v>
      </c>
      <c r="G95" s="2">
        <v>2434.6511999999998</v>
      </c>
      <c r="H95" s="2">
        <v>706.71849999999995</v>
      </c>
      <c r="I95" s="2">
        <v>1883.2746</v>
      </c>
      <c r="J95" s="2" t="s">
        <v>34</v>
      </c>
      <c r="K95" s="2" t="s">
        <v>34</v>
      </c>
    </row>
    <row r="96" spans="1:11" x14ac:dyDescent="0.3">
      <c r="A96" t="s">
        <v>181</v>
      </c>
      <c r="B96" s="2">
        <v>-162.256</v>
      </c>
      <c r="C96" s="2">
        <v>-158.2921</v>
      </c>
      <c r="D96" s="2">
        <v>-232.4692</v>
      </c>
      <c r="E96" s="2">
        <v>-242.0583</v>
      </c>
      <c r="F96" s="2">
        <v>-230.7253</v>
      </c>
      <c r="G96" s="2">
        <v>-271.28649999999999</v>
      </c>
      <c r="H96" s="2">
        <v>-219.55260000000001</v>
      </c>
      <c r="I96" s="2">
        <v>-236.9511</v>
      </c>
      <c r="J96" s="2">
        <v>-246.88079999999999</v>
      </c>
      <c r="K96" s="2">
        <v>-266.36950000000002</v>
      </c>
    </row>
    <row r="97" spans="1:11" x14ac:dyDescent="0.3">
      <c r="A97" t="s">
        <v>182</v>
      </c>
      <c r="B97" s="2">
        <v>0.42809999999999998</v>
      </c>
      <c r="C97" s="2">
        <v>0.65490000000000004</v>
      </c>
      <c r="D97" s="2">
        <v>0.4718</v>
      </c>
      <c r="E97" s="2">
        <v>0.4204</v>
      </c>
      <c r="F97" s="2">
        <v>0.46829999999999999</v>
      </c>
      <c r="G97" s="2">
        <v>0.49109999999999998</v>
      </c>
      <c r="H97" s="2">
        <v>0.56589999999999996</v>
      </c>
      <c r="I97" s="2">
        <v>0.45140000000000002</v>
      </c>
      <c r="J97" s="2">
        <v>0.42659999999999998</v>
      </c>
      <c r="K97" s="2">
        <v>0.40289999999999998</v>
      </c>
    </row>
    <row r="98" spans="1:11" x14ac:dyDescent="0.3">
      <c r="A98" t="s">
        <v>183</v>
      </c>
      <c r="B98" s="2">
        <v>127500</v>
      </c>
      <c r="C98" s="2">
        <v>226500</v>
      </c>
      <c r="D98" s="2">
        <v>177000</v>
      </c>
      <c r="E98" s="2">
        <v>176000</v>
      </c>
      <c r="F98" s="2">
        <v>174000</v>
      </c>
      <c r="G98" s="2">
        <v>121000</v>
      </c>
      <c r="H98" s="2">
        <v>120000</v>
      </c>
      <c r="I98" s="2">
        <v>140000</v>
      </c>
      <c r="J98" s="2">
        <v>148000</v>
      </c>
      <c r="K98" s="2">
        <v>155000</v>
      </c>
    </row>
    <row r="99" spans="1:11" x14ac:dyDescent="0.3">
      <c r="A99" t="s">
        <v>92</v>
      </c>
      <c r="B99" t="s">
        <v>93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2B-A017-4E0B-82FB-11725144047D}">
  <dimension ref="A1:M65"/>
  <sheetViews>
    <sheetView topLeftCell="A25" workbookViewId="0">
      <selection activeCell="Q7" sqref="Q7"/>
    </sheetView>
  </sheetViews>
  <sheetFormatPr defaultRowHeight="14.4" x14ac:dyDescent="0.3"/>
  <cols>
    <col min="1" max="1" width="48.44140625" bestFit="1" customWidth="1"/>
    <col min="2" max="11" width="10.77734375" bestFit="1" customWidth="1"/>
  </cols>
  <sheetData>
    <row r="1" spans="1:11" x14ac:dyDescent="0.3">
      <c r="A1" t="s">
        <v>94</v>
      </c>
      <c r="B1" t="s">
        <v>96</v>
      </c>
      <c r="C1" t="s">
        <v>97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3" t="s">
        <v>13</v>
      </c>
    </row>
    <row r="3" spans="1:11" x14ac:dyDescent="0.3">
      <c r="A3" s="1" t="s">
        <v>14</v>
      </c>
      <c r="B3" s="1" t="s">
        <v>99</v>
      </c>
      <c r="C3" s="1" t="s">
        <v>100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21</v>
      </c>
    </row>
    <row r="4" spans="1:11" x14ac:dyDescent="0.3">
      <c r="A4" t="s">
        <v>184</v>
      </c>
    </row>
    <row r="5" spans="1:11" x14ac:dyDescent="0.3">
      <c r="A5" t="s">
        <v>185</v>
      </c>
      <c r="B5" s="2">
        <v>780</v>
      </c>
      <c r="C5" s="2">
        <v>1459</v>
      </c>
      <c r="D5" s="2">
        <v>1907</v>
      </c>
      <c r="E5" s="2">
        <v>1273</v>
      </c>
      <c r="F5" s="2">
        <v>-267</v>
      </c>
      <c r="G5" s="2">
        <v>1099</v>
      </c>
      <c r="H5" s="2">
        <v>2358</v>
      </c>
      <c r="I5" s="2">
        <v>3083</v>
      </c>
      <c r="J5" s="2">
        <v>2375</v>
      </c>
      <c r="K5" s="2">
        <v>2375</v>
      </c>
    </row>
    <row r="6" spans="1:11" x14ac:dyDescent="0.3">
      <c r="A6" t="s">
        <v>186</v>
      </c>
      <c r="B6" s="2">
        <v>168</v>
      </c>
      <c r="C6" s="2">
        <v>279</v>
      </c>
      <c r="D6" s="2">
        <v>284</v>
      </c>
      <c r="E6" s="2">
        <v>403</v>
      </c>
      <c r="F6" s="2">
        <v>478</v>
      </c>
      <c r="G6" s="2">
        <v>295</v>
      </c>
      <c r="H6" s="2">
        <v>282</v>
      </c>
      <c r="I6" s="2">
        <v>277</v>
      </c>
      <c r="J6" s="2">
        <v>492</v>
      </c>
      <c r="K6" s="2">
        <v>492</v>
      </c>
    </row>
    <row r="7" spans="1:11" x14ac:dyDescent="0.3">
      <c r="A7" t="s">
        <v>187</v>
      </c>
      <c r="B7" s="2">
        <v>811</v>
      </c>
      <c r="C7" s="2">
        <v>519</v>
      </c>
      <c r="D7" s="2">
        <v>242</v>
      </c>
      <c r="E7" s="2">
        <v>282</v>
      </c>
      <c r="F7" s="2">
        <v>1456</v>
      </c>
      <c r="G7" s="2">
        <v>-327</v>
      </c>
      <c r="H7" s="2">
        <v>265</v>
      </c>
      <c r="I7" s="2">
        <v>-259</v>
      </c>
      <c r="J7" s="2">
        <v>-36</v>
      </c>
      <c r="K7" s="2">
        <v>-36</v>
      </c>
    </row>
    <row r="8" spans="1:11" x14ac:dyDescent="0.3">
      <c r="A8" t="s">
        <v>188</v>
      </c>
      <c r="B8" s="2">
        <v>212</v>
      </c>
      <c r="C8" s="2">
        <v>181</v>
      </c>
      <c r="D8" s="2">
        <v>184</v>
      </c>
      <c r="E8" s="2">
        <v>187</v>
      </c>
      <c r="F8" s="2">
        <v>201</v>
      </c>
      <c r="G8" s="2">
        <v>182</v>
      </c>
      <c r="H8" s="2">
        <v>192</v>
      </c>
      <c r="I8" s="2">
        <v>205</v>
      </c>
      <c r="J8" s="2">
        <v>237</v>
      </c>
      <c r="K8" s="2">
        <v>237</v>
      </c>
    </row>
    <row r="9" spans="1:11" x14ac:dyDescent="0.3">
      <c r="A9" t="s">
        <v>189</v>
      </c>
      <c r="B9" s="2">
        <v>76</v>
      </c>
      <c r="C9" s="2">
        <v>887</v>
      </c>
      <c r="D9" s="2">
        <v>-239</v>
      </c>
      <c r="E9" s="2">
        <v>-200</v>
      </c>
      <c r="F9" s="2">
        <v>-478</v>
      </c>
      <c r="G9" s="2">
        <v>-281</v>
      </c>
      <c r="H9" s="2">
        <v>280</v>
      </c>
      <c r="I9" s="2">
        <v>-612</v>
      </c>
      <c r="J9" s="2">
        <v>-172</v>
      </c>
      <c r="K9" s="2">
        <v>-172</v>
      </c>
    </row>
    <row r="10" spans="1:11" x14ac:dyDescent="0.3">
      <c r="A10" t="s">
        <v>190</v>
      </c>
      <c r="B10" s="2">
        <v>523</v>
      </c>
      <c r="C10" s="2">
        <v>-549</v>
      </c>
      <c r="D10" s="2">
        <v>297</v>
      </c>
      <c r="E10" s="2">
        <v>295</v>
      </c>
      <c r="F10" s="2">
        <v>1733</v>
      </c>
      <c r="G10" s="2">
        <v>-228</v>
      </c>
      <c r="H10" s="2">
        <v>-207</v>
      </c>
      <c r="I10" s="2">
        <v>148</v>
      </c>
      <c r="J10" s="2">
        <v>-101</v>
      </c>
      <c r="K10" s="2">
        <v>-101</v>
      </c>
    </row>
    <row r="11" spans="1:11" x14ac:dyDescent="0.3">
      <c r="A11" t="s">
        <v>191</v>
      </c>
      <c r="B11" s="2">
        <v>-77</v>
      </c>
      <c r="C11" s="2">
        <v>-30</v>
      </c>
      <c r="D11" s="2">
        <v>-76</v>
      </c>
      <c r="E11" s="2">
        <v>-273</v>
      </c>
      <c r="F11" s="2">
        <v>-28</v>
      </c>
      <c r="G11" s="2">
        <v>110</v>
      </c>
      <c r="H11" s="2">
        <v>-542</v>
      </c>
      <c r="I11" s="2">
        <v>69</v>
      </c>
      <c r="J11" s="2">
        <v>-82</v>
      </c>
      <c r="K11" s="2">
        <v>-82</v>
      </c>
    </row>
    <row r="12" spans="1:11" x14ac:dyDescent="0.3">
      <c r="A12" t="s">
        <v>192</v>
      </c>
      <c r="B12" s="2">
        <v>-77</v>
      </c>
      <c r="C12" s="2">
        <v>-30</v>
      </c>
      <c r="D12" s="2">
        <v>-76</v>
      </c>
      <c r="E12" s="2">
        <v>-273</v>
      </c>
      <c r="F12" s="2">
        <v>-28</v>
      </c>
      <c r="G12" s="2">
        <v>110</v>
      </c>
      <c r="H12" s="2">
        <v>-542</v>
      </c>
      <c r="I12" s="2">
        <v>69</v>
      </c>
      <c r="J12" s="2">
        <v>-82</v>
      </c>
      <c r="K12" s="2">
        <v>-82</v>
      </c>
    </row>
    <row r="13" spans="1:11" x14ac:dyDescent="0.3">
      <c r="A13" t="s">
        <v>193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t="s">
        <v>184</v>
      </c>
      <c r="B14" s="2">
        <v>1682</v>
      </c>
      <c r="C14" s="2">
        <v>2227</v>
      </c>
      <c r="D14" s="2">
        <v>2357</v>
      </c>
      <c r="E14" s="2">
        <v>1685</v>
      </c>
      <c r="F14" s="2">
        <v>1639</v>
      </c>
      <c r="G14" s="2">
        <v>1177</v>
      </c>
      <c r="H14" s="2">
        <v>2363</v>
      </c>
      <c r="I14" s="2">
        <v>3170</v>
      </c>
      <c r="J14" s="2">
        <v>2749</v>
      </c>
      <c r="K14" s="2">
        <v>2749</v>
      </c>
    </row>
    <row r="15" spans="1:1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t="s">
        <v>194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3" x14ac:dyDescent="0.3">
      <c r="A17" t="s">
        <v>195</v>
      </c>
      <c r="B17" s="2">
        <v>-61</v>
      </c>
      <c r="C17" s="2">
        <v>1178</v>
      </c>
      <c r="D17" s="2">
        <v>-77</v>
      </c>
      <c r="E17" s="2">
        <v>-258</v>
      </c>
      <c r="F17" s="2">
        <v>125</v>
      </c>
      <c r="G17" s="2">
        <v>-171</v>
      </c>
      <c r="H17" s="2">
        <v>-331</v>
      </c>
      <c r="I17" s="2">
        <v>-381</v>
      </c>
      <c r="J17" s="2">
        <v>-734</v>
      </c>
      <c r="K17" s="2">
        <v>-734</v>
      </c>
    </row>
    <row r="18" spans="1:13" x14ac:dyDescent="0.3">
      <c r="A18" t="s">
        <v>196</v>
      </c>
      <c r="B18" s="2">
        <v>218</v>
      </c>
      <c r="C18" s="2">
        <v>1418</v>
      </c>
      <c r="D18" s="2">
        <v>479</v>
      </c>
      <c r="E18" s="2">
        <v>395</v>
      </c>
      <c r="F18" s="2">
        <v>260</v>
      </c>
      <c r="G18" s="2">
        <v>12</v>
      </c>
      <c r="H18" s="2">
        <v>1</v>
      </c>
      <c r="I18" s="2">
        <v>71</v>
      </c>
      <c r="J18" s="2">
        <v>16</v>
      </c>
      <c r="K18" s="2">
        <v>16</v>
      </c>
    </row>
    <row r="19" spans="1:13" x14ac:dyDescent="0.3">
      <c r="A19" t="s">
        <v>197</v>
      </c>
      <c r="B19" s="2">
        <v>218</v>
      </c>
      <c r="C19" s="2">
        <v>1418</v>
      </c>
      <c r="D19" s="2">
        <v>479</v>
      </c>
      <c r="E19" s="2">
        <v>395</v>
      </c>
      <c r="F19" s="2">
        <v>260</v>
      </c>
      <c r="G19" s="2">
        <v>12</v>
      </c>
      <c r="H19" s="2">
        <v>1</v>
      </c>
      <c r="I19" s="2">
        <v>71</v>
      </c>
      <c r="J19" s="2">
        <v>16</v>
      </c>
      <c r="K19" s="2">
        <v>16</v>
      </c>
    </row>
    <row r="20" spans="1:13" x14ac:dyDescent="0.3">
      <c r="A20" t="s">
        <v>198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3" x14ac:dyDescent="0.3">
      <c r="A21" t="s">
        <v>199</v>
      </c>
      <c r="B21" s="2">
        <v>-279</v>
      </c>
      <c r="C21" s="2">
        <v>-240</v>
      </c>
      <c r="D21" s="2">
        <v>-556</v>
      </c>
      <c r="E21" s="2">
        <v>-653</v>
      </c>
      <c r="F21" s="2">
        <v>-135</v>
      </c>
      <c r="G21" s="2">
        <v>-183</v>
      </c>
      <c r="H21" s="2">
        <v>-332</v>
      </c>
      <c r="I21" s="2">
        <v>-452</v>
      </c>
      <c r="J21" s="2">
        <v>-750</v>
      </c>
      <c r="K21" s="2">
        <v>-750</v>
      </c>
    </row>
    <row r="22" spans="1:13" x14ac:dyDescent="0.3">
      <c r="A22" t="s">
        <v>200</v>
      </c>
      <c r="B22" s="2">
        <v>-199</v>
      </c>
      <c r="C22" s="2">
        <v>-240</v>
      </c>
      <c r="D22" s="2">
        <v>-556</v>
      </c>
      <c r="E22" s="2">
        <v>-653</v>
      </c>
      <c r="F22" s="2">
        <v>-135</v>
      </c>
      <c r="G22" s="2">
        <v>-183</v>
      </c>
      <c r="H22" s="2">
        <v>-332</v>
      </c>
      <c r="I22" s="2">
        <v>-452</v>
      </c>
      <c r="J22" s="2">
        <v>-750</v>
      </c>
      <c r="K22" s="2">
        <v>-750</v>
      </c>
    </row>
    <row r="23" spans="1:13" x14ac:dyDescent="0.3">
      <c r="A23" t="s">
        <v>201</v>
      </c>
      <c r="B23" s="2">
        <v>-80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3" x14ac:dyDescent="0.3">
      <c r="A24" t="s">
        <v>202</v>
      </c>
      <c r="B24" s="2">
        <v>35</v>
      </c>
      <c r="C24" s="2">
        <v>94</v>
      </c>
      <c r="D24" s="2">
        <v>35</v>
      </c>
      <c r="E24" s="2">
        <v>21</v>
      </c>
      <c r="F24" s="2">
        <v>-33</v>
      </c>
      <c r="G24" s="2">
        <v>27</v>
      </c>
      <c r="H24" s="2">
        <v>3</v>
      </c>
      <c r="I24" s="2">
        <v>-16</v>
      </c>
      <c r="J24" s="2">
        <v>26</v>
      </c>
      <c r="K24" s="2">
        <v>26</v>
      </c>
    </row>
    <row r="25" spans="1:13" x14ac:dyDescent="0.3">
      <c r="A25" t="s">
        <v>203</v>
      </c>
      <c r="B25" s="2">
        <v>67</v>
      </c>
      <c r="C25" s="2">
        <v>187</v>
      </c>
      <c r="D25" s="2">
        <v>48</v>
      </c>
      <c r="E25" s="2">
        <v>51</v>
      </c>
      <c r="F25" s="2">
        <v>8</v>
      </c>
      <c r="G25" s="2">
        <v>40</v>
      </c>
      <c r="H25" s="2">
        <v>14</v>
      </c>
      <c r="I25" s="2">
        <v>61</v>
      </c>
      <c r="J25" s="2">
        <v>36</v>
      </c>
      <c r="K25" s="2">
        <v>36</v>
      </c>
    </row>
    <row r="26" spans="1:13" x14ac:dyDescent="0.3">
      <c r="A26" t="s">
        <v>204</v>
      </c>
      <c r="B26" s="2">
        <v>-32</v>
      </c>
      <c r="C26" s="2">
        <v>-93</v>
      </c>
      <c r="D26" s="2">
        <v>-13</v>
      </c>
      <c r="E26" s="2">
        <v>-30</v>
      </c>
      <c r="F26" s="2">
        <v>-41</v>
      </c>
      <c r="G26" s="2">
        <v>-13</v>
      </c>
      <c r="H26" s="2">
        <v>-11</v>
      </c>
      <c r="I26" s="2">
        <v>-77</v>
      </c>
      <c r="J26" s="2">
        <v>-10</v>
      </c>
      <c r="K26" s="2">
        <v>-10</v>
      </c>
    </row>
    <row r="27" spans="1:13" x14ac:dyDescent="0.3">
      <c r="A27" t="s">
        <v>205</v>
      </c>
      <c r="B27" s="2">
        <v>-2412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-101</v>
      </c>
      <c r="J27" s="2">
        <v>-26</v>
      </c>
      <c r="K27" s="2">
        <v>-26</v>
      </c>
      <c r="M27" s="20" t="s">
        <v>261</v>
      </c>
    </row>
    <row r="28" spans="1:13" x14ac:dyDescent="0.3">
      <c r="A28" t="s">
        <v>206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3" x14ac:dyDescent="0.3">
      <c r="A29" t="s">
        <v>207</v>
      </c>
      <c r="B29" s="2">
        <v>-2412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-101</v>
      </c>
      <c r="J29" s="2">
        <v>-26</v>
      </c>
      <c r="K29" s="2">
        <v>-26</v>
      </c>
    </row>
    <row r="30" spans="1:13" x14ac:dyDescent="0.3">
      <c r="A30" t="s">
        <v>208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</row>
    <row r="31" spans="1:13" x14ac:dyDescent="0.3">
      <c r="A31" t="s">
        <v>209</v>
      </c>
      <c r="B31" s="2">
        <v>29</v>
      </c>
      <c r="C31" s="2">
        <v>-61</v>
      </c>
      <c r="D31" s="2">
        <v>-10</v>
      </c>
      <c r="E31" s="2">
        <v>-47</v>
      </c>
      <c r="F31" s="2">
        <v>-57</v>
      </c>
      <c r="G31" s="2">
        <v>-43</v>
      </c>
      <c r="H31" s="2">
        <v>31</v>
      </c>
      <c r="I31" s="2">
        <v>33</v>
      </c>
      <c r="J31" s="2">
        <v>0</v>
      </c>
      <c r="K31" s="2">
        <v>0</v>
      </c>
    </row>
    <row r="32" spans="1:13" x14ac:dyDescent="0.3">
      <c r="A32" t="s">
        <v>193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3">
      <c r="A33" s="5" t="s">
        <v>194</v>
      </c>
      <c r="B33" s="8">
        <v>-2409</v>
      </c>
      <c r="C33" s="8">
        <v>1211</v>
      </c>
      <c r="D33" s="8">
        <v>-52</v>
      </c>
      <c r="E33" s="8">
        <v>-284</v>
      </c>
      <c r="F33" s="8">
        <v>35</v>
      </c>
      <c r="G33" s="8">
        <v>-187</v>
      </c>
      <c r="H33" s="8">
        <v>-297</v>
      </c>
      <c r="I33" s="8">
        <v>-465</v>
      </c>
      <c r="J33" s="8">
        <v>-734</v>
      </c>
      <c r="K33" s="8">
        <v>-734</v>
      </c>
    </row>
    <row r="34" spans="1:1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t="s">
        <v>210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t="s">
        <v>211</v>
      </c>
      <c r="B36" s="2">
        <v>-374</v>
      </c>
      <c r="C36" s="2">
        <v>-482</v>
      </c>
      <c r="D36" s="2">
        <v>-543</v>
      </c>
      <c r="E36" s="2">
        <v>-612</v>
      </c>
      <c r="F36" s="2">
        <v>-156</v>
      </c>
      <c r="G36" s="2">
        <v>0</v>
      </c>
      <c r="H36" s="2">
        <v>-321</v>
      </c>
      <c r="I36" s="2">
        <v>-587</v>
      </c>
      <c r="J36" s="2">
        <v>-682</v>
      </c>
      <c r="K36" s="2">
        <v>-682</v>
      </c>
    </row>
    <row r="37" spans="1:11" x14ac:dyDescent="0.3">
      <c r="A37" t="s">
        <v>212</v>
      </c>
      <c r="B37" s="2">
        <v>2521</v>
      </c>
      <c r="C37" s="2">
        <v>-250</v>
      </c>
      <c r="D37" s="2">
        <v>1120</v>
      </c>
      <c r="E37" s="2">
        <v>1513</v>
      </c>
      <c r="F37" s="2">
        <v>-616</v>
      </c>
      <c r="G37" s="2">
        <v>-231</v>
      </c>
      <c r="H37" s="2">
        <v>-3</v>
      </c>
      <c r="I37" s="2">
        <v>1780</v>
      </c>
      <c r="J37" s="2">
        <v>2553</v>
      </c>
      <c r="K37" s="2">
        <v>2553</v>
      </c>
    </row>
    <row r="38" spans="1:11" x14ac:dyDescent="0.3">
      <c r="A38" t="s">
        <v>213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</row>
    <row r="39" spans="1:11" x14ac:dyDescent="0.3">
      <c r="A39" t="s">
        <v>214</v>
      </c>
      <c r="B39" s="2">
        <v>2847</v>
      </c>
      <c r="C39" s="2">
        <v>60</v>
      </c>
      <c r="D39" s="2">
        <v>1646</v>
      </c>
      <c r="E39" s="2">
        <v>2348</v>
      </c>
      <c r="F39" s="2">
        <v>1271</v>
      </c>
      <c r="G39" s="2">
        <v>1943</v>
      </c>
      <c r="H39" s="2">
        <v>801</v>
      </c>
      <c r="I39" s="2">
        <v>2464</v>
      </c>
      <c r="J39" s="2">
        <v>3111</v>
      </c>
      <c r="K39" s="2"/>
    </row>
    <row r="40" spans="1:11" x14ac:dyDescent="0.3">
      <c r="A40" t="s">
        <v>215</v>
      </c>
      <c r="B40" s="2">
        <v>-326</v>
      </c>
      <c r="C40" s="2">
        <v>-310</v>
      </c>
      <c r="D40" s="2">
        <v>-526</v>
      </c>
      <c r="E40" s="2">
        <v>-835</v>
      </c>
      <c r="F40" s="2">
        <v>-1887</v>
      </c>
      <c r="G40" s="2">
        <v>-2174</v>
      </c>
      <c r="H40" s="2">
        <v>-804</v>
      </c>
      <c r="I40" s="2">
        <v>-684</v>
      </c>
      <c r="J40" s="2">
        <v>-558</v>
      </c>
      <c r="K40" s="2"/>
    </row>
    <row r="41" spans="1:11" x14ac:dyDescent="0.3">
      <c r="A41" t="s">
        <v>216</v>
      </c>
      <c r="B41" s="2">
        <v>-534</v>
      </c>
      <c r="C41" s="2">
        <v>-3007</v>
      </c>
      <c r="D41" s="2">
        <v>-2846</v>
      </c>
      <c r="E41" s="2">
        <v>-2253</v>
      </c>
      <c r="F41" s="2">
        <v>-150</v>
      </c>
      <c r="G41" s="2">
        <v>2</v>
      </c>
      <c r="H41" s="2">
        <v>-2566</v>
      </c>
      <c r="I41" s="2">
        <v>-4032</v>
      </c>
      <c r="J41" s="2">
        <v>-3827</v>
      </c>
      <c r="K41" s="2">
        <v>-3827</v>
      </c>
    </row>
    <row r="42" spans="1:11" x14ac:dyDescent="0.3">
      <c r="A42" t="s">
        <v>217</v>
      </c>
      <c r="B42" s="2">
        <v>34</v>
      </c>
      <c r="C42" s="2">
        <v>6</v>
      </c>
      <c r="D42" s="2">
        <v>4</v>
      </c>
      <c r="E42" s="2">
        <v>7</v>
      </c>
      <c r="F42" s="2">
        <v>0</v>
      </c>
      <c r="G42" s="2">
        <v>2</v>
      </c>
      <c r="H42" s="2">
        <v>0</v>
      </c>
      <c r="I42" s="2">
        <v>29</v>
      </c>
      <c r="J42" s="2">
        <v>73</v>
      </c>
      <c r="K42" s="2">
        <v>73</v>
      </c>
    </row>
    <row r="43" spans="1:11" x14ac:dyDescent="0.3">
      <c r="A43" t="s">
        <v>218</v>
      </c>
      <c r="B43" s="2">
        <v>-568</v>
      </c>
      <c r="C43" s="2">
        <v>-3013</v>
      </c>
      <c r="D43" s="2">
        <v>-2850</v>
      </c>
      <c r="E43" s="2">
        <v>-2260</v>
      </c>
      <c r="F43" s="2">
        <v>-150</v>
      </c>
      <c r="G43" s="2">
        <v>0</v>
      </c>
      <c r="H43" s="2">
        <v>-2566</v>
      </c>
      <c r="I43" s="2">
        <v>-4061</v>
      </c>
      <c r="J43" s="2">
        <v>-3900</v>
      </c>
      <c r="K43" s="2">
        <v>-3900</v>
      </c>
    </row>
    <row r="44" spans="1:11" x14ac:dyDescent="0.3">
      <c r="A44" t="s">
        <v>219</v>
      </c>
      <c r="B44" s="2">
        <v>-124</v>
      </c>
      <c r="C44" s="2">
        <v>-157</v>
      </c>
      <c r="D44" s="2">
        <v>-105</v>
      </c>
      <c r="E44" s="2">
        <v>-156</v>
      </c>
      <c r="F44" s="2">
        <v>-111</v>
      </c>
      <c r="G44" s="2">
        <v>-234</v>
      </c>
      <c r="H44" s="2">
        <v>-72</v>
      </c>
      <c r="I44" s="2">
        <v>-25</v>
      </c>
      <c r="J44" s="2">
        <v>0</v>
      </c>
      <c r="K44" s="2">
        <v>0</v>
      </c>
    </row>
    <row r="45" spans="1:11" x14ac:dyDescent="0.3">
      <c r="A45" t="s">
        <v>193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</row>
    <row r="46" spans="1:11" x14ac:dyDescent="0.3">
      <c r="A46" t="s">
        <v>210</v>
      </c>
      <c r="B46" s="2">
        <v>1489</v>
      </c>
      <c r="C46" s="2">
        <v>-3896</v>
      </c>
      <c r="D46" s="2">
        <v>-2374</v>
      </c>
      <c r="E46" s="2">
        <v>-1508</v>
      </c>
      <c r="F46" s="2">
        <v>-1033</v>
      </c>
      <c r="G46" s="2">
        <v>-463</v>
      </c>
      <c r="H46" s="2">
        <v>-2962</v>
      </c>
      <c r="I46" s="2">
        <v>-2864</v>
      </c>
      <c r="J46" s="2">
        <v>-1956</v>
      </c>
      <c r="K46" s="2">
        <v>-1956</v>
      </c>
    </row>
    <row r="47" spans="1:1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">
      <c r="A48" t="s">
        <v>220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</row>
    <row r="49" spans="1:1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t="s">
        <v>221</v>
      </c>
      <c r="B50" s="2">
        <v>762</v>
      </c>
      <c r="C50" s="2">
        <v>-458</v>
      </c>
      <c r="D50" s="2">
        <v>-69</v>
      </c>
      <c r="E50" s="2">
        <v>-107</v>
      </c>
      <c r="F50" s="2">
        <v>641</v>
      </c>
      <c r="G50" s="2">
        <v>527</v>
      </c>
      <c r="H50" s="2">
        <v>-896</v>
      </c>
      <c r="I50" s="2">
        <v>-159</v>
      </c>
      <c r="J50" s="2">
        <v>59</v>
      </c>
      <c r="K50" s="2">
        <v>59</v>
      </c>
    </row>
    <row r="51" spans="1:1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t="s">
        <v>222</v>
      </c>
      <c r="B52" s="2">
        <v>293</v>
      </c>
      <c r="C52" s="2">
        <v>636</v>
      </c>
      <c r="D52" s="2">
        <v>678</v>
      </c>
      <c r="E52" s="2">
        <v>526</v>
      </c>
      <c r="F52" s="2">
        <v>279</v>
      </c>
      <c r="G52" s="2">
        <v>362</v>
      </c>
      <c r="H52" s="2">
        <v>362</v>
      </c>
      <c r="I52" s="2">
        <v>907</v>
      </c>
      <c r="J52" s="2">
        <v>947</v>
      </c>
      <c r="K52" s="2">
        <v>947</v>
      </c>
    </row>
    <row r="53" spans="1:11" x14ac:dyDescent="0.3">
      <c r="A53" t="s">
        <v>223</v>
      </c>
      <c r="B53" s="2">
        <v>165</v>
      </c>
      <c r="C53" s="2">
        <v>234</v>
      </c>
      <c r="D53" s="2">
        <v>290</v>
      </c>
      <c r="E53" s="2">
        <v>348</v>
      </c>
      <c r="F53" s="2">
        <v>377</v>
      </c>
      <c r="G53" s="2">
        <v>391</v>
      </c>
      <c r="H53" s="2">
        <v>345</v>
      </c>
      <c r="I53" s="2">
        <v>476</v>
      </c>
      <c r="J53" s="2">
        <v>599</v>
      </c>
      <c r="K53" s="2">
        <v>599</v>
      </c>
    </row>
    <row r="54" spans="1:1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t="s">
        <v>80</v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t="s">
        <v>1</v>
      </c>
      <c r="B56" s="2">
        <v>1536</v>
      </c>
      <c r="C56" s="2">
        <v>2783</v>
      </c>
      <c r="D56" s="2">
        <v>2650</v>
      </c>
      <c r="E56" s="2">
        <v>2388</v>
      </c>
      <c r="F56" s="2">
        <v>719</v>
      </c>
      <c r="G56" s="2">
        <v>2194</v>
      </c>
      <c r="H56" s="2">
        <v>3909</v>
      </c>
      <c r="I56" s="2">
        <v>4296</v>
      </c>
      <c r="J56" s="2">
        <v>4402</v>
      </c>
      <c r="K56" s="2">
        <v>4259</v>
      </c>
    </row>
    <row r="57" spans="1:11" x14ac:dyDescent="0.3">
      <c r="A57" t="s">
        <v>224</v>
      </c>
      <c r="B57" s="2">
        <v>8.9971999999999994</v>
      </c>
      <c r="C57" s="2">
        <v>13.6075</v>
      </c>
      <c r="D57" s="2">
        <v>12.7662</v>
      </c>
      <c r="E57" s="2">
        <v>11.3866</v>
      </c>
      <c r="F57" s="2">
        <v>6.8015999999999996</v>
      </c>
      <c r="G57" s="2">
        <v>15.8332</v>
      </c>
      <c r="H57" s="2">
        <v>18.817699999999999</v>
      </c>
      <c r="I57" s="2">
        <v>18.116599999999998</v>
      </c>
      <c r="J57" s="2">
        <v>17.537800000000001</v>
      </c>
      <c r="K57" s="2">
        <v>16.968127490039802</v>
      </c>
    </row>
    <row r="58" spans="1:11" x14ac:dyDescent="0.3">
      <c r="A58" t="s">
        <v>225</v>
      </c>
      <c r="B58" s="2">
        <v>2412</v>
      </c>
      <c r="C58" s="2">
        <v>0</v>
      </c>
      <c r="D58" s="2">
        <v>0</v>
      </c>
      <c r="E58" s="2" t="s">
        <v>34</v>
      </c>
      <c r="F58" s="2" t="s">
        <v>34</v>
      </c>
      <c r="G58" s="2" t="s">
        <v>34</v>
      </c>
      <c r="H58" s="2" t="s">
        <v>34</v>
      </c>
      <c r="I58" s="2">
        <v>101</v>
      </c>
      <c r="J58" s="2">
        <v>26</v>
      </c>
      <c r="K58" s="2"/>
    </row>
    <row r="59" spans="1:11" x14ac:dyDescent="0.3">
      <c r="A59" t="s">
        <v>226</v>
      </c>
      <c r="B59" s="2">
        <v>1483</v>
      </c>
      <c r="C59" s="2">
        <v>1987</v>
      </c>
      <c r="D59" s="2">
        <v>1801</v>
      </c>
      <c r="E59" s="2">
        <v>1032</v>
      </c>
      <c r="F59" s="2">
        <v>1504</v>
      </c>
      <c r="G59" s="2">
        <v>994</v>
      </c>
      <c r="H59" s="2">
        <v>2031</v>
      </c>
      <c r="I59" s="2">
        <v>2718</v>
      </c>
      <c r="J59" s="2">
        <v>1999</v>
      </c>
      <c r="K59" s="2">
        <v>1999</v>
      </c>
    </row>
    <row r="60" spans="1:11" x14ac:dyDescent="0.3">
      <c r="A60" t="s">
        <v>227</v>
      </c>
      <c r="B60" s="2">
        <v>1637.1554000000001</v>
      </c>
      <c r="C60" s="2">
        <v>2127.9095000000002</v>
      </c>
      <c r="D60" s="2">
        <v>2077.4947000000002</v>
      </c>
      <c r="E60" s="2">
        <v>1345.6723</v>
      </c>
      <c r="F60" s="2" t="s">
        <v>34</v>
      </c>
      <c r="G60" s="2">
        <v>1385.1695</v>
      </c>
      <c r="H60" s="2">
        <v>2336.1617999999999</v>
      </c>
      <c r="I60" s="2">
        <v>3233.6587</v>
      </c>
      <c r="J60" s="2">
        <v>2522.8416000000002</v>
      </c>
      <c r="K60" s="2">
        <v>2523.8271281991802</v>
      </c>
    </row>
    <row r="61" spans="1:11" x14ac:dyDescent="0.3">
      <c r="A61" t="s">
        <v>228</v>
      </c>
      <c r="B61" s="2">
        <v>4222</v>
      </c>
      <c r="C61" s="2">
        <v>3155</v>
      </c>
      <c r="D61" s="2">
        <v>3400</v>
      </c>
      <c r="E61" s="2">
        <v>2940</v>
      </c>
      <c r="F61" s="2">
        <v>1148</v>
      </c>
      <c r="G61" s="2">
        <v>775</v>
      </c>
      <c r="H61" s="2">
        <v>2029</v>
      </c>
      <c r="I61" s="2">
        <v>4569</v>
      </c>
      <c r="J61" s="2">
        <v>4568</v>
      </c>
      <c r="K61" s="2">
        <v>4568</v>
      </c>
    </row>
    <row r="62" spans="1:11" x14ac:dyDescent="0.3">
      <c r="A62" t="s">
        <v>229</v>
      </c>
      <c r="B62" s="2">
        <v>5.0979999999999999</v>
      </c>
      <c r="C62" s="2">
        <v>5.2957999999999998</v>
      </c>
      <c r="D62" s="2">
        <v>5.1441999999999997</v>
      </c>
      <c r="E62" s="2">
        <v>3.1019000000000001</v>
      </c>
      <c r="F62" s="2">
        <v>4.6162999999999998</v>
      </c>
      <c r="G62" s="2">
        <v>3.0379</v>
      </c>
      <c r="H62" s="2">
        <v>6.2607999999999997</v>
      </c>
      <c r="I62" s="2">
        <v>9.0149000000000008</v>
      </c>
      <c r="J62" s="2">
        <v>7.0338000000000003</v>
      </c>
      <c r="K62" s="2">
        <v>6.9929239348713903</v>
      </c>
    </row>
    <row r="63" spans="1:11" x14ac:dyDescent="0.3">
      <c r="A63" t="s">
        <v>230</v>
      </c>
      <c r="B63">
        <v>16.2182</v>
      </c>
      <c r="C63">
        <v>25.6295</v>
      </c>
      <c r="D63">
        <v>21.103200000000001</v>
      </c>
      <c r="E63">
        <v>48.818600000000004</v>
      </c>
      <c r="F63">
        <v>28.576799999999999</v>
      </c>
      <c r="G63">
        <v>54.392899999999997</v>
      </c>
      <c r="H63">
        <v>23.781300000000002</v>
      </c>
      <c r="I63">
        <v>25.0152</v>
      </c>
      <c r="J63">
        <v>39.657200000000003</v>
      </c>
      <c r="K63" s="2">
        <v>34.376178209361498</v>
      </c>
    </row>
    <row r="64" spans="1:11" x14ac:dyDescent="0.3">
      <c r="A64" t="s">
        <v>231</v>
      </c>
      <c r="B64">
        <v>2.1564000000000001</v>
      </c>
      <c r="C64">
        <v>1.5264</v>
      </c>
      <c r="D64">
        <v>1.236</v>
      </c>
      <c r="E64">
        <v>1.3236000000000001</v>
      </c>
      <c r="F64" t="s">
        <v>34</v>
      </c>
      <c r="G64">
        <v>1.071</v>
      </c>
      <c r="H64">
        <v>1.0021</v>
      </c>
      <c r="I64">
        <v>1.0282</v>
      </c>
      <c r="J64">
        <v>1.1575</v>
      </c>
      <c r="K64" s="2">
        <v>0.69890109890109897</v>
      </c>
    </row>
    <row r="65" spans="1:2" x14ac:dyDescent="0.3">
      <c r="A65" t="s">
        <v>92</v>
      </c>
      <c r="B65" t="s">
        <v>93</v>
      </c>
    </row>
  </sheetData>
  <hyperlinks>
    <hyperlink ref="M27" r:id="rId1" xr:uid="{A6D82BA4-EF01-4D23-94FA-E90144C49261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B6E3-F154-4C44-B7E7-BF8C6D825752}">
  <dimension ref="A1:S27"/>
  <sheetViews>
    <sheetView tabSelected="1" workbookViewId="0">
      <selection activeCell="A20" sqref="A20:B27"/>
    </sheetView>
  </sheetViews>
  <sheetFormatPr defaultRowHeight="14.4" x14ac:dyDescent="0.3"/>
  <cols>
    <col min="1" max="1" width="36.21875" bestFit="1" customWidth="1"/>
    <col min="2" max="6" width="8.33203125" bestFit="1" customWidth="1"/>
    <col min="7" max="7" width="2.109375" customWidth="1"/>
    <col min="8" max="8" width="2.77734375" customWidth="1"/>
    <col min="9" max="9" width="3.5546875" customWidth="1"/>
    <col min="10" max="10" width="36.21875" bestFit="1" customWidth="1"/>
    <col min="11" max="11" width="3.21875" customWidth="1"/>
    <col min="12" max="13" width="2.21875" customWidth="1"/>
    <col min="15" max="15" width="9.88671875" customWidth="1"/>
    <col min="17" max="17" width="18.5546875" customWidth="1"/>
  </cols>
  <sheetData>
    <row r="1" spans="1:19" x14ac:dyDescent="0.3">
      <c r="O1" s="1" t="s">
        <v>255</v>
      </c>
    </row>
    <row r="2" spans="1:19" x14ac:dyDescent="0.3">
      <c r="A2" t="s">
        <v>246</v>
      </c>
      <c r="B2" t="s">
        <v>247</v>
      </c>
      <c r="C2" t="s">
        <v>248</v>
      </c>
      <c r="D2" t="s">
        <v>249</v>
      </c>
      <c r="E2" t="s">
        <v>250</v>
      </c>
      <c r="F2" t="s">
        <v>251</v>
      </c>
      <c r="N2" t="s">
        <v>262</v>
      </c>
      <c r="O2" t="s">
        <v>0</v>
      </c>
      <c r="P2" t="s">
        <v>263</v>
      </c>
      <c r="Q2" t="s">
        <v>264</v>
      </c>
    </row>
    <row r="3" spans="1:19" x14ac:dyDescent="0.3">
      <c r="A3" t="s">
        <v>252</v>
      </c>
      <c r="B3" s="18">
        <v>0.1</v>
      </c>
      <c r="C3" s="18">
        <v>9.5000000000000001E-2</v>
      </c>
      <c r="D3" s="18">
        <v>0.09</v>
      </c>
      <c r="E3" s="18">
        <v>8.5000000000000006E-2</v>
      </c>
      <c r="F3" s="18">
        <v>0.08</v>
      </c>
      <c r="N3">
        <v>2021</v>
      </c>
      <c r="O3">
        <f>'Income Statement'!E6</f>
        <v>13857</v>
      </c>
      <c r="P3" s="2">
        <f>'Cash Flow statement '!G33</f>
        <v>-187</v>
      </c>
      <c r="Q3" s="19">
        <f>(ABS(P3)/O3)*100</f>
        <v>1.3494984484376127</v>
      </c>
    </row>
    <row r="4" spans="1:19" x14ac:dyDescent="0.3">
      <c r="A4" t="s">
        <v>234</v>
      </c>
      <c r="B4" s="18">
        <v>0.18060000000000001</v>
      </c>
      <c r="C4" s="18">
        <v>0.1807</v>
      </c>
      <c r="D4" s="18">
        <v>0.18079999999999999</v>
      </c>
      <c r="E4" s="18">
        <v>0.18090000000000001</v>
      </c>
      <c r="F4" s="18">
        <v>0.18099999999999999</v>
      </c>
      <c r="N4">
        <v>2022</v>
      </c>
      <c r="O4">
        <f>'Income Statement'!F6</f>
        <v>20773</v>
      </c>
      <c r="P4" s="2">
        <f>'Cash Flow statement '!H33</f>
        <v>-297</v>
      </c>
      <c r="Q4" s="19">
        <f t="shared" ref="Q4:Q6" si="0">(ABS(P4)/O4)*100</f>
        <v>1.4297405285707407</v>
      </c>
    </row>
    <row r="5" spans="1:19" x14ac:dyDescent="0.3">
      <c r="A5" t="s">
        <v>253</v>
      </c>
      <c r="B5" s="18">
        <v>0.1588</v>
      </c>
      <c r="C5" s="18">
        <v>0.15890000000000001</v>
      </c>
      <c r="D5" s="18">
        <v>0.159</v>
      </c>
      <c r="E5" s="18">
        <v>0.15909999999999999</v>
      </c>
      <c r="F5" s="18">
        <v>0.15920000000000001</v>
      </c>
      <c r="N5">
        <v>2023</v>
      </c>
      <c r="O5">
        <f>'Income Statement'!G6</f>
        <v>23713</v>
      </c>
      <c r="P5" s="2">
        <f>'Cash Flow statement '!I33</f>
        <v>-465</v>
      </c>
      <c r="Q5" s="19">
        <f t="shared" si="0"/>
        <v>1.960949690043436</v>
      </c>
    </row>
    <row r="6" spans="1:19" x14ac:dyDescent="0.3">
      <c r="A6" t="s">
        <v>254</v>
      </c>
      <c r="B6">
        <v>0.76</v>
      </c>
      <c r="C6" s="2">
        <v>0.7</v>
      </c>
      <c r="D6" s="2">
        <v>0.7</v>
      </c>
      <c r="E6">
        <v>0.65</v>
      </c>
      <c r="F6">
        <v>0.65</v>
      </c>
      <c r="N6">
        <v>2024</v>
      </c>
      <c r="O6" s="21">
        <f>Table4[[#This Row],[FY 2024]]</f>
        <v>25100</v>
      </c>
      <c r="P6" s="2">
        <f>'Cash Flow statement '!J33</f>
        <v>-734</v>
      </c>
      <c r="Q6" s="19">
        <f t="shared" si="0"/>
        <v>2.9243027888446216</v>
      </c>
    </row>
    <row r="7" spans="1:19" x14ac:dyDescent="0.3">
      <c r="A7" t="s">
        <v>255</v>
      </c>
      <c r="B7" s="18">
        <v>2.4E-2</v>
      </c>
      <c r="C7" s="18">
        <v>2.35E-2</v>
      </c>
      <c r="D7" s="18">
        <v>2.3E-2</v>
      </c>
      <c r="E7" s="18">
        <v>2.2499999999999999E-2</v>
      </c>
      <c r="F7" s="18">
        <v>2.1999999999999999E-2</v>
      </c>
      <c r="P7" s="1" t="s">
        <v>256</v>
      </c>
    </row>
    <row r="8" spans="1:19" x14ac:dyDescent="0.3">
      <c r="A8" t="s">
        <v>256</v>
      </c>
      <c r="B8" s="4">
        <v>3.0000000000000001E-3</v>
      </c>
      <c r="C8" s="4">
        <v>3.0000000000000001E-3</v>
      </c>
      <c r="D8" s="4">
        <v>3.0000000000000001E-3</v>
      </c>
      <c r="E8" s="4">
        <v>3.0000000000000001E-3</v>
      </c>
      <c r="F8" s="4">
        <v>3.0000000000000001E-3</v>
      </c>
      <c r="N8" t="s">
        <v>265</v>
      </c>
      <c r="O8" s="15" t="s">
        <v>5</v>
      </c>
      <c r="P8" s="15" t="s">
        <v>6</v>
      </c>
      <c r="Q8" s="15" t="s">
        <v>7</v>
      </c>
      <c r="R8" s="15" t="s">
        <v>8</v>
      </c>
      <c r="S8" s="16" t="s">
        <v>9</v>
      </c>
    </row>
    <row r="9" spans="1:19" x14ac:dyDescent="0.3">
      <c r="A9" t="s">
        <v>257</v>
      </c>
      <c r="B9" s="18">
        <v>0.2445</v>
      </c>
      <c r="C9" s="18">
        <v>0.2445</v>
      </c>
      <c r="D9" s="18">
        <v>0.2445</v>
      </c>
      <c r="E9" s="18">
        <v>0.2445</v>
      </c>
      <c r="F9" s="18">
        <v>0.2445</v>
      </c>
      <c r="N9" t="s">
        <v>266</v>
      </c>
      <c r="O9" s="2">
        <f>'Balance Sheet'!G22</f>
        <v>2825</v>
      </c>
      <c r="P9" s="2">
        <f>'Balance Sheet'!H22</f>
        <v>3626</v>
      </c>
      <c r="Q9" s="2">
        <f>'Balance Sheet'!I22</f>
        <v>3313</v>
      </c>
      <c r="R9" s="2">
        <f>'Balance Sheet'!J22</f>
        <v>3311</v>
      </c>
      <c r="S9" s="2">
        <f>'Balance Sheet'!K22</f>
        <v>3485</v>
      </c>
    </row>
    <row r="10" spans="1:19" x14ac:dyDescent="0.3">
      <c r="N10" t="s">
        <v>267</v>
      </c>
      <c r="O10" s="2">
        <f>'Balance Sheet'!G56</f>
        <v>5752</v>
      </c>
      <c r="P10" s="2">
        <f>'Balance Sheet'!H56</f>
        <v>6407</v>
      </c>
      <c r="Q10" s="2">
        <f>'Balance Sheet'!I56</f>
        <v>7339</v>
      </c>
      <c r="R10" s="2">
        <f>'Balance Sheet'!J56</f>
        <v>7762</v>
      </c>
      <c r="S10" s="2">
        <f>'Balance Sheet'!K56</f>
        <v>8649</v>
      </c>
    </row>
    <row r="11" spans="1:19" x14ac:dyDescent="0.3">
      <c r="N11" t="s">
        <v>268</v>
      </c>
      <c r="O11" s="2">
        <f>O9-O10</f>
        <v>-2927</v>
      </c>
      <c r="P11" s="2">
        <f>P9-P10</f>
        <v>-2781</v>
      </c>
      <c r="Q11" s="2">
        <f>Q9-Q10</f>
        <v>-4026</v>
      </c>
      <c r="R11" s="2">
        <f>R9-R10</f>
        <v>-4451</v>
      </c>
      <c r="S11" s="2">
        <f>S9-S10</f>
        <v>-5164</v>
      </c>
    </row>
    <row r="12" spans="1:19" x14ac:dyDescent="0.3">
      <c r="N12" t="s">
        <v>269</v>
      </c>
      <c r="P12" s="2">
        <f>P11-O11</f>
        <v>146</v>
      </c>
      <c r="Q12" s="2">
        <f>Q11-P11</f>
        <v>-1245</v>
      </c>
      <c r="R12" s="2">
        <f>R11-Q11</f>
        <v>-425</v>
      </c>
      <c r="S12" s="2">
        <f>S11-R11</f>
        <v>-713</v>
      </c>
    </row>
    <row r="15" spans="1:19" x14ac:dyDescent="0.3">
      <c r="O15" s="23"/>
      <c r="P15" s="23" t="s">
        <v>270</v>
      </c>
    </row>
    <row r="16" spans="1:19" x14ac:dyDescent="0.3">
      <c r="N16" t="s">
        <v>272</v>
      </c>
      <c r="O16" t="s">
        <v>271</v>
      </c>
      <c r="P16" t="s">
        <v>0</v>
      </c>
      <c r="Q16" t="s">
        <v>270</v>
      </c>
    </row>
    <row r="17" spans="1:18" x14ac:dyDescent="0.3">
      <c r="N17">
        <v>2021</v>
      </c>
      <c r="O17" s="2">
        <f>P12</f>
        <v>146</v>
      </c>
      <c r="P17">
        <f>'Income Statement'!E6</f>
        <v>13857</v>
      </c>
      <c r="Q17" s="2">
        <f>O17/P17*100</f>
        <v>1.0536191094753555</v>
      </c>
    </row>
    <row r="18" spans="1:18" x14ac:dyDescent="0.3">
      <c r="N18">
        <v>2022</v>
      </c>
      <c r="O18" s="2">
        <f>Q12</f>
        <v>-1245</v>
      </c>
      <c r="P18">
        <f>'Income Statement'!F6</f>
        <v>20773</v>
      </c>
      <c r="Q18" s="2">
        <f>O18/P18*100</f>
        <v>-5.9933567611803777</v>
      </c>
    </row>
    <row r="19" spans="1:18" x14ac:dyDescent="0.3">
      <c r="N19">
        <v>2023</v>
      </c>
      <c r="O19" s="2">
        <f>R12</f>
        <v>-425</v>
      </c>
      <c r="P19">
        <f>'Income Statement'!G6</f>
        <v>23713</v>
      </c>
      <c r="Q19" s="2">
        <f>O19/P19*100</f>
        <v>-1.7922658457386245</v>
      </c>
    </row>
    <row r="20" spans="1:18" x14ac:dyDescent="0.3">
      <c r="A20" t="s">
        <v>280</v>
      </c>
      <c r="B20" t="s">
        <v>281</v>
      </c>
      <c r="N20">
        <v>2024</v>
      </c>
      <c r="O20" s="2">
        <f>S12</f>
        <v>-713</v>
      </c>
      <c r="P20">
        <f>'Income Statement'!H6</f>
        <v>25100</v>
      </c>
      <c r="Q20" s="2">
        <f>O20/P20*100</f>
        <v>-2.8406374501992033</v>
      </c>
    </row>
    <row r="21" spans="1:18" x14ac:dyDescent="0.3">
      <c r="A21" t="s">
        <v>258</v>
      </c>
      <c r="B21" s="18">
        <f>('Income Statement'!G7+'Income Statement'!H7)/2</f>
        <v>0.10001049675883789</v>
      </c>
    </row>
    <row r="22" spans="1:18" x14ac:dyDescent="0.3">
      <c r="A22" t="s">
        <v>234</v>
      </c>
      <c r="B22" s="4">
        <f>('Income Statement'!G73+'Income Statement'!H73)/2</f>
        <v>0.18056540926077663</v>
      </c>
      <c r="P22" s="1" t="s">
        <v>257</v>
      </c>
    </row>
    <row r="23" spans="1:18" x14ac:dyDescent="0.3">
      <c r="A23" t="s">
        <v>259</v>
      </c>
      <c r="B23" s="4">
        <f>('Income Statement'!G76+'Income Statement'!H76)/2</f>
        <v>0.15880707927787857</v>
      </c>
      <c r="N23" t="s">
        <v>272</v>
      </c>
      <c r="O23" t="s">
        <v>276</v>
      </c>
      <c r="P23" t="s">
        <v>277</v>
      </c>
      <c r="Q23" t="s">
        <v>278</v>
      </c>
      <c r="R23" t="s">
        <v>279</v>
      </c>
    </row>
    <row r="24" spans="1:18" x14ac:dyDescent="0.3">
      <c r="A24" t="s">
        <v>254</v>
      </c>
      <c r="B24" s="19">
        <f>('Income Statement'!G20+'Income Statement'!H20)/2</f>
        <v>0.76305741483944034</v>
      </c>
      <c r="N24" t="s">
        <v>273</v>
      </c>
      <c r="O24" s="2">
        <f>'Income Statement'!E41</f>
        <v>81</v>
      </c>
      <c r="P24" s="2">
        <f>'Income Statement'!F41</f>
        <v>756</v>
      </c>
      <c r="Q24" s="2">
        <f>'Income Statement'!G41</f>
        <v>295</v>
      </c>
      <c r="R24" s="2">
        <f>'Income Statement'!H41</f>
        <v>776</v>
      </c>
    </row>
    <row r="25" spans="1:18" x14ac:dyDescent="0.3">
      <c r="A25" t="s">
        <v>264</v>
      </c>
      <c r="B25" s="22">
        <f>(Q5+Q6)/2</f>
        <v>2.4426262394440288</v>
      </c>
      <c r="N25" t="s">
        <v>274</v>
      </c>
      <c r="O25" s="2">
        <f>'Income Statement'!E40</f>
        <v>1180</v>
      </c>
      <c r="P25" s="2">
        <f>'Income Statement'!F40</f>
        <v>3114</v>
      </c>
      <c r="Q25" s="2">
        <f>'Income Statement'!G40</f>
        <v>3378</v>
      </c>
      <c r="R25" s="2">
        <f>'Income Statement'!H40</f>
        <v>3151</v>
      </c>
    </row>
    <row r="26" spans="1:18" x14ac:dyDescent="0.3">
      <c r="A26" t="s">
        <v>256</v>
      </c>
      <c r="B26" s="18">
        <v>3.0000000000000001E-3</v>
      </c>
      <c r="N26" t="s">
        <v>275</v>
      </c>
      <c r="O26" s="2">
        <f>(O24/O25)*100</f>
        <v>6.8644067796610173</v>
      </c>
      <c r="P26" s="2">
        <f t="shared" ref="P26:R26" si="1">(P24/P25)*100</f>
        <v>24.277456647398843</v>
      </c>
      <c r="Q26" s="2">
        <f t="shared" si="1"/>
        <v>8.7329780935464765</v>
      </c>
      <c r="R26" s="2">
        <f t="shared" si="1"/>
        <v>24.627102507140592</v>
      </c>
    </row>
    <row r="27" spans="1:18" x14ac:dyDescent="0.3">
      <c r="A27" t="s">
        <v>257</v>
      </c>
      <c r="B27" s="19">
        <f>(P26+R26)/2</f>
        <v>24.452279577269717</v>
      </c>
    </row>
  </sheetData>
  <phoneticPr fontId="6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509A-7EFA-431A-8478-0EF505C04612}">
  <dimension ref="A1:F10"/>
  <sheetViews>
    <sheetView workbookViewId="0">
      <selection activeCell="B1" sqref="B1"/>
    </sheetView>
  </sheetViews>
  <sheetFormatPr defaultRowHeight="14.4" x14ac:dyDescent="0.3"/>
  <cols>
    <col min="1" max="1" width="31" bestFit="1" customWidth="1"/>
    <col min="2" max="2" width="9.5546875" bestFit="1" customWidth="1"/>
  </cols>
  <sheetData>
    <row r="1" spans="1:6" x14ac:dyDescent="0.3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</row>
    <row r="2" spans="1:6" x14ac:dyDescent="0.3">
      <c r="A2" t="s">
        <v>0</v>
      </c>
      <c r="B2" s="2">
        <f>'Income Statement'!H6*(1+Assumptions!B3)</f>
        <v>27610.000000000004</v>
      </c>
      <c r="C2">
        <f>B2*(1+Assumptions!C3)</f>
        <v>30232.950000000004</v>
      </c>
      <c r="D2">
        <f>C2*(1+Assumptions!D3)</f>
        <v>32953.91550000001</v>
      </c>
      <c r="E2" s="2">
        <f>D2*(1+Assumptions!E3)</f>
        <v>35754.998317500009</v>
      </c>
      <c r="F2" s="2">
        <f>E2*(1+Assumptions!F3)</f>
        <v>38615.398182900011</v>
      </c>
    </row>
    <row r="3" spans="1:6" x14ac:dyDescent="0.3">
      <c r="A3" t="s">
        <v>1</v>
      </c>
      <c r="B3" s="2">
        <f>B2*Assumptions!B4</f>
        <v>4986.3660000000009</v>
      </c>
      <c r="C3" s="2">
        <f>C2*Assumptions!C4</f>
        <v>5463.0940650000011</v>
      </c>
      <c r="D3" s="2">
        <f>D2*Assumptions!D4</f>
        <v>5958.0679224000014</v>
      </c>
      <c r="E3" s="2">
        <f>E2*Assumptions!E4</f>
        <v>6468.0791956357516</v>
      </c>
      <c r="F3" s="2">
        <f>F2*Assumptions!F4</f>
        <v>6989.3870711049021</v>
      </c>
    </row>
    <row r="4" spans="1:6" x14ac:dyDescent="0.3">
      <c r="A4" t="s">
        <v>288</v>
      </c>
      <c r="B4" s="2">
        <f>B2*Assumptions!B5</f>
        <v>4384.4680000000008</v>
      </c>
      <c r="C4" s="2">
        <f>C2*Assumptions!C5</f>
        <v>4804.0157550000013</v>
      </c>
      <c r="D4" s="2">
        <f>D2*Assumptions!D5</f>
        <v>5239.6725645000015</v>
      </c>
      <c r="E4" s="2">
        <f>E2*Assumptions!E5</f>
        <v>5688.6202323142516</v>
      </c>
      <c r="F4" s="2">
        <f>F2*Assumptions!F5</f>
        <v>6147.5713907176823</v>
      </c>
    </row>
    <row r="5" spans="1:6" x14ac:dyDescent="0.3">
      <c r="A5" t="s">
        <v>294</v>
      </c>
      <c r="B5" s="2">
        <f>B4*Assumptions!B9</f>
        <v>1072.0024260000002</v>
      </c>
      <c r="C5" s="2">
        <f>C4*Assumptions!C9</f>
        <v>1174.5818520975004</v>
      </c>
      <c r="D5" s="2">
        <f>D4*Assumptions!D9</f>
        <v>1281.0999420202504</v>
      </c>
      <c r="E5" s="2">
        <f>E4*Assumptions!E9</f>
        <v>1390.8676468008346</v>
      </c>
      <c r="F5" s="2">
        <f>F4*Assumptions!F9</f>
        <v>1503.0812050304733</v>
      </c>
    </row>
    <row r="6" spans="1:6" x14ac:dyDescent="0.3">
      <c r="A6" t="s">
        <v>289</v>
      </c>
      <c r="B6" s="2">
        <f>B4-B5</f>
        <v>3312.4655740000007</v>
      </c>
      <c r="C6" s="2">
        <f t="shared" ref="C6:F6" si="0">C4-C5</f>
        <v>3629.4339029025009</v>
      </c>
      <c r="D6" s="2">
        <f>D4-D5</f>
        <v>3958.5726224797509</v>
      </c>
      <c r="E6" s="2">
        <f t="shared" si="0"/>
        <v>4297.7525855134172</v>
      </c>
      <c r="F6" s="2">
        <f t="shared" si="0"/>
        <v>4644.4901856872093</v>
      </c>
    </row>
    <row r="7" spans="1:6" x14ac:dyDescent="0.3">
      <c r="A7" t="s">
        <v>290</v>
      </c>
      <c r="B7" s="2">
        <f>B2*0.0076</f>
        <v>209.83600000000004</v>
      </c>
      <c r="C7" s="2">
        <f>C2*0.007</f>
        <v>211.63065000000003</v>
      </c>
      <c r="D7" s="2">
        <f>D2*0.007</f>
        <v>230.67740850000007</v>
      </c>
      <c r="E7" s="2">
        <f>E2*0.0065</f>
        <v>232.40748906375003</v>
      </c>
      <c r="F7" s="2">
        <f>F2*0.0065</f>
        <v>251.00008818885007</v>
      </c>
    </row>
    <row r="8" spans="1:6" x14ac:dyDescent="0.3">
      <c r="A8" t="s">
        <v>291</v>
      </c>
      <c r="B8" s="2">
        <f>B2*Assumptions!B7</f>
        <v>662.6400000000001</v>
      </c>
      <c r="C8" s="2">
        <f>C2*Assumptions!C7</f>
        <v>710.47432500000014</v>
      </c>
      <c r="D8" s="2">
        <f>D2*Assumptions!D7</f>
        <v>757.9400565000002</v>
      </c>
      <c r="E8" s="2">
        <f>E2*Assumptions!E7</f>
        <v>804.48746214375012</v>
      </c>
      <c r="F8" s="2">
        <f>F2*Assumptions!F7</f>
        <v>849.53876002380025</v>
      </c>
    </row>
    <row r="9" spans="1:6" x14ac:dyDescent="0.3">
      <c r="A9" t="s">
        <v>292</v>
      </c>
      <c r="B9" s="2">
        <f>B2*Assumptions!B8</f>
        <v>82.830000000000013</v>
      </c>
      <c r="C9" s="2">
        <f>C2*Assumptions!C8</f>
        <v>90.698850000000022</v>
      </c>
      <c r="D9" s="2">
        <f>D2*Assumptions!D8</f>
        <v>98.861746500000038</v>
      </c>
      <c r="E9" s="2">
        <f>E2*Assumptions!E8</f>
        <v>107.26499495250003</v>
      </c>
      <c r="F9" s="2">
        <f>F2*Assumptions!F8</f>
        <v>115.84619454870004</v>
      </c>
    </row>
    <row r="10" spans="1:6" x14ac:dyDescent="0.3">
      <c r="A10" t="s">
        <v>293</v>
      </c>
      <c r="B10" s="2">
        <f>B6+B7-B8-B9</f>
        <v>2776.8315740000007</v>
      </c>
      <c r="C10" s="2">
        <f>C6+C7-C8-C9</f>
        <v>3039.8913779025006</v>
      </c>
      <c r="D10" s="2">
        <f t="shared" ref="D10:E10" si="1">D6+D7-D8-D9</f>
        <v>3332.4482279797503</v>
      </c>
      <c r="E10" s="2">
        <f t="shared" si="1"/>
        <v>3618.4076174809175</v>
      </c>
      <c r="F10" s="2">
        <f>F6+F7-F8-F9</f>
        <v>3930.1053193035591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689E-795A-4F1D-9FC2-642C65B0C82D}">
  <dimension ref="A1:O33"/>
  <sheetViews>
    <sheetView topLeftCell="A16" workbookViewId="0">
      <selection activeCell="B5" sqref="B5"/>
    </sheetView>
  </sheetViews>
  <sheetFormatPr defaultRowHeight="14.4" x14ac:dyDescent="0.3"/>
  <cols>
    <col min="1" max="1" width="17.21875" bestFit="1" customWidth="1"/>
    <col min="2" max="6" width="12" bestFit="1" customWidth="1"/>
    <col min="7" max="7" width="20.21875" bestFit="1" customWidth="1"/>
    <col min="8" max="8" width="3.88671875" customWidth="1"/>
    <col min="9" max="9" width="3.77734375" customWidth="1"/>
    <col min="10" max="10" width="3.5546875" customWidth="1"/>
    <col min="11" max="11" width="53.33203125" bestFit="1" customWidth="1"/>
    <col min="12" max="12" width="10.33203125" bestFit="1" customWidth="1"/>
    <col min="15" max="15" width="10" bestFit="1" customWidth="1"/>
    <col min="18" max="18" width="9.5546875" bestFit="1" customWidth="1"/>
  </cols>
  <sheetData>
    <row r="1" spans="1:15" x14ac:dyDescent="0.3">
      <c r="A1" t="s">
        <v>295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296</v>
      </c>
    </row>
    <row r="2" spans="1:15" x14ac:dyDescent="0.3">
      <c r="A2" t="s">
        <v>297</v>
      </c>
      <c r="B2" s="2">
        <v>2776.8315740000007</v>
      </c>
      <c r="C2" s="2">
        <v>3039.8913779025006</v>
      </c>
      <c r="D2" s="2">
        <v>3332.4482279797503</v>
      </c>
      <c r="E2" s="2">
        <v>3618.4076174809175</v>
      </c>
      <c r="F2" s="2">
        <v>3930.1053193035591</v>
      </c>
      <c r="G2" s="2">
        <f>F2*(1+B10)/B9-B10</f>
        <v>49380.508923490088</v>
      </c>
      <c r="O2" s="18">
        <f>O3+O5*O7</f>
        <v>9.3274999999999997E-2</v>
      </c>
    </row>
    <row r="3" spans="1:15" x14ac:dyDescent="0.3">
      <c r="A3" t="s">
        <v>298</v>
      </c>
      <c r="B3" s="26">
        <f>1/(1+B9)</f>
        <v>0.92457514449736744</v>
      </c>
      <c r="C3" s="26">
        <f>1/(1+B9)^2</f>
        <v>0.85483919782232787</v>
      </c>
      <c r="D3" s="26">
        <f>1/(1+B9)^3</f>
        <v>0.79036307484859247</v>
      </c>
      <c r="E3" s="26">
        <f>1/(1+B9)^4</f>
        <v>0.7307500541335209</v>
      </c>
      <c r="F3" s="26">
        <f>1/(1+B9)^5</f>
        <v>0.67563333689195915</v>
      </c>
      <c r="G3" s="2">
        <f>G2*F3</f>
        <v>33363.118021400776</v>
      </c>
      <c r="K3" s="1"/>
      <c r="O3" s="4">
        <v>4.0099999999999997E-2</v>
      </c>
    </row>
    <row r="4" spans="1:15" x14ac:dyDescent="0.3">
      <c r="A4" t="s">
        <v>299</v>
      </c>
      <c r="B4" s="2">
        <f>B2*B3</f>
        <v>2567.3894537759029</v>
      </c>
      <c r="C4" s="2">
        <f t="shared" ref="C4:F4" si="0">C2*C3</f>
        <v>2598.6183069531844</v>
      </c>
      <c r="D4" s="2">
        <f t="shared" si="0"/>
        <v>2633.8440282398187</v>
      </c>
      <c r="E4" s="2">
        <f t="shared" si="0"/>
        <v>2644.1515623513246</v>
      </c>
      <c r="F4" s="2">
        <f t="shared" si="0"/>
        <v>2655.3101712179023</v>
      </c>
    </row>
    <row r="5" spans="1:15" x14ac:dyDescent="0.3">
      <c r="A5" t="s">
        <v>312</v>
      </c>
      <c r="B5" s="2">
        <f>B4+C4+D4+E4+F4</f>
        <v>13099.313522538134</v>
      </c>
      <c r="K5" s="1"/>
      <c r="O5">
        <v>1.4179999999999999</v>
      </c>
    </row>
    <row r="6" spans="1:15" x14ac:dyDescent="0.3">
      <c r="B6" s="2"/>
      <c r="K6" s="1"/>
    </row>
    <row r="7" spans="1:15" x14ac:dyDescent="0.3">
      <c r="B7" s="2"/>
      <c r="K7" s="1"/>
      <c r="O7" s="4">
        <v>3.7499999999999999E-2</v>
      </c>
    </row>
    <row r="8" spans="1:15" x14ac:dyDescent="0.3">
      <c r="A8" t="s">
        <v>319</v>
      </c>
      <c r="B8" t="s">
        <v>320</v>
      </c>
    </row>
    <row r="9" spans="1:15" x14ac:dyDescent="0.3">
      <c r="A9" t="s">
        <v>310</v>
      </c>
      <c r="B9" s="29">
        <f>(0.7938*9.31%)+(0.2062*4.93%*(1-0.245))</f>
        <v>8.1577853300000003E-2</v>
      </c>
    </row>
    <row r="10" spans="1:15" x14ac:dyDescent="0.3">
      <c r="A10" t="s">
        <v>311</v>
      </c>
      <c r="B10" s="18">
        <v>2.5000000000000001E-2</v>
      </c>
    </row>
    <row r="12" spans="1:15" x14ac:dyDescent="0.3">
      <c r="A12" s="30" t="s">
        <v>318</v>
      </c>
      <c r="B12" s="30" t="s">
        <v>313</v>
      </c>
    </row>
    <row r="13" spans="1:15" x14ac:dyDescent="0.3">
      <c r="A13" t="s">
        <v>314</v>
      </c>
      <c r="B13" s="2">
        <f>B5+G3</f>
        <v>46462.43154393891</v>
      </c>
    </row>
    <row r="14" spans="1:15" x14ac:dyDescent="0.3">
      <c r="A14" t="s">
        <v>315</v>
      </c>
      <c r="B14" s="2">
        <f>'Balance Sheet'!K58-'Balance Sheet'!K8</f>
        <v>14949</v>
      </c>
    </row>
    <row r="15" spans="1:15" x14ac:dyDescent="0.3">
      <c r="A15" t="s">
        <v>316</v>
      </c>
      <c r="B15" s="2">
        <f>B13-B14</f>
        <v>31513.43154393891</v>
      </c>
    </row>
    <row r="16" spans="1:15" x14ac:dyDescent="0.3">
      <c r="A16" t="s">
        <v>317</v>
      </c>
      <c r="B16" s="2">
        <f>B15/'Balance Sheet'!K88</f>
        <v>113.89024771933109</v>
      </c>
    </row>
    <row r="19" spans="1:3" x14ac:dyDescent="0.3">
      <c r="A19" t="s">
        <v>318</v>
      </c>
      <c r="B19" t="s">
        <v>279</v>
      </c>
      <c r="C19" t="s">
        <v>278</v>
      </c>
    </row>
    <row r="20" spans="1:3" x14ac:dyDescent="0.3">
      <c r="A20" t="s">
        <v>300</v>
      </c>
      <c r="B20" s="2">
        <f>'Income Statement'!H25</f>
        <v>695</v>
      </c>
    </row>
    <row r="21" spans="1:3" x14ac:dyDescent="0.3">
      <c r="A21" t="s">
        <v>301</v>
      </c>
      <c r="B21" s="2">
        <f>'Balance Sheet'!K58</f>
        <v>15345</v>
      </c>
      <c r="C21" s="2">
        <f>'Balance Sheet'!J58</f>
        <v>12865</v>
      </c>
    </row>
    <row r="22" spans="1:3" x14ac:dyDescent="0.3">
      <c r="A22" t="s">
        <v>302</v>
      </c>
      <c r="B22">
        <f>(B21+C21)/2</f>
        <v>14105</v>
      </c>
    </row>
    <row r="25" spans="1:3" x14ac:dyDescent="0.3">
      <c r="A25" t="s">
        <v>303</v>
      </c>
      <c r="B25" s="4">
        <f>B20/B22</f>
        <v>4.9273307337823466E-2</v>
      </c>
    </row>
    <row r="27" spans="1:3" x14ac:dyDescent="0.3">
      <c r="A27" t="s">
        <v>304</v>
      </c>
      <c r="B27" s="28">
        <f>B28+B29</f>
        <v>74435</v>
      </c>
    </row>
    <row r="28" spans="1:3" x14ac:dyDescent="0.3">
      <c r="A28" t="s">
        <v>305</v>
      </c>
      <c r="B28" s="27">
        <v>59090</v>
      </c>
    </row>
    <row r="29" spans="1:3" x14ac:dyDescent="0.3">
      <c r="A29" t="s">
        <v>306</v>
      </c>
      <c r="B29" s="2">
        <f>'Balance Sheet'!K58</f>
        <v>15345</v>
      </c>
    </row>
    <row r="31" spans="1:3" x14ac:dyDescent="0.3">
      <c r="A31" t="s">
        <v>307</v>
      </c>
    </row>
    <row r="32" spans="1:3" x14ac:dyDescent="0.3">
      <c r="A32" t="s">
        <v>308</v>
      </c>
      <c r="B32" s="4">
        <f>B28/B27</f>
        <v>0.79384698058708936</v>
      </c>
    </row>
    <row r="33" spans="1:2" x14ac:dyDescent="0.3">
      <c r="A33" t="s">
        <v>309</v>
      </c>
      <c r="B33" s="4">
        <f>B29/B27</f>
        <v>0.20615301941291059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3B38-CB1A-4B93-8942-D0CFAEA27D16}">
  <dimension ref="A1:B8"/>
  <sheetViews>
    <sheetView workbookViewId="0">
      <selection activeCell="F7" sqref="F7"/>
    </sheetView>
  </sheetViews>
  <sheetFormatPr defaultRowHeight="14.4" x14ac:dyDescent="0.3"/>
  <cols>
    <col min="1" max="1" width="30.5546875" bestFit="1" customWidth="1"/>
    <col min="2" max="2" width="13.33203125" bestFit="1" customWidth="1"/>
  </cols>
  <sheetData>
    <row r="1" spans="1:2" x14ac:dyDescent="0.3">
      <c r="A1" t="s">
        <v>321</v>
      </c>
      <c r="B1" t="s">
        <v>322</v>
      </c>
    </row>
    <row r="2" spans="1:2" x14ac:dyDescent="0.3">
      <c r="A2" t="s">
        <v>323</v>
      </c>
      <c r="B2" s="2">
        <f>'DCF Valuation'!B5</f>
        <v>13099.313522538134</v>
      </c>
    </row>
    <row r="3" spans="1:2" x14ac:dyDescent="0.3">
      <c r="A3" t="s">
        <v>324</v>
      </c>
      <c r="B3" s="2">
        <f>Table21[[#This Row],[Terminal Value]]</f>
        <v>33363.118021400776</v>
      </c>
    </row>
    <row r="4" spans="1:2" x14ac:dyDescent="0.3">
      <c r="A4" t="s">
        <v>325</v>
      </c>
      <c r="B4" s="2">
        <f>'DCF Valuation'!B13</f>
        <v>46462.43154393891</v>
      </c>
    </row>
    <row r="5" spans="1:2" x14ac:dyDescent="0.3">
      <c r="A5" t="s">
        <v>326</v>
      </c>
      <c r="B5" s="2">
        <f>'DCF Valuation'!B14</f>
        <v>14949</v>
      </c>
    </row>
    <row r="6" spans="1:2" x14ac:dyDescent="0.3">
      <c r="A6" t="s">
        <v>316</v>
      </c>
      <c r="B6" s="2">
        <f>'DCF Valuation'!B15</f>
        <v>31513.43154393891</v>
      </c>
    </row>
    <row r="7" spans="1:2" x14ac:dyDescent="0.3">
      <c r="A7" t="s">
        <v>328</v>
      </c>
      <c r="B7" s="2">
        <f>'Balance Sheet'!K88</f>
        <v>276.7</v>
      </c>
    </row>
    <row r="8" spans="1:2" x14ac:dyDescent="0.3">
      <c r="A8" t="s">
        <v>327</v>
      </c>
      <c r="B8" s="2">
        <f>'DCF Valuation'!B16</f>
        <v>113.89024771933109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B67F-CDE5-4664-8A52-0C8924B18C28}">
  <dimension ref="A1:I8"/>
  <sheetViews>
    <sheetView workbookViewId="0">
      <selection activeCell="H17" sqref="H17"/>
    </sheetView>
  </sheetViews>
  <sheetFormatPr defaultRowHeight="14.4" x14ac:dyDescent="0.3"/>
  <cols>
    <col min="1" max="1" width="19.5546875" bestFit="1" customWidth="1"/>
    <col min="2" max="5" width="10.109375" customWidth="1"/>
    <col min="7" max="7" width="3.109375" customWidth="1"/>
    <col min="8" max="8" width="20.77734375" bestFit="1" customWidth="1"/>
    <col min="9" max="9" width="8.5546875" bestFit="1" customWidth="1"/>
  </cols>
  <sheetData>
    <row r="1" spans="1:9" x14ac:dyDescent="0.3">
      <c r="A1" s="1" t="s">
        <v>329</v>
      </c>
      <c r="B1" s="32">
        <v>0.02</v>
      </c>
      <c r="C1" s="33">
        <f>2.25/100</f>
        <v>2.2499999999999999E-2</v>
      </c>
      <c r="D1" s="33">
        <f>2.5/100</f>
        <v>2.5000000000000001E-2</v>
      </c>
      <c r="E1" s="33">
        <f>2.75/100</f>
        <v>2.75E-2</v>
      </c>
      <c r="F1" s="32">
        <f>3/100</f>
        <v>0.03</v>
      </c>
      <c r="G1" s="32"/>
      <c r="H1" t="s">
        <v>338</v>
      </c>
      <c r="I1" t="s">
        <v>313</v>
      </c>
    </row>
    <row r="2" spans="1:9" x14ac:dyDescent="0.3">
      <c r="A2" t="s">
        <v>310</v>
      </c>
      <c r="B2" s="34" t="s">
        <v>336</v>
      </c>
      <c r="C2" s="35" t="s">
        <v>333</v>
      </c>
      <c r="D2" s="35" t="s">
        <v>334</v>
      </c>
      <c r="E2" s="35" t="s">
        <v>335</v>
      </c>
      <c r="F2" s="34" t="s">
        <v>337</v>
      </c>
      <c r="G2" s="34"/>
      <c r="H2" t="s">
        <v>330</v>
      </c>
      <c r="I2" s="2">
        <f>Table21[[#This Row],[2029E]]</f>
        <v>3930.1053193035591</v>
      </c>
    </row>
    <row r="3" spans="1:9" x14ac:dyDescent="0.3">
      <c r="A3" s="4">
        <v>7.4999999999999997E-2</v>
      </c>
      <c r="B3" s="31">
        <f>IF(
   ISNUMBER($A3)*ISNUMBER(B$1)*(A3 &gt; B$1),
   (
     PV_FCFFs +
     ((FCFF_2029 * (1 + B$1)) / (A3 - B$1)) * (1 / ((1 + A3)^5))
     - Net_Debt
   ) / Shares_outstanding,
   NA()
)</f>
        <v>176.7958081065625</v>
      </c>
      <c r="C3" s="31">
        <f>IF(
   ISNUMBER($A3)*ISNUMBER(C$1)*($A3 &gt; C$1),
   (
     PV_FCFFs +
     ((FCFF_2029 * (1 + C$1)) / ($A3 - C$1)) * (1 / (1 + $A3)^5)
     - Net_Debt
   ) / Shares_outstanding,
   NA()
)</f>
        <v>186.00410235110337</v>
      </c>
      <c r="D3" s="31">
        <f>IF(
   ISNUMBER($A3)*ISNUMBER(D$1)*($A3 &gt; D$1),
   (
     PV_FCFFs +
     ((FCFF_2029 * (1 + D$1)) / ($A3 - D$1)) * (1 / (1 + $A3)^5)
     - Net_Debt
   ) / Shares_outstanding,
   NA()
)</f>
        <v>196.13322602009833</v>
      </c>
      <c r="E3" s="31">
        <f>IF(
   ISNUMBER($A3)*ISNUMBER(E$1)*($A3 &gt; E$1),
   (
     PV_FCFFs +
     ((FCFF_2029 * (1 + E$1)) / ($A3 - E$1)) * (1 / (1 + $A3)^5)
     - Net_Debt
   ) / Shares_outstanding,
   NA()
)</f>
        <v>207.32857323319809</v>
      </c>
      <c r="F3" s="31">
        <f>IF(
   ISNUMBER($A3)*ISNUMBER(F$1)*($A3 &gt; F$1),
   (
     PV_FCFFs +
     ((FCFF_2029 * (1 + F$1)) / ($A3 - F$1)) * (1 / (1 + $A3)^5)
     - Net_Debt
   ) / Shares_outstanding,
   NA()
)</f>
        <v>219.76784791442</v>
      </c>
      <c r="G3" s="31"/>
      <c r="H3" t="s">
        <v>331</v>
      </c>
      <c r="I3" s="2">
        <f>'DCF Valuation'!B5</f>
        <v>13099.313522538134</v>
      </c>
    </row>
    <row r="4" spans="1:9" x14ac:dyDescent="0.3">
      <c r="A4" s="4">
        <v>7.7499999999999999E-2</v>
      </c>
      <c r="B4" s="31">
        <f>IF(
   ISNUMBER($A4)*ISNUMBER(B$1)*(A4 &gt; B$1),
   (
     PV_FCFFs +
     ((FCFF_2029 * (1 + B$1)) / (A4 - B$1)) * (1 / ((1 + A4)^5))
     - Net_Debt
   ) / Shares_outstanding,
   NA()
)</f>
        <v>166.79181591803044</v>
      </c>
      <c r="C4" s="31">
        <f>IF(
   ISNUMBER($A4)*ISNUMBER(C$1)*($A4 &gt; C$1),
   (
     PV_FCFFs +
     ((FCFF_2029 * (1 + C$1)) / ($A4 - C$1)) * (1 / (1 + $A4)^5)
     - Net_Debt
   ) / Shares_outstanding,
   NA()
)</f>
        <v>175.12163154530882</v>
      </c>
      <c r="D4" s="31">
        <f>IF(
   ISNUMBER($A4)*ISNUMBER(D$1)*($A4 &gt; D$1),
   (
     PV_FCFFs +
     ((FCFF_2029 * (1 + D$1)) / ($A4 - D$1)) * (1 / (1 + $A4)^5)
     - Net_Debt
   ) / Shares_outstanding,
   NA()
)</f>
        <v>184.24476294661372</v>
      </c>
      <c r="E4" s="31">
        <f>IF(
   ISNUMBER($A4)*ISNUMBER(E$1)*($A4 &gt; E$1),
   (
     PV_FCFFs +
     ((FCFF_2029 * (1 + E$1)) / ($A4 - E$1)) * (1 / (1 + $A4)^5)
     - Net_Debt
   ) / Shares_outstanding,
   NA()
)</f>
        <v>194.28020748804914</v>
      </c>
      <c r="F4" s="31">
        <f>IF(
   ISNUMBER($A4)*ISNUMBER(F$1)*($A4 &gt; F$1),
   (
     PV_FCFFs +
     ((FCFF_2029 * (1 + F$1)) / ($A4 - F$1)) * (1 / (1 + $A4)^5)
     - Net_Debt
   ) / Shares_outstanding,
   NA()
)</f>
        <v>205.37201461279355</v>
      </c>
      <c r="G4" s="31"/>
      <c r="H4" t="s">
        <v>332</v>
      </c>
      <c r="I4" s="2">
        <f>'DCF Valuation'!B14</f>
        <v>14949</v>
      </c>
    </row>
    <row r="5" spans="1:9" x14ac:dyDescent="0.3">
      <c r="A5" s="4">
        <v>0.08</v>
      </c>
      <c r="B5" s="31">
        <f>IF(
   ISNUMBER($A5)*ISNUMBER(B$1)*(A5 &gt; B$1),
   (
     PV_FCFFs +
     ((FCFF_2029 * (1 + B$1)) / (A5 - B$1)) * (1 / ((1 + A5)^5))
     - Net_Debt
   ) / Shares_outstanding,
   NA()
)</f>
        <v>157.64833918209149</v>
      </c>
      <c r="C5" s="31">
        <f>IF(
   ISNUMBER($A5)*ISNUMBER(C$1)*($A5 &gt; C$1),
   (
     PV_FCFFs +
     ((FCFF_2029 * (1 + C$1)) / ($A5 - C$1)) * (1 / (1 + $A5)^5)
     - Net_Debt
   ) / Shares_outstanding,
   NA()
)</f>
        <v>165.21354802105338</v>
      </c>
      <c r="D5" s="31">
        <f>IF(
   ISNUMBER($A5)*ISNUMBER(D$1)*($A5 &gt; D$1),
   (
     PV_FCFFs +
     ((FCFF_2029 * (1 + D$1)) / ($A5 - D$1)) * (1 / (1 + $A5)^5)
     - Net_Debt
   ) / Shares_outstanding,
   NA()
)</f>
        <v>173.46650311810271</v>
      </c>
      <c r="E5" s="31">
        <f>IF(
   ISNUMBER($A5)*ISNUMBER(E$1)*($A5 &gt; E$1),
   (
     PV_FCFFs +
     ((FCFF_2029 * (1 + E$1)) / ($A5 - E$1)) * (1 / (1 + $A5)^5)
     - Net_Debt
   ) / Shares_outstanding,
   NA()
)</f>
        <v>182.50545393868066</v>
      </c>
      <c r="F5" s="31">
        <f>IF(
   ISNUMBER($A5)*ISNUMBER(F$1)*($A5 &gt; F$1),
   (
     PV_FCFFs +
     ((FCFF_2029 * (1 + F$1)) / ($A5 - F$1)) * (1 / (1 + $A5)^5)
     - Net_Debt
   ) / Shares_outstanding,
   NA()
)</f>
        <v>192.4482998413163</v>
      </c>
      <c r="G5" s="31"/>
      <c r="H5" t="s">
        <v>173</v>
      </c>
      <c r="I5" s="2">
        <f>'Balance Sheet'!K88</f>
        <v>276.7</v>
      </c>
    </row>
    <row r="6" spans="1:9" x14ac:dyDescent="0.3">
      <c r="A6" s="4">
        <v>8.2500000000000004E-2</v>
      </c>
      <c r="B6" s="31">
        <f>IF(
   ISNUMBER($A6)*ISNUMBER(B$1)*(A6 &gt; B$1),
   (
     PV_FCFFs +
     ((FCFF_2029 * (1 + B$1)) / (A6 - B$1)) * (1 / ((1 + A6)^5))
     - Net_Debt
   ) / Shares_outstanding,
   NA()
)</f>
        <v>149.26170127281966</v>
      </c>
      <c r="C6" s="31">
        <f>IF(
   ISNUMBER($A6)*ISNUMBER(C$1)*($A6 &gt; C$1),
   (
     PV_FCFFs +
     ((FCFF_2029 * (1 + C$1)) / ($A6 - C$1)) * (1 / (1 + $A6)^5)
     - Net_Debt
   ) / Shares_outstanding,
   NA()
)</f>
        <v>156.15762025542398</v>
      </c>
      <c r="D6" s="31">
        <f>IF(
   ISNUMBER($A6)*ISNUMBER(D$1)*($A6 &gt; D$1),
   (
     PV_FCFFs +
     ((FCFF_2029 * (1 + D$1)) / ($A6 - D$1)) * (1 / (1 + $A6)^5)
     - Net_Debt
   ) / Shares_outstanding,
   NA()
)</f>
        <v>163.65318436695037</v>
      </c>
      <c r="E6" s="31">
        <f>IF(
   ISNUMBER($A6)*ISNUMBER(E$1)*($A6 &gt; E$1),
   (
     PV_FCFFs +
     ((FCFF_2029 * (1 + E$1)) / ($A6 - E$1)) * (1 / (1 + $A6)^5)
     - Net_Debt
   ) / Shares_outstanding,
   NA()
)</f>
        <v>171.83016339770651</v>
      </c>
      <c r="F6" s="31">
        <f>IF(
   ISNUMBER($A6)*ISNUMBER(F$1)*($A6 &gt; F$1),
   (
     PV_FCFFs +
     ((FCFF_2029 * (1 + F$1)) / ($A6 - F$1)) * (1 / (1 + $A6)^5)
     - Net_Debt
   ) / Shares_outstanding,
   NA()
)</f>
        <v>180.78590233615367</v>
      </c>
      <c r="G6" s="31"/>
    </row>
    <row r="7" spans="1:9" x14ac:dyDescent="0.3">
      <c r="A7" s="4">
        <v>8.5000000000000006E-2</v>
      </c>
      <c r="B7" s="31">
        <f>IF(
   ISNUMBER($A7)*ISNUMBER(B$1)*(A7 &gt; B$1),
   (
     PV_FCFFs +
     ((FCFF_2029 * (1 + B$1)) / (A7 - B$1)) * (1 / ((1 + A7)^5))
     - Net_Debt
   ) / Shares_outstanding,
   NA()
)</f>
        <v>141.54418313209175</v>
      </c>
      <c r="C7" s="31">
        <f>IF(
   ISNUMBER($A7)*ISNUMBER(C$1)*($A7 &gt; C$1),
   (
     PV_FCFFs +
     ((FCFF_2029 * (1 + C$1)) / ($A7 - C$1)) * (1 / (1 + $A7)^5)
     - Net_Debt
   ) / Shares_outstanding,
   NA()
)</f>
        <v>147.85118139819309</v>
      </c>
      <c r="D7" s="31">
        <f>IF(
   ISNUMBER($A7)*ISNUMBER(D$1)*($A7 &gt; D$1),
   (
     PV_FCFFs +
     ((FCFF_2029 * (1 + D$1)) / ($A7 - D$1)) * (1 / (1 + $A7)^5)
     - Net_Debt
   ) / Shares_outstanding,
   NA()
)</f>
        <v>154.68376285313619</v>
      </c>
      <c r="E7" s="31">
        <f>IF(
   ISNUMBER($A7)*ISNUMBER(E$1)*($A7 &gt; E$1),
   (
     PV_FCFFs +
     ((FCFF_2029 * (1 + E$1)) / ($A7 - E$1)) * (1 / (1 + $A7)^5)
     - Net_Debt
   ) / Shares_outstanding,
   NA()
)</f>
        <v>162.11048182590045</v>
      </c>
      <c r="F7" s="31">
        <f>IF(
   ISNUMBER($A7)*ISNUMBER(F$1)*($A7 &gt; F$1),
   (
     PV_FCFFs +
     ((FCFF_2029 * (1 + F$1)) / ($A7 - F$1)) * (1 / (1 + $A7)^5)
     - Net_Debt
   ) / Shares_outstanding,
   NA()
)</f>
        <v>170.21235706891602</v>
      </c>
      <c r="G7" s="31"/>
    </row>
    <row r="8" spans="1:9" x14ac:dyDescent="0.3">
      <c r="A8" s="4">
        <v>0.09</v>
      </c>
      <c r="B8" s="31">
        <f>IF(
   ISNUMBER($A8)*ISNUMBER(B$1)*(A8 &gt; B$1),
   (
     PV_FCFFs +
     ((FCFF_2029 * (1 + B$1)) / (A8 - B$1)) * (1 / ((1 + A8)^5))
     - Net_Debt
   ) / Shares_outstanding,
   NA()
)</f>
        <v>127.82831953227333</v>
      </c>
      <c r="C8" s="31">
        <f>IF(
   ISNUMBER($A8)*ISNUMBER(C$1)*($A8 &gt; C$1),
   (
     PV_FCFFs +
     ((FCFF_2029 * (1 + C$1)) / ($A8 - C$1)) * (1 / (1 + $A8)^5)
     - Net_Debt
   ) / Shares_outstanding,
   NA()
)</f>
        <v>133.15218697669303</v>
      </c>
      <c r="D8" s="31">
        <f>IF(
   ISNUMBER($A8)*ISNUMBER(D$1)*($A8 &gt; D$1),
   (
     PV_FCFFs +
     ((FCFF_2029 * (1 + D$1)) / ($A8 - D$1)) * (1 / (1 + $A8)^5)
     - Net_Debt
   ) / Shares_outstanding,
   NA()
)</f>
        <v>138.88558268606809</v>
      </c>
      <c r="E8" s="31">
        <f>IF(
   ISNUMBER($A8)*ISNUMBER(E$1)*($A8 &gt; E$1),
   (
     PV_FCFFs +
     ((FCFF_2029 * (1 + E$1)) / ($A8 - E$1)) * (1 / (1 + $A8)^5)
     - Net_Debt
   ) / Shares_outstanding,
   NA()
)</f>
        <v>145.07765005219323</v>
      </c>
      <c r="F8" s="31">
        <f>IF(
   ISNUMBER($A8)*ISNUMBER(F$1)*($A8 &gt; F$1),
   (
     PV_FCFFs +
     ((FCFF_2029 * (1 + F$1)) / ($A8 - F$1)) * (1 / (1 + $A8)^5)
     - Net_Debt
   ) / Shares_outstanding,
   NA()
)</f>
        <v>151.78572303216211</v>
      </c>
      <c r="G8" s="31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Income Statement</vt:lpstr>
      <vt:lpstr>Balance Sheet</vt:lpstr>
      <vt:lpstr>Cash Flow statement </vt:lpstr>
      <vt:lpstr>Assumptions</vt:lpstr>
      <vt:lpstr>FCFF Forecast</vt:lpstr>
      <vt:lpstr>DCF Valuation</vt:lpstr>
      <vt:lpstr>Valuation Summary</vt:lpstr>
      <vt:lpstr>Sensitivity Analysis</vt:lpstr>
      <vt:lpstr>FCFF_2029</vt:lpstr>
      <vt:lpstr>Net_Debt</vt:lpstr>
      <vt:lpstr>PV_FCFFs</vt:lpstr>
      <vt:lpstr>Shares_outstanding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Iyer</dc:creator>
  <cp:lastModifiedBy>Rohan Iyer</cp:lastModifiedBy>
  <dcterms:created xsi:type="dcterms:W3CDTF">2025-03-21T20:42:21Z</dcterms:created>
  <dcterms:modified xsi:type="dcterms:W3CDTF">2025-05-05T06:30:23Z</dcterms:modified>
</cp:coreProperties>
</file>