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lpizerumug\Documents\DOCS_msi\PhD@UniPau\ACADEMICS\A_PhD_THESIS_FINAL\Python_NorthernApennines_f\"/>
    </mc:Choice>
  </mc:AlternateContent>
  <xr:revisionPtr revIDLastSave="0" documentId="13_ncr:1_{3E8603BA-BFBF-45FA-8B68-45A94ADE2B02}" xr6:coauthVersionLast="36" xr6:coauthVersionMax="36" xr10:uidLastSave="{00000000-0000-0000-0000-000000000000}"/>
  <bookViews>
    <workbookView xWindow="0" yWindow="0" windowWidth="23040" windowHeight="9684" tabRatio="699" activeTab="3" xr2:uid="{F3AC15AA-DDAE-4F82-815E-7AEEC0B2E5D1}"/>
  </bookViews>
  <sheets>
    <sheet name="average_phycry" sheetId="10" r:id="rId1"/>
    <sheet name="Calc U-Th-He-Heat" sheetId="4" state="hidden" r:id="rId2"/>
    <sheet name="Calculation_heatflow" sheetId="11" r:id="rId3"/>
    <sheet name="calc&amp;table art helium" sheetId="7" r:id="rId4"/>
    <sheet name="table art heat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7" l="1"/>
  <c r="E14" i="7" s="1"/>
  <c r="G13" i="7"/>
  <c r="H13" i="7" s="1"/>
  <c r="I13" i="7" s="1"/>
  <c r="F13" i="7"/>
  <c r="G12" i="7"/>
  <c r="H12" i="7" s="1"/>
  <c r="I12" i="7" s="1"/>
  <c r="F12" i="7"/>
  <c r="H11" i="7"/>
  <c r="G11" i="7"/>
  <c r="F11" i="7"/>
  <c r="H14" i="7" l="1"/>
  <c r="C14" i="7"/>
  <c r="I11" i="7"/>
  <c r="I14" i="7" s="1"/>
  <c r="D14" i="7"/>
  <c r="F14" i="7" s="1"/>
  <c r="B5" i="11"/>
  <c r="C5" i="11" s="1"/>
  <c r="J4" i="11"/>
  <c r="G4" i="11"/>
  <c r="I4" i="11" s="1"/>
  <c r="K4" i="11" s="1"/>
  <c r="F4" i="11"/>
  <c r="J3" i="11"/>
  <c r="G3" i="11"/>
  <c r="I3" i="11" s="1"/>
  <c r="K3" i="11" s="1"/>
  <c r="F3" i="11"/>
  <c r="J2" i="11"/>
  <c r="G2" i="11"/>
  <c r="G5" i="11" s="1"/>
  <c r="F2" i="11"/>
  <c r="J5" i="11" l="1"/>
  <c r="D5" i="11"/>
  <c r="N3" i="11"/>
  <c r="L3" i="11"/>
  <c r="M3" i="11" s="1"/>
  <c r="N4" i="11"/>
  <c r="L4" i="11"/>
  <c r="M4" i="11" s="1"/>
  <c r="I2" i="11"/>
  <c r="E5" i="11"/>
  <c r="F5" i="11" s="1"/>
  <c r="H5" i="11"/>
  <c r="I5" i="11" l="1"/>
  <c r="K2" i="11"/>
  <c r="O3" i="11"/>
  <c r="P3" i="11" s="1"/>
  <c r="Q3" i="11" s="1"/>
  <c r="O4" i="11"/>
  <c r="P4" i="11" s="1"/>
  <c r="Q4" i="11" s="1"/>
  <c r="N29" i="10"/>
  <c r="N24" i="10"/>
  <c r="N22" i="10"/>
  <c r="N36" i="10" s="1"/>
  <c r="N20" i="10"/>
  <c r="N18" i="10"/>
  <c r="N16" i="10"/>
  <c r="N14" i="10"/>
  <c r="N11" i="10"/>
  <c r="N9" i="10"/>
  <c r="N3" i="10"/>
  <c r="N2" i="11" l="1"/>
  <c r="N5" i="11" s="1"/>
  <c r="L2" i="11"/>
  <c r="K5" i="11"/>
  <c r="N35" i="10"/>
  <c r="B6" i="7"/>
  <c r="C6" i="7" s="1"/>
  <c r="G5" i="7"/>
  <c r="H5" i="7" s="1"/>
  <c r="I5" i="7" s="1"/>
  <c r="F5" i="7"/>
  <c r="G4" i="7"/>
  <c r="H4" i="7" s="1"/>
  <c r="I4" i="7" s="1"/>
  <c r="F4" i="7"/>
  <c r="G3" i="7"/>
  <c r="H3" i="7" s="1"/>
  <c r="F3" i="7"/>
  <c r="M2" i="11" l="1"/>
  <c r="L5" i="11"/>
  <c r="I3" i="7"/>
  <c r="I6" i="7" s="1"/>
  <c r="H6" i="7"/>
  <c r="E6" i="7"/>
  <c r="D6" i="7"/>
  <c r="O2" i="11" l="1"/>
  <c r="O5" i="11" s="1"/>
  <c r="M5" i="11"/>
  <c r="F6" i="7"/>
  <c r="I5" i="4"/>
  <c r="P2" i="11" l="1"/>
  <c r="P5" i="11"/>
  <c r="Q2" i="11"/>
  <c r="Q5" i="11" s="1"/>
  <c r="J4" i="4"/>
  <c r="C25" i="4" l="1"/>
  <c r="C24" i="4"/>
  <c r="C19" i="4"/>
  <c r="J7" i="4"/>
  <c r="E7" i="4"/>
  <c r="F7" i="4" s="1"/>
  <c r="D7" i="4"/>
  <c r="B7" i="4"/>
  <c r="C7" i="4" s="1"/>
  <c r="M6" i="4"/>
  <c r="L6" i="4"/>
  <c r="N6" i="4" s="1"/>
  <c r="J6" i="4"/>
  <c r="G6" i="4"/>
  <c r="H6" i="4" s="1"/>
  <c r="I6" i="4" s="1"/>
  <c r="F6" i="4"/>
  <c r="M5" i="4"/>
  <c r="M7" i="4" s="1"/>
  <c r="J5" i="4"/>
  <c r="L5" i="4" s="1"/>
  <c r="N5" i="4" s="1"/>
  <c r="H5" i="4"/>
  <c r="G5" i="4"/>
  <c r="F5" i="4"/>
  <c r="M4" i="4"/>
  <c r="L4" i="4"/>
  <c r="G4" i="4"/>
  <c r="H4" i="4" s="1"/>
  <c r="F4" i="4"/>
  <c r="O6" i="4" l="1"/>
  <c r="P6" i="4" s="1"/>
  <c r="Q6" i="4"/>
  <c r="Q5" i="4"/>
  <c r="O5" i="4"/>
  <c r="P5" i="4" s="1"/>
  <c r="I4" i="4"/>
  <c r="H7" i="4"/>
  <c r="L7" i="4"/>
  <c r="N4" i="4"/>
  <c r="K7" i="4"/>
  <c r="R5" i="4" l="1"/>
  <c r="S5" i="4" s="1"/>
  <c r="T5" i="4" s="1"/>
  <c r="Q4" i="4"/>
  <c r="Q7" i="4" s="1"/>
  <c r="O4" i="4"/>
  <c r="N7" i="4"/>
  <c r="C16" i="4" s="1"/>
  <c r="N13" i="4"/>
  <c r="R6" i="4"/>
  <c r="S6" i="4" s="1"/>
  <c r="I7" i="4"/>
  <c r="C32" i="4"/>
  <c r="C40" i="4" l="1"/>
  <c r="T6" i="4"/>
  <c r="C10" i="4"/>
  <c r="C11" i="4" s="1"/>
  <c r="C12" i="4" s="1"/>
  <c r="C22" i="4"/>
  <c r="C23" i="4"/>
  <c r="P4" i="4"/>
  <c r="O7" i="4"/>
  <c r="S4" i="4" l="1"/>
  <c r="R4" i="4"/>
  <c r="R7" i="4" s="1"/>
  <c r="P7" i="4"/>
  <c r="O45" i="4" s="1"/>
  <c r="C35" i="4" l="1"/>
  <c r="S7" i="4"/>
  <c r="C15" i="4" s="1"/>
  <c r="T4" i="4"/>
  <c r="T7" i="4" l="1"/>
  <c r="C18" i="4" s="1"/>
  <c r="C26" i="4" s="1"/>
  <c r="C33" i="4"/>
  <c r="C34" i="4" s="1"/>
</calcChain>
</file>

<file path=xl/sharedStrings.xml><?xml version="1.0" encoding="utf-8"?>
<sst xmlns="http://schemas.openxmlformats.org/spreadsheetml/2006/main" count="318" uniqueCount="158">
  <si>
    <t>He production &amp; flux</t>
  </si>
  <si>
    <t>Heat Production rate</t>
  </si>
  <si>
    <t>Potassium's contribution (15%)</t>
  </si>
  <si>
    <t>Geological horizon</t>
  </si>
  <si>
    <t>Thickness 
(km)</t>
  </si>
  <si>
    <t>Density 
(gcm-3)</t>
  </si>
  <si>
    <t>U 
(ppm)</t>
  </si>
  <si>
    <t>Th 
(ppm)</t>
  </si>
  <si>
    <t>Th/U</t>
  </si>
  <si>
    <t>U*</t>
  </si>
  <si>
    <t>J'He 
(cm3 STP 4He/g rock yr)</t>
  </si>
  <si>
    <t>JHe 
(atoms 4He S-1 m-2)</t>
  </si>
  <si>
    <t>Heat Xrate (U)
(W/Kg)</t>
  </si>
  <si>
    <t>Heat Xrate (Th) 
(W/kg)</t>
  </si>
  <si>
    <r>
      <t>Heat Xrate (U) 
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W/m3)</t>
    </r>
  </si>
  <si>
    <r>
      <t>Heat Xrate (Th)
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W/m3)</t>
    </r>
  </si>
  <si>
    <r>
      <t>Av. Heat Xrate
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W/m3)</t>
    </r>
  </si>
  <si>
    <t>Av. Heat Xrate
(W/m3)</t>
  </si>
  <si>
    <t>Av. Heat Xrate
(W/Kg)</t>
  </si>
  <si>
    <t>Heatflow (U+Th)
(mW/m2)</t>
  </si>
  <si>
    <t>K's Heat Xrate (15%)
(W/Kg)</t>
  </si>
  <si>
    <t>Av. Heat Xrate (incl K.)
(W/Kg)</t>
  </si>
  <si>
    <t>Heatflow (U+Th+K)
(mW/m2)</t>
  </si>
  <si>
    <t>Sedimentary cover</t>
  </si>
  <si>
    <t>Upper Crust</t>
  </si>
  <si>
    <t>Lower Crust</t>
  </si>
  <si>
    <t>Total</t>
  </si>
  <si>
    <t>W/ Kg (per nuclide)</t>
  </si>
  <si>
    <t>Heat production rate in the rock (considering nuclides' concentrations and rock density)</t>
  </si>
  <si>
    <t>Heat contributed by K (15% of total; vinkeken.; 2001)</t>
  </si>
  <si>
    <t>Total heatflow (incl K)</t>
  </si>
  <si>
    <t>4He/Heat_ crustal</t>
  </si>
  <si>
    <t>Heat production rate (W/Kg) incl K (15%)</t>
  </si>
  <si>
    <r>
      <t>Heat production rate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W/m3) incl K (15%)</t>
    </r>
  </si>
  <si>
    <t>Qc (av. for 20km)</t>
  </si>
  <si>
    <t xml:space="preserve"> </t>
  </si>
  <si>
    <t>Averages</t>
  </si>
  <si>
    <t>4He/Heat crustal</t>
  </si>
  <si>
    <t>Top 20 km</t>
  </si>
  <si>
    <t>4He flux (top 20km)</t>
  </si>
  <si>
    <t>Qc (top 20 km)</t>
  </si>
  <si>
    <t>Heat Xrate ((W/Kg))</t>
  </si>
  <si>
    <t>Delaminated Crust (Lower 15km)</t>
  </si>
  <si>
    <t>He flux (lower 15km)</t>
  </si>
  <si>
    <t>Qc (Lower 15km)</t>
  </si>
  <si>
    <t>Comments</t>
  </si>
  <si>
    <t>For the average, the thickness of layers is also considered</t>
  </si>
  <si>
    <t>Colours</t>
  </si>
  <si>
    <t>Totals</t>
  </si>
  <si>
    <t>Reasons for not considering other heat producing radioactive isotopes described in Ruedas 2017:</t>
  </si>
  <si>
    <t>26Al exists in trace amounts, and the elemental heat production for Al (Ruedas 2017) is 0</t>
  </si>
  <si>
    <t>60Fe exists in trace amounts, and the elemental heat production for Fe (Ruedas 2017) is 0</t>
  </si>
  <si>
    <t>Brainstorming</t>
  </si>
  <si>
    <t>Why use elemental heat production for U and not U-235 and U-238</t>
  </si>
  <si>
    <t>Add K-40's contribution ( find K concentration in local rocks; the abundance of K-40 is taken into consideration in Ruedas 2017)</t>
  </si>
  <si>
    <t>(While waiting quantification of K heat production, we have a heatflow of the  order of about 30 mW/m2)</t>
  </si>
  <si>
    <t>4He flux ( Tot. for 20km)</t>
  </si>
  <si>
    <t>4He flux ( av. for 1km_uppercrust)</t>
  </si>
  <si>
    <t>4He flux ( av. for 1km_ wholecrust)</t>
  </si>
  <si>
    <t>Heat (tot. For 20km)</t>
  </si>
  <si>
    <t>4He production &amp; flux</t>
  </si>
  <si>
    <t xml:space="preserve">JHe </t>
  </si>
  <si>
    <t xml:space="preserve">J'He </t>
  </si>
  <si>
    <t>Per radionuclide</t>
  </si>
  <si>
    <t>Per rock</t>
  </si>
  <si>
    <t>Heat flux</t>
  </si>
  <si>
    <r>
      <t xml:space="preserve">Total </t>
    </r>
    <r>
      <rPr>
        <b/>
        <sz val="11"/>
        <rFont val="Calibri"/>
        <family val="2"/>
        <scheme val="minor"/>
      </rPr>
      <t>/</t>
    </r>
    <r>
      <rPr>
        <b/>
        <sz val="11"/>
        <color theme="5" tint="-0.499984740745262"/>
        <rFont val="Calibri"/>
        <family val="2"/>
        <scheme val="minor"/>
      </rPr>
      <t xml:space="preserve"> </t>
    </r>
    <r>
      <rPr>
        <b/>
        <sz val="11"/>
        <color rgb="FF00B0F0"/>
        <rFont val="Calibri"/>
        <family val="2"/>
        <scheme val="minor"/>
      </rPr>
      <t>Average</t>
    </r>
  </si>
  <si>
    <r>
      <t>T. Av. Heat Xrate
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W/m3)</t>
    </r>
  </si>
  <si>
    <t>T. Av. Heat Xrate
(W/m3)</t>
  </si>
  <si>
    <t>T. Av. Heat Xrate
(W/Kg)</t>
  </si>
  <si>
    <t>Layer</t>
  </si>
  <si>
    <t>UC</t>
  </si>
  <si>
    <t>LC</t>
  </si>
  <si>
    <t>Sed. Cover</t>
  </si>
  <si>
    <t>J'He: 4He production rate (cm3 STP 4He g-1rock yr-1)
JHe: 4He Flux (atoms 4He s-1 m-2)</t>
  </si>
  <si>
    <r>
      <t xml:space="preserve">Total </t>
    </r>
    <r>
      <rPr>
        <b/>
        <sz val="8"/>
        <rFont val="Calibri"/>
        <family val="2"/>
        <scheme val="minor"/>
      </rPr>
      <t>/</t>
    </r>
    <r>
      <rPr>
        <b/>
        <sz val="8"/>
        <color theme="5" tint="-0.499984740745262"/>
        <rFont val="Calibri"/>
        <family val="2"/>
        <scheme val="minor"/>
      </rPr>
      <t xml:space="preserve"> </t>
    </r>
    <r>
      <rPr>
        <b/>
        <sz val="8"/>
        <color rgb="FF00B0F0"/>
        <rFont val="Calibri"/>
        <family val="2"/>
        <scheme val="minor"/>
      </rPr>
      <t>Average</t>
    </r>
  </si>
  <si>
    <t xml:space="preserve">
JHe: 4He Flux (atoms 4He s-1 m-2)</t>
  </si>
  <si>
    <t>Per nuclide</t>
  </si>
  <si>
    <t>In the rock</t>
  </si>
  <si>
    <t>Z (km)</t>
  </si>
  <si>
    <r>
      <rPr>
        <b/>
        <sz val="7"/>
        <color theme="5" tint="-0.499984740745262"/>
        <rFont val="Calibri"/>
        <family val="2"/>
        <scheme val="minor"/>
      </rPr>
      <t>T.</t>
    </r>
    <r>
      <rPr>
        <b/>
        <sz val="7"/>
        <color theme="1"/>
        <rFont val="Calibri"/>
        <family val="2"/>
        <scheme val="minor"/>
      </rPr>
      <t xml:space="preserve"> / </t>
    </r>
    <r>
      <rPr>
        <b/>
        <sz val="7"/>
        <color rgb="FF00B0F0"/>
        <rFont val="Calibri"/>
        <family val="2"/>
        <scheme val="minor"/>
      </rPr>
      <t>Av.</t>
    </r>
  </si>
  <si>
    <t>Volcanic district</t>
  </si>
  <si>
    <t>Sample</t>
  </si>
  <si>
    <t>Location'N</t>
  </si>
  <si>
    <t>Latitude</t>
  </si>
  <si>
    <t>Location'E</t>
  </si>
  <si>
    <t>Longitude</t>
  </si>
  <si>
    <t>SiO2 
(%)</t>
  </si>
  <si>
    <t>MgO 
(%)</t>
  </si>
  <si>
    <t>Mg#</t>
  </si>
  <si>
    <t>Phase</t>
  </si>
  <si>
    <t>Weight 
(g)</t>
  </si>
  <si>
    <t>R/Ra</t>
  </si>
  <si>
    <t>R/Ra
average</t>
  </si>
  <si>
    <t>error 
(R/Ra)</t>
  </si>
  <si>
    <r>
      <t>[He]
(10</t>
    </r>
    <r>
      <rPr>
        <b/>
        <vertAlign val="superscript"/>
        <sz val="10"/>
        <color rgb="FF000000"/>
        <rFont val="Calibri"/>
        <family val="2"/>
        <scheme val="minor"/>
      </rPr>
      <t>-9</t>
    </r>
    <r>
      <rPr>
        <b/>
        <sz val="10"/>
        <color rgb="FF000000"/>
        <rFont val="Calibri"/>
        <family val="2"/>
        <scheme val="minor"/>
      </rPr>
      <t>cm3STP/g)</t>
    </r>
  </si>
  <si>
    <t>Error[He]: ±1σ
(10-9cm3STP/g)</t>
  </si>
  <si>
    <t>Lab</t>
  </si>
  <si>
    <t>87Sr/86Sr</t>
  </si>
  <si>
    <t>87Sr/86Sr
average</t>
  </si>
  <si>
    <t>Error
87Sr/86Sr</t>
  </si>
  <si>
    <t>Vesuvius, 1944</t>
  </si>
  <si>
    <t>Ves</t>
  </si>
  <si>
    <t>n.a</t>
  </si>
  <si>
    <t>Lava</t>
  </si>
  <si>
    <t>cpx</t>
  </si>
  <si>
    <t>SUERC</t>
  </si>
  <si>
    <t>4a</t>
  </si>
  <si>
    <t>Flegrean Fields</t>
  </si>
  <si>
    <t>F1</t>
  </si>
  <si>
    <t>ol</t>
  </si>
  <si>
    <t>MU</t>
  </si>
  <si>
    <t>20WR</t>
  </si>
  <si>
    <t>F2</t>
  </si>
  <si>
    <t>Pyroc</t>
  </si>
  <si>
    <t>n.a.</t>
  </si>
  <si>
    <t>23Cpx</t>
  </si>
  <si>
    <t>F3</t>
  </si>
  <si>
    <t>F4</t>
  </si>
  <si>
    <t>0.70756b</t>
  </si>
  <si>
    <t>1WR</t>
  </si>
  <si>
    <t>Procida Island</t>
  </si>
  <si>
    <t>P1</t>
  </si>
  <si>
    <t>18WR</t>
  </si>
  <si>
    <t>Roccamonfina</t>
  </si>
  <si>
    <t>R1</t>
  </si>
  <si>
    <t>20Cpx</t>
  </si>
  <si>
    <t>R2</t>
  </si>
  <si>
    <t>21Cpx</t>
  </si>
  <si>
    <t>Ischia Island</t>
  </si>
  <si>
    <t>I1</t>
  </si>
  <si>
    <t>17WR</t>
  </si>
  <si>
    <t>I2</t>
  </si>
  <si>
    <t>Alban Hills</t>
  </si>
  <si>
    <t>A1</t>
  </si>
  <si>
    <t>17Cpx</t>
  </si>
  <si>
    <t>A2</t>
  </si>
  <si>
    <t>Mt. Vulsini</t>
  </si>
  <si>
    <t>V1</t>
  </si>
  <si>
    <t>V2</t>
  </si>
  <si>
    <t>V3</t>
  </si>
  <si>
    <t>V4</t>
  </si>
  <si>
    <t>V5</t>
  </si>
  <si>
    <t>V6</t>
  </si>
  <si>
    <t>Torre Alfina</t>
  </si>
  <si>
    <t>T.A.</t>
  </si>
  <si>
    <t>19WR</t>
  </si>
  <si>
    <t>TRC</t>
  </si>
  <si>
    <t>avrg_cord</t>
  </si>
  <si>
    <t>avrg_all</t>
  </si>
  <si>
    <r>
      <t>Heatflow (U+Th)
(mW m</t>
    </r>
    <r>
      <rPr>
        <b/>
        <vertAlign val="superscript"/>
        <sz val="7"/>
        <color theme="1"/>
        <rFont val="Calibri"/>
        <family val="2"/>
        <scheme val="minor"/>
      </rPr>
      <t>-2</t>
    </r>
    <r>
      <rPr>
        <b/>
        <sz val="7"/>
        <color theme="1"/>
        <rFont val="Calibri"/>
        <family val="2"/>
        <scheme val="minor"/>
      </rPr>
      <t>)</t>
    </r>
  </si>
  <si>
    <r>
      <t>Heatflow (U+Th+K)
(mW m</t>
    </r>
    <r>
      <rPr>
        <b/>
        <vertAlign val="superscript"/>
        <sz val="7"/>
        <color theme="1"/>
        <rFont val="Calibri"/>
        <family val="2"/>
        <scheme val="minor"/>
      </rPr>
      <t>-2</t>
    </r>
    <r>
      <rPr>
        <b/>
        <sz val="7"/>
        <color theme="1"/>
        <rFont val="Calibri"/>
        <family val="2"/>
        <scheme val="minor"/>
      </rPr>
      <t>)</t>
    </r>
  </si>
  <si>
    <r>
      <t>Heat Xrate (Th)
(W kg</t>
    </r>
    <r>
      <rPr>
        <b/>
        <vertAlign val="superscript"/>
        <sz val="7"/>
        <color theme="1"/>
        <rFont val="Calibri"/>
        <family val="2"/>
        <scheme val="minor"/>
      </rPr>
      <t>-1</t>
    </r>
    <r>
      <rPr>
        <b/>
        <sz val="7"/>
        <color theme="1"/>
        <rFont val="Calibri"/>
        <family val="2"/>
        <scheme val="minor"/>
      </rPr>
      <t>)</t>
    </r>
  </si>
  <si>
    <r>
      <t>Heat Xrate (U) 
(W Kg</t>
    </r>
    <r>
      <rPr>
        <b/>
        <vertAlign val="superscript"/>
        <sz val="7"/>
        <color theme="1"/>
        <rFont val="Calibri"/>
        <family val="2"/>
        <scheme val="minor"/>
      </rPr>
      <t>-1</t>
    </r>
    <r>
      <rPr>
        <b/>
        <sz val="7"/>
        <color theme="1"/>
        <rFont val="Calibri"/>
        <family val="2"/>
        <scheme val="minor"/>
      </rPr>
      <t>)</t>
    </r>
  </si>
  <si>
    <r>
      <t>T. Av. Heat
Xrate (W m</t>
    </r>
    <r>
      <rPr>
        <b/>
        <vertAlign val="superscript"/>
        <sz val="7"/>
        <color theme="1"/>
        <rFont val="Calibri"/>
        <family val="2"/>
        <scheme val="minor"/>
      </rPr>
      <t>-3</t>
    </r>
    <r>
      <rPr>
        <b/>
        <sz val="7"/>
        <color theme="1"/>
        <rFont val="Calibri"/>
        <family val="2"/>
        <scheme val="minor"/>
      </rPr>
      <t>)</t>
    </r>
  </si>
  <si>
    <r>
      <t>T. Av. Heat
Xrate (W Kg</t>
    </r>
    <r>
      <rPr>
        <b/>
        <vertAlign val="superscript"/>
        <sz val="7"/>
        <color theme="1"/>
        <rFont val="Calibri"/>
        <family val="2"/>
        <scheme val="minor"/>
      </rPr>
      <t>-1</t>
    </r>
    <r>
      <rPr>
        <b/>
        <sz val="7"/>
        <color theme="1"/>
        <rFont val="Calibri"/>
        <family val="2"/>
        <scheme val="minor"/>
      </rPr>
      <t>)</t>
    </r>
  </si>
  <si>
    <r>
      <t>Av. Heat Xrate
(incl K.) (W Kg</t>
    </r>
    <r>
      <rPr>
        <b/>
        <vertAlign val="superscript"/>
        <sz val="7"/>
        <color theme="1"/>
        <rFont val="Calibri"/>
        <family val="2"/>
        <scheme val="minor"/>
      </rPr>
      <t>-1</t>
    </r>
    <r>
      <rPr>
        <b/>
        <sz val="7"/>
        <color theme="1"/>
        <rFont val="Calibri"/>
        <family val="2"/>
        <scheme val="minor"/>
      </rPr>
      <t>)</t>
    </r>
  </si>
  <si>
    <r>
      <t>K's Heat Xrate
(15%) 
(W Kg</t>
    </r>
    <r>
      <rPr>
        <b/>
        <vertAlign val="superscript"/>
        <sz val="7"/>
        <color theme="1"/>
        <rFont val="Calibri"/>
        <family val="2"/>
        <scheme val="minor"/>
      </rPr>
      <t>-1</t>
    </r>
    <r>
      <rPr>
        <b/>
        <sz val="7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</si>
</sst>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"/>
    <numFmt numFmtId="166" formatCode="0.0"/>
    <numFmt numFmtId="167" formatCode="0.00000"/>
    <numFmt numFmtId="168" formatCode="0.000E+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5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F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00B0F0"/>
      <name val="Calibri"/>
      <family val="2"/>
      <scheme val="minor"/>
    </font>
    <font>
      <b/>
      <sz val="7"/>
      <color theme="5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ont="1"/>
    <xf numFmtId="0" fontId="1" fillId="0" borderId="4" xfId="0" applyFont="1" applyFill="1" applyBorder="1"/>
    <xf numFmtId="0" fontId="0" fillId="0" borderId="4" xfId="0" applyFill="1" applyBorder="1"/>
    <xf numFmtId="2" fontId="0" fillId="0" borderId="5" xfId="0" applyNumberFormat="1" applyBorder="1"/>
    <xf numFmtId="0" fontId="0" fillId="0" borderId="0" xfId="0" applyFont="1" applyFill="1" applyBorder="1"/>
    <xf numFmtId="0" fontId="0" fillId="0" borderId="7" xfId="0" applyBorder="1"/>
    <xf numFmtId="11" fontId="0" fillId="0" borderId="0" xfId="0" applyNumberFormat="1" applyBorder="1"/>
    <xf numFmtId="11" fontId="0" fillId="0" borderId="5" xfId="0" applyNumberFormat="1" applyBorder="1"/>
    <xf numFmtId="2" fontId="1" fillId="0" borderId="5" xfId="0" applyNumberFormat="1" applyFont="1" applyBorder="1"/>
    <xf numFmtId="11" fontId="1" fillId="0" borderId="0" xfId="0" applyNumberFormat="1" applyFon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4" xfId="0" applyNumberFormat="1" applyBorder="1"/>
    <xf numFmtId="0" fontId="0" fillId="0" borderId="5" xfId="0" applyBorder="1"/>
    <xf numFmtId="0" fontId="0" fillId="0" borderId="13" xfId="0" applyBorder="1"/>
    <xf numFmtId="0" fontId="0" fillId="2" borderId="4" xfId="0" applyFill="1" applyBorder="1"/>
    <xf numFmtId="0" fontId="1" fillId="0" borderId="6" xfId="0" applyFont="1" applyBorder="1"/>
    <xf numFmtId="0" fontId="3" fillId="0" borderId="7" xfId="0" applyFont="1" applyBorder="1"/>
    <xf numFmtId="2" fontId="4" fillId="0" borderId="6" xfId="0" applyNumberFormat="1" applyFont="1" applyBorder="1"/>
    <xf numFmtId="2" fontId="4" fillId="0" borderId="7" xfId="0" applyNumberFormat="1" applyFont="1" applyBorder="1"/>
    <xf numFmtId="2" fontId="5" fillId="0" borderId="8" xfId="0" applyNumberFormat="1" applyFont="1" applyBorder="1"/>
    <xf numFmtId="0" fontId="1" fillId="0" borderId="7" xfId="0" applyFont="1" applyBorder="1"/>
    <xf numFmtId="11" fontId="3" fillId="0" borderId="7" xfId="0" applyNumberFormat="1" applyFont="1" applyBorder="1"/>
    <xf numFmtId="11" fontId="4" fillId="0" borderId="6" xfId="0" applyNumberFormat="1" applyFont="1" applyBorder="1"/>
    <xf numFmtId="11" fontId="4" fillId="0" borderId="8" xfId="0" applyNumberFormat="1" applyFont="1" applyBorder="1"/>
    <xf numFmtId="2" fontId="4" fillId="0" borderId="8" xfId="0" applyNumberFormat="1" applyFont="1" applyBorder="1"/>
    <xf numFmtId="11" fontId="4" fillId="0" borderId="7" xfId="0" applyNumberFormat="1" applyFont="1" applyBorder="1"/>
    <xf numFmtId="2" fontId="3" fillId="0" borderId="7" xfId="0" applyNumberFormat="1" applyFont="1" applyBorder="1"/>
    <xf numFmtId="2" fontId="3" fillId="0" borderId="14" xfId="0" applyNumberFormat="1" applyFont="1" applyBorder="1"/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Fill="1" applyBorder="1"/>
    <xf numFmtId="165" fontId="0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1" xfId="0" applyFont="1" applyFill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1" fillId="0" borderId="6" xfId="0" applyFont="1" applyFill="1" applyBorder="1"/>
    <xf numFmtId="11" fontId="1" fillId="0" borderId="7" xfId="0" applyNumberFormat="1" applyFont="1" applyBorder="1"/>
    <xf numFmtId="2" fontId="1" fillId="0" borderId="8" xfId="0" applyNumberFormat="1" applyFont="1" applyBorder="1"/>
    <xf numFmtId="2" fontId="1" fillId="0" borderId="3" xfId="0" applyNumberFormat="1" applyFont="1" applyBorder="1"/>
    <xf numFmtId="0" fontId="1" fillId="0" borderId="8" xfId="0" applyFont="1" applyBorder="1"/>
    <xf numFmtId="0" fontId="1" fillId="3" borderId="1" xfId="0" applyFont="1" applyFill="1" applyBorder="1"/>
    <xf numFmtId="11" fontId="1" fillId="3" borderId="2" xfId="0" applyNumberFormat="1" applyFont="1" applyFill="1" applyBorder="1"/>
    <xf numFmtId="0" fontId="1" fillId="3" borderId="3" xfId="0" applyFont="1" applyFill="1" applyBorder="1"/>
    <xf numFmtId="11" fontId="1" fillId="0" borderId="0" xfId="0" applyNumberFormat="1" applyFont="1" applyBorder="1"/>
    <xf numFmtId="11" fontId="1" fillId="0" borderId="5" xfId="0" applyNumberFormat="1" applyFont="1" applyBorder="1"/>
    <xf numFmtId="11" fontId="1" fillId="0" borderId="8" xfId="0" applyNumberFormat="1" applyFont="1" applyBorder="1"/>
    <xf numFmtId="0" fontId="4" fillId="0" borderId="0" xfId="0" applyFont="1" applyFill="1" applyBorder="1"/>
    <xf numFmtId="0" fontId="3" fillId="0" borderId="0" xfId="0" applyFon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8" xfId="0" applyFont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12" fillId="0" borderId="0" xfId="0" applyFont="1" applyFill="1" applyBorder="1" applyAlignment="1"/>
    <xf numFmtId="0" fontId="7" fillId="0" borderId="15" xfId="0" applyFont="1" applyBorder="1" applyAlignment="1">
      <alignment vertical="center"/>
    </xf>
    <xf numFmtId="2" fontId="7" fillId="0" borderId="15" xfId="0" applyNumberFormat="1" applyFont="1" applyBorder="1" applyAlignment="1">
      <alignment vertical="center"/>
    </xf>
    <xf numFmtId="167" fontId="7" fillId="0" borderId="15" xfId="0" applyNumberFormat="1" applyFont="1" applyBorder="1" applyAlignment="1">
      <alignment vertical="center"/>
    </xf>
    <xf numFmtId="11" fontId="7" fillId="0" borderId="15" xfId="0" applyNumberFormat="1" applyFont="1" applyBorder="1" applyAlignment="1">
      <alignment vertical="center"/>
    </xf>
    <xf numFmtId="2" fontId="7" fillId="0" borderId="15" xfId="0" applyNumberFormat="1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2" fontId="11" fillId="0" borderId="15" xfId="0" applyNumberFormat="1" applyFont="1" applyBorder="1" applyAlignment="1">
      <alignment vertical="center"/>
    </xf>
    <xf numFmtId="2" fontId="10" fillId="0" borderId="15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11" fontId="9" fillId="0" borderId="15" xfId="0" applyNumberFormat="1" applyFont="1" applyBorder="1" applyAlignment="1">
      <alignment vertical="center"/>
    </xf>
    <xf numFmtId="0" fontId="0" fillId="0" borderId="0" xfId="0" applyFill="1" applyBorder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166" fontId="17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right" vertical="center"/>
    </xf>
    <xf numFmtId="167" fontId="19" fillId="0" borderId="0" xfId="0" applyNumberFormat="1" applyFont="1" applyFill="1" applyBorder="1" applyAlignment="1">
      <alignment horizontal="right" vertical="top"/>
    </xf>
    <xf numFmtId="0" fontId="0" fillId="0" borderId="0" xfId="0" applyFill="1" applyBorder="1" applyAlignment="1">
      <alignment horizontal="left" vertical="top"/>
    </xf>
    <xf numFmtId="166" fontId="19" fillId="4" borderId="0" xfId="0" applyNumberFormat="1" applyFont="1" applyFill="1" applyBorder="1" applyAlignment="1">
      <alignment horizontal="right" vertical="center"/>
    </xf>
    <xf numFmtId="0" fontId="19" fillId="4" borderId="0" xfId="0" applyFont="1" applyFill="1" applyBorder="1" applyAlignment="1">
      <alignment horizontal="left" vertical="top"/>
    </xf>
    <xf numFmtId="2" fontId="19" fillId="0" borderId="0" xfId="0" applyNumberFormat="1" applyFont="1" applyFill="1" applyBorder="1" applyAlignment="1">
      <alignment horizontal="right" vertical="center"/>
    </xf>
    <xf numFmtId="166" fontId="19" fillId="5" borderId="0" xfId="0" applyNumberFormat="1" applyFont="1" applyFill="1" applyBorder="1" applyAlignment="1">
      <alignment horizontal="right" vertical="center"/>
    </xf>
    <xf numFmtId="0" fontId="19" fillId="5" borderId="0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168" fontId="14" fillId="0" borderId="0" xfId="0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168" fontId="14" fillId="0" borderId="23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168" fontId="14" fillId="0" borderId="24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68" fontId="15" fillId="0" borderId="25" xfId="0" applyNumberFormat="1" applyFont="1" applyBorder="1" applyAlignment="1">
      <alignment horizontal="center" vertical="center"/>
    </xf>
    <xf numFmtId="168" fontId="15" fillId="0" borderId="21" xfId="0" applyNumberFormat="1" applyFont="1" applyBorder="1" applyAlignment="1">
      <alignment horizontal="center" vertical="center"/>
    </xf>
    <xf numFmtId="168" fontId="16" fillId="0" borderId="21" xfId="0" applyNumberFormat="1" applyFont="1" applyBorder="1" applyAlignment="1">
      <alignment horizontal="center" vertical="center"/>
    </xf>
    <xf numFmtId="168" fontId="16" fillId="0" borderId="2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7" fontId="7" fillId="0" borderId="0" xfId="0" applyNumberFormat="1" applyFont="1" applyBorder="1" applyAlignment="1">
      <alignment horizontal="center" vertical="center"/>
    </xf>
    <xf numFmtId="11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2" fontId="11" fillId="0" borderId="21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1" fontId="9" fillId="0" borderId="21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166" fontId="19" fillId="4" borderId="0" xfId="0" applyNumberFormat="1" applyFont="1" applyFill="1" applyBorder="1" applyAlignment="1">
      <alignment horizontal="right" vertical="center"/>
    </xf>
    <xf numFmtId="167" fontId="19" fillId="0" borderId="0" xfId="0" applyNumberFormat="1" applyFont="1" applyFill="1" applyBorder="1" applyAlignment="1">
      <alignment horizontal="right" vertical="top"/>
    </xf>
    <xf numFmtId="165" fontId="19" fillId="4" borderId="0" xfId="0" applyNumberFormat="1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right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168" fontId="13" fillId="0" borderId="25" xfId="0" applyNumberFormat="1" applyFont="1" applyBorder="1" applyAlignment="1">
      <alignment horizontal="center" vertical="center"/>
    </xf>
    <xf numFmtId="168" fontId="13" fillId="0" borderId="2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1D5A-D90D-41EA-AE81-8AC903567C3B}">
  <dimension ref="A1:U36"/>
  <sheetViews>
    <sheetView topLeftCell="A10" workbookViewId="0">
      <selection activeCell="M36" sqref="M36"/>
    </sheetView>
  </sheetViews>
  <sheetFormatPr defaultRowHeight="14.4"/>
  <cols>
    <col min="1" max="1" width="13.21875" style="96" customWidth="1"/>
    <col min="2" max="2" width="6.77734375" style="96" bestFit="1" customWidth="1"/>
    <col min="3" max="3" width="12.6640625" style="97" customWidth="1"/>
    <col min="4" max="4" width="12.6640625" style="98" customWidth="1"/>
    <col min="5" max="5" width="13.109375" style="97" customWidth="1"/>
    <col min="6" max="6" width="13.109375" style="98" customWidth="1"/>
    <col min="7" max="12" width="8.88671875" style="96"/>
    <col min="13" max="13" width="8.21875" style="96" bestFit="1" customWidth="1"/>
    <col min="14" max="14" width="8.21875" style="99" customWidth="1"/>
    <col min="15" max="15" width="7.6640625" style="96" customWidth="1"/>
    <col min="16" max="16" width="13.5546875" style="96" bestFit="1" customWidth="1"/>
    <col min="17" max="17" width="13.88671875" style="96" customWidth="1"/>
    <col min="18" max="18" width="9" style="96" customWidth="1"/>
    <col min="19" max="20" width="11.44140625" style="96" customWidth="1"/>
    <col min="21" max="21" width="8.88671875" style="96"/>
    <col min="22" max="16384" width="8.88671875" style="101"/>
  </cols>
  <sheetData>
    <row r="1" spans="1:21" s="73" customFormat="1" ht="28.8">
      <c r="A1" s="93" t="s">
        <v>81</v>
      </c>
      <c r="B1" s="93" t="s">
        <v>82</v>
      </c>
      <c r="C1" s="93" t="s">
        <v>83</v>
      </c>
      <c r="D1" s="93" t="s">
        <v>84</v>
      </c>
      <c r="E1" s="93" t="s">
        <v>85</v>
      </c>
      <c r="F1" s="93" t="s">
        <v>86</v>
      </c>
      <c r="G1" s="93"/>
      <c r="H1" s="94" t="s">
        <v>87</v>
      </c>
      <c r="I1" s="94" t="s">
        <v>88</v>
      </c>
      <c r="J1" s="93" t="s">
        <v>89</v>
      </c>
      <c r="K1" s="93" t="s">
        <v>90</v>
      </c>
      <c r="L1" s="94" t="s">
        <v>91</v>
      </c>
      <c r="M1" s="94" t="s">
        <v>92</v>
      </c>
      <c r="N1" s="95" t="s">
        <v>93</v>
      </c>
      <c r="O1" s="94" t="s">
        <v>94</v>
      </c>
      <c r="P1" s="94" t="s">
        <v>95</v>
      </c>
      <c r="Q1" s="94" t="s">
        <v>96</v>
      </c>
      <c r="R1" s="93" t="s">
        <v>97</v>
      </c>
      <c r="S1" s="93" t="s">
        <v>98</v>
      </c>
      <c r="T1" s="94" t="s">
        <v>99</v>
      </c>
      <c r="U1" s="94" t="s">
        <v>100</v>
      </c>
    </row>
    <row r="2" spans="1:21">
      <c r="A2" s="96" t="s">
        <v>101</v>
      </c>
      <c r="B2" s="96" t="s">
        <v>102</v>
      </c>
      <c r="D2" s="98" t="s">
        <v>103</v>
      </c>
      <c r="F2" s="98" t="s">
        <v>103</v>
      </c>
      <c r="G2" s="96" t="s">
        <v>104</v>
      </c>
      <c r="H2" s="96">
        <v>48.1</v>
      </c>
      <c r="I2" s="96">
        <v>3.7</v>
      </c>
      <c r="J2" s="96">
        <v>49</v>
      </c>
      <c r="K2" s="96" t="s">
        <v>105</v>
      </c>
      <c r="L2" s="96">
        <v>1.43</v>
      </c>
      <c r="M2" s="96">
        <v>2.48</v>
      </c>
      <c r="N2" s="99">
        <v>2.48</v>
      </c>
      <c r="O2" s="96">
        <v>0.09</v>
      </c>
      <c r="P2" s="96">
        <v>15</v>
      </c>
      <c r="Q2" s="96">
        <v>0.1</v>
      </c>
      <c r="R2" s="96" t="s">
        <v>106</v>
      </c>
      <c r="S2" s="96">
        <v>0.70718000000000003</v>
      </c>
      <c r="T2" s="100">
        <v>0.70718000000000003</v>
      </c>
      <c r="U2" s="96" t="s">
        <v>107</v>
      </c>
    </row>
    <row r="3" spans="1:21">
      <c r="A3" s="96" t="s">
        <v>108</v>
      </c>
      <c r="B3" s="96" t="s">
        <v>109</v>
      </c>
      <c r="C3" s="97">
        <v>40.87638888888889</v>
      </c>
      <c r="D3" s="133">
        <v>40.87638888888889</v>
      </c>
      <c r="E3" s="97">
        <v>14.220555555555555</v>
      </c>
      <c r="F3" s="133">
        <v>14.220555555555555</v>
      </c>
      <c r="G3" s="96" t="s">
        <v>104</v>
      </c>
      <c r="H3" s="96">
        <v>51.5</v>
      </c>
      <c r="I3" s="96">
        <v>4.9000000000000004</v>
      </c>
      <c r="J3" s="96">
        <v>57.2</v>
      </c>
      <c r="K3" s="96" t="s">
        <v>110</v>
      </c>
      <c r="L3" s="96">
        <v>1.08</v>
      </c>
      <c r="M3" s="96">
        <v>3.02</v>
      </c>
      <c r="N3" s="137">
        <f>AVERAGE(M3:M5)</f>
        <v>2.8933333333333331</v>
      </c>
      <c r="O3" s="96">
        <v>0.1</v>
      </c>
      <c r="P3" s="96">
        <v>20.5</v>
      </c>
      <c r="Q3" s="96">
        <v>0.1</v>
      </c>
      <c r="R3" s="96" t="s">
        <v>111</v>
      </c>
      <c r="S3" s="96">
        <v>0.70780799999999999</v>
      </c>
      <c r="T3" s="135">
        <v>0.70780799999999999</v>
      </c>
      <c r="U3" s="96" t="s">
        <v>112</v>
      </c>
    </row>
    <row r="4" spans="1:21">
      <c r="D4" s="133"/>
      <c r="F4" s="133"/>
      <c r="K4" s="96" t="s">
        <v>110</v>
      </c>
      <c r="L4" s="96">
        <v>0.67</v>
      </c>
      <c r="M4" s="96">
        <v>2.82</v>
      </c>
      <c r="N4" s="137"/>
      <c r="O4" s="96">
        <v>0.16</v>
      </c>
      <c r="P4" s="96">
        <v>14.1</v>
      </c>
      <c r="Q4" s="96">
        <v>0.1</v>
      </c>
      <c r="R4" s="96" t="s">
        <v>106</v>
      </c>
      <c r="T4" s="135"/>
    </row>
    <row r="5" spans="1:21">
      <c r="D5" s="133"/>
      <c r="F5" s="133"/>
      <c r="K5" s="96" t="s">
        <v>105</v>
      </c>
      <c r="L5" s="96">
        <v>0.86</v>
      </c>
      <c r="M5" s="96">
        <v>2.84</v>
      </c>
      <c r="N5" s="137"/>
      <c r="O5" s="96">
        <v>0.12</v>
      </c>
      <c r="P5" s="96">
        <v>23</v>
      </c>
      <c r="Q5" s="96">
        <v>0.1</v>
      </c>
      <c r="R5" s="96" t="s">
        <v>106</v>
      </c>
      <c r="T5" s="135"/>
    </row>
    <row r="6" spans="1:21">
      <c r="A6" s="96" t="s">
        <v>108</v>
      </c>
      <c r="B6" s="96" t="s">
        <v>113</v>
      </c>
      <c r="C6" s="97">
        <v>41.177499999999995</v>
      </c>
      <c r="D6" s="98">
        <v>41.177499999999995</v>
      </c>
      <c r="E6" s="97">
        <v>14.370833333333334</v>
      </c>
      <c r="F6" s="98">
        <v>14.370833333333334</v>
      </c>
      <c r="G6" s="96" t="s">
        <v>114</v>
      </c>
      <c r="H6" s="96" t="s">
        <v>115</v>
      </c>
      <c r="I6" s="96" t="s">
        <v>115</v>
      </c>
      <c r="J6" s="96" t="s">
        <v>115</v>
      </c>
      <c r="K6" s="96" t="s">
        <v>105</v>
      </c>
      <c r="L6" s="96">
        <v>1.33</v>
      </c>
      <c r="M6" s="96">
        <v>2.7</v>
      </c>
      <c r="N6" s="99">
        <v>2.7</v>
      </c>
      <c r="O6" s="96">
        <v>0.09</v>
      </c>
      <c r="P6" s="96">
        <v>23</v>
      </c>
      <c r="Q6" s="96">
        <v>0.1</v>
      </c>
      <c r="R6" s="96" t="s">
        <v>106</v>
      </c>
      <c r="S6" s="96">
        <v>0.707341</v>
      </c>
      <c r="T6" s="100">
        <v>0.707341</v>
      </c>
      <c r="U6" s="96" t="s">
        <v>116</v>
      </c>
    </row>
    <row r="7" spans="1:21">
      <c r="A7" s="96" t="s">
        <v>108</v>
      </c>
      <c r="B7" s="96" t="s">
        <v>117</v>
      </c>
      <c r="C7" s="97">
        <v>41.366666666666667</v>
      </c>
      <c r="D7" s="98">
        <v>41.366666666666667</v>
      </c>
      <c r="E7" s="97">
        <v>14.333611111111111</v>
      </c>
      <c r="F7" s="98">
        <v>14.333611111111111</v>
      </c>
      <c r="G7" s="96" t="s">
        <v>114</v>
      </c>
      <c r="H7" s="96" t="s">
        <v>115</v>
      </c>
      <c r="I7" s="96" t="s">
        <v>115</v>
      </c>
      <c r="J7" s="96" t="s">
        <v>115</v>
      </c>
      <c r="K7" s="96" t="s">
        <v>105</v>
      </c>
      <c r="L7" s="96">
        <v>1.03</v>
      </c>
      <c r="M7" s="96">
        <v>2.85</v>
      </c>
      <c r="N7" s="99">
        <v>2.85</v>
      </c>
      <c r="O7" s="96">
        <v>0.1</v>
      </c>
      <c r="P7" s="96">
        <v>13.4</v>
      </c>
      <c r="Q7" s="96">
        <v>0.4</v>
      </c>
      <c r="R7" s="96" t="s">
        <v>106</v>
      </c>
      <c r="S7" s="96">
        <v>0.70722499999999999</v>
      </c>
      <c r="T7" s="100">
        <v>0.70722499999999999</v>
      </c>
      <c r="U7" s="96" t="s">
        <v>116</v>
      </c>
    </row>
    <row r="8" spans="1:21">
      <c r="A8" s="96" t="s">
        <v>108</v>
      </c>
      <c r="B8" s="96" t="s">
        <v>118</v>
      </c>
      <c r="C8" s="97">
        <v>40.990555555555552</v>
      </c>
      <c r="D8" s="98">
        <v>40.990555555555552</v>
      </c>
      <c r="E8" s="97">
        <v>14.192222222222222</v>
      </c>
      <c r="F8" s="98">
        <v>14.192222222222222</v>
      </c>
      <c r="G8" s="96" t="s">
        <v>114</v>
      </c>
      <c r="H8" s="96" t="s">
        <v>115</v>
      </c>
      <c r="I8" s="96" t="s">
        <v>115</v>
      </c>
      <c r="J8" s="96" t="s">
        <v>115</v>
      </c>
      <c r="K8" s="96" t="s">
        <v>105</v>
      </c>
      <c r="L8" s="96">
        <v>0.53</v>
      </c>
      <c r="M8" s="96">
        <v>2.5299999999999998</v>
      </c>
      <c r="N8" s="99">
        <v>2.5299999999999998</v>
      </c>
      <c r="O8" s="96">
        <v>0.16</v>
      </c>
      <c r="P8" s="96">
        <v>15</v>
      </c>
      <c r="Q8" s="96">
        <v>0.4</v>
      </c>
      <c r="R8" s="96" t="s">
        <v>106</v>
      </c>
      <c r="S8" s="96" t="s">
        <v>119</v>
      </c>
      <c r="T8" s="100">
        <v>0.70755999999999997</v>
      </c>
      <c r="U8" s="96" t="s">
        <v>120</v>
      </c>
    </row>
    <row r="9" spans="1:21">
      <c r="A9" s="96" t="s">
        <v>121</v>
      </c>
      <c r="B9" s="96" t="s">
        <v>122</v>
      </c>
      <c r="C9" s="97">
        <v>40.836944444444448</v>
      </c>
      <c r="D9" s="133">
        <v>40.836944444444448</v>
      </c>
      <c r="E9" s="97">
        <v>14.017777777777779</v>
      </c>
      <c r="F9" s="133">
        <v>14.017777777777779</v>
      </c>
      <c r="G9" s="96" t="s">
        <v>104</v>
      </c>
      <c r="H9" s="96">
        <v>46.7</v>
      </c>
      <c r="I9" s="96">
        <v>11.9</v>
      </c>
      <c r="J9" s="96">
        <v>70.900000000000006</v>
      </c>
      <c r="K9" s="96" t="s">
        <v>110</v>
      </c>
      <c r="L9" s="96">
        <v>1.81</v>
      </c>
      <c r="M9" s="96">
        <v>4.76</v>
      </c>
      <c r="N9" s="137">
        <f>AVERAGE(M9:M10)</f>
        <v>4.9849999999999994</v>
      </c>
      <c r="O9" s="96">
        <v>0.14000000000000001</v>
      </c>
      <c r="P9" s="96">
        <v>69</v>
      </c>
      <c r="Q9" s="96">
        <v>0.4</v>
      </c>
      <c r="R9" s="96" t="s">
        <v>111</v>
      </c>
      <c r="S9" s="96">
        <v>0.70560100000000003</v>
      </c>
      <c r="T9" s="135">
        <v>0.70560100000000003</v>
      </c>
      <c r="U9" s="96" t="s">
        <v>123</v>
      </c>
    </row>
    <row r="10" spans="1:21">
      <c r="D10" s="133"/>
      <c r="F10" s="133"/>
      <c r="K10" s="96" t="s">
        <v>110</v>
      </c>
      <c r="L10" s="96">
        <v>0.46</v>
      </c>
      <c r="M10" s="96">
        <v>5.21</v>
      </c>
      <c r="N10" s="137"/>
      <c r="O10" s="96">
        <v>0.17</v>
      </c>
      <c r="P10" s="96">
        <v>64</v>
      </c>
      <c r="Q10" s="96">
        <v>0.4</v>
      </c>
      <c r="R10" s="96" t="s">
        <v>106</v>
      </c>
      <c r="T10" s="135"/>
    </row>
    <row r="11" spans="1:21">
      <c r="A11" s="96" t="s">
        <v>124</v>
      </c>
      <c r="B11" s="96" t="s">
        <v>125</v>
      </c>
      <c r="C11" s="97">
        <v>41.454722222222223</v>
      </c>
      <c r="D11" s="133">
        <v>41.454722222222223</v>
      </c>
      <c r="E11" s="97">
        <v>14.006666666666666</v>
      </c>
      <c r="F11" s="133">
        <v>14.006666666666666</v>
      </c>
      <c r="G11" s="96" t="s">
        <v>114</v>
      </c>
      <c r="H11" s="96" t="s">
        <v>115</v>
      </c>
      <c r="I11" s="96" t="s">
        <v>115</v>
      </c>
      <c r="J11" s="96" t="s">
        <v>115</v>
      </c>
      <c r="K11" s="96" t="s">
        <v>105</v>
      </c>
      <c r="L11" s="96">
        <v>1.17</v>
      </c>
      <c r="M11" s="96">
        <v>2.87</v>
      </c>
      <c r="N11" s="137">
        <f>AVERAGE(M11:M12)</f>
        <v>2.76</v>
      </c>
      <c r="O11" s="96">
        <v>0.2</v>
      </c>
      <c r="P11" s="96">
        <v>2.41</v>
      </c>
      <c r="Q11" s="96">
        <v>0.01</v>
      </c>
      <c r="R11" s="96" t="s">
        <v>106</v>
      </c>
      <c r="S11" s="96">
        <v>0.706654</v>
      </c>
      <c r="T11" s="135">
        <v>0.706654</v>
      </c>
      <c r="U11" s="96" t="s">
        <v>126</v>
      </c>
    </row>
    <row r="12" spans="1:21">
      <c r="D12" s="133"/>
      <c r="F12" s="133"/>
      <c r="K12" s="96" t="s">
        <v>110</v>
      </c>
      <c r="L12" s="96">
        <v>0.81</v>
      </c>
      <c r="M12" s="96">
        <v>2.65</v>
      </c>
      <c r="N12" s="137"/>
      <c r="O12" s="96">
        <v>0.42</v>
      </c>
      <c r="P12" s="96">
        <v>1.8</v>
      </c>
      <c r="Q12" s="96">
        <v>0.01</v>
      </c>
      <c r="R12" s="96" t="s">
        <v>106</v>
      </c>
      <c r="T12" s="135"/>
    </row>
    <row r="13" spans="1:21">
      <c r="A13" s="96" t="s">
        <v>124</v>
      </c>
      <c r="B13" s="96" t="s">
        <v>127</v>
      </c>
      <c r="C13" s="97">
        <v>41.368055555555557</v>
      </c>
      <c r="D13" s="98">
        <v>41.368055555555557</v>
      </c>
      <c r="E13" s="97">
        <v>14.046111111111111</v>
      </c>
      <c r="F13" s="98">
        <v>14.046111111111111</v>
      </c>
      <c r="G13" s="96" t="s">
        <v>104</v>
      </c>
      <c r="H13" s="96">
        <v>46.7</v>
      </c>
      <c r="I13" s="96">
        <v>7.3</v>
      </c>
      <c r="J13" s="96">
        <v>58.7</v>
      </c>
      <c r="K13" s="96" t="s">
        <v>105</v>
      </c>
      <c r="L13" s="96">
        <v>1.17</v>
      </c>
      <c r="M13" s="96">
        <v>2.12</v>
      </c>
      <c r="N13" s="99">
        <v>2.12</v>
      </c>
      <c r="O13" s="96">
        <v>0.09</v>
      </c>
      <c r="P13" s="96">
        <v>8.3000000000000007</v>
      </c>
      <c r="Q13" s="96">
        <v>0.1</v>
      </c>
      <c r="R13" s="96" t="s">
        <v>106</v>
      </c>
      <c r="S13" s="96">
        <v>0.70646299999999995</v>
      </c>
      <c r="T13" s="100">
        <v>0.70646299999999995</v>
      </c>
      <c r="U13" s="96" t="s">
        <v>128</v>
      </c>
    </row>
    <row r="14" spans="1:21">
      <c r="A14" s="96" t="s">
        <v>129</v>
      </c>
      <c r="B14" s="96" t="s">
        <v>130</v>
      </c>
      <c r="C14" s="97">
        <v>40.913888888888891</v>
      </c>
      <c r="D14" s="133">
        <v>40.913888888888891</v>
      </c>
      <c r="E14" s="97">
        <v>13.966111111111111</v>
      </c>
      <c r="F14" s="133">
        <v>13.966111111111111</v>
      </c>
      <c r="G14" s="96" t="s">
        <v>104</v>
      </c>
      <c r="H14" s="96">
        <v>57.2</v>
      </c>
      <c r="I14" s="96">
        <v>1.6</v>
      </c>
      <c r="J14" s="96">
        <v>39.799999999999997</v>
      </c>
      <c r="K14" s="96" t="s">
        <v>110</v>
      </c>
      <c r="L14" s="96">
        <v>1.35</v>
      </c>
      <c r="M14" s="96">
        <v>3.45</v>
      </c>
      <c r="N14" s="137">
        <f>AVERAGE(M14:M15)</f>
        <v>3.34</v>
      </c>
      <c r="O14" s="96">
        <v>0.1</v>
      </c>
      <c r="P14" s="96">
        <v>75</v>
      </c>
      <c r="Q14" s="96">
        <v>0.5</v>
      </c>
      <c r="R14" s="96" t="s">
        <v>111</v>
      </c>
      <c r="S14" s="96">
        <v>0.70650000000000002</v>
      </c>
      <c r="T14" s="135">
        <v>0.70650000000000002</v>
      </c>
      <c r="U14" s="96" t="s">
        <v>131</v>
      </c>
    </row>
    <row r="15" spans="1:21">
      <c r="D15" s="133"/>
      <c r="F15" s="133"/>
      <c r="K15" s="96" t="s">
        <v>105</v>
      </c>
      <c r="L15" s="96">
        <v>1.58</v>
      </c>
      <c r="M15" s="96">
        <v>3.23</v>
      </c>
      <c r="N15" s="137"/>
      <c r="O15" s="96">
        <v>0.09</v>
      </c>
      <c r="P15" s="96">
        <v>140</v>
      </c>
      <c r="Q15" s="96">
        <v>1</v>
      </c>
      <c r="R15" s="96" t="s">
        <v>111</v>
      </c>
      <c r="T15" s="135"/>
    </row>
    <row r="16" spans="1:21">
      <c r="A16" s="96" t="s">
        <v>129</v>
      </c>
      <c r="B16" s="96" t="s">
        <v>132</v>
      </c>
      <c r="C16" s="97">
        <v>40.954166666666673</v>
      </c>
      <c r="D16" s="133">
        <v>40.954166666666673</v>
      </c>
      <c r="E16" s="97">
        <v>13.944722222222222</v>
      </c>
      <c r="F16" s="133">
        <v>13.944722222222222</v>
      </c>
      <c r="G16" s="96" t="s">
        <v>104</v>
      </c>
      <c r="H16" s="96">
        <v>54.7</v>
      </c>
      <c r="I16" s="96">
        <v>2.6</v>
      </c>
      <c r="J16" s="96">
        <v>45.5</v>
      </c>
      <c r="K16" s="96" t="s">
        <v>110</v>
      </c>
      <c r="L16" s="96">
        <v>1.01</v>
      </c>
      <c r="M16" s="96">
        <v>3.36</v>
      </c>
      <c r="N16" s="137">
        <f>AVERAGE(M16:M17)</f>
        <v>3.38</v>
      </c>
      <c r="O16" s="96">
        <v>0.09</v>
      </c>
      <c r="P16" s="96">
        <v>53</v>
      </c>
      <c r="Q16" s="96">
        <v>0.4</v>
      </c>
      <c r="R16" s="96" t="s">
        <v>111</v>
      </c>
      <c r="S16" s="96">
        <v>0.70636200000000005</v>
      </c>
      <c r="T16" s="135">
        <v>0.70636200000000005</v>
      </c>
      <c r="U16" s="96" t="s">
        <v>123</v>
      </c>
    </row>
    <row r="17" spans="1:21">
      <c r="D17" s="133"/>
      <c r="F17" s="133"/>
      <c r="K17" s="96" t="s">
        <v>105</v>
      </c>
      <c r="L17" s="96">
        <v>0.82</v>
      </c>
      <c r="M17" s="96">
        <v>3.4</v>
      </c>
      <c r="N17" s="137"/>
      <c r="O17" s="96">
        <v>0.09</v>
      </c>
      <c r="P17" s="96">
        <v>79</v>
      </c>
      <c r="Q17" s="96">
        <v>0.6</v>
      </c>
      <c r="R17" s="96" t="s">
        <v>111</v>
      </c>
      <c r="T17" s="135"/>
    </row>
    <row r="18" spans="1:21">
      <c r="A18" s="96" t="s">
        <v>133</v>
      </c>
      <c r="B18" s="96" t="s">
        <v>134</v>
      </c>
      <c r="C18" s="97">
        <v>41.986388888888889</v>
      </c>
      <c r="D18" s="133">
        <v>41.986388888888889</v>
      </c>
      <c r="E18" s="97">
        <v>12.853333333333332</v>
      </c>
      <c r="F18" s="133">
        <v>12.853333333333332</v>
      </c>
      <c r="G18" s="96" t="s">
        <v>114</v>
      </c>
      <c r="H18" s="96" t="s">
        <v>115</v>
      </c>
      <c r="I18" s="96" t="s">
        <v>115</v>
      </c>
      <c r="J18" s="96" t="s">
        <v>115</v>
      </c>
      <c r="K18" s="96" t="s">
        <v>110</v>
      </c>
      <c r="L18" s="96">
        <v>2.2200000000000002</v>
      </c>
      <c r="M18" s="96">
        <v>1.37</v>
      </c>
      <c r="N18" s="134">
        <f>AVERAGE(M18:M19)</f>
        <v>1.55</v>
      </c>
      <c r="O18" s="96">
        <v>0.25</v>
      </c>
      <c r="P18" s="96">
        <v>0.53</v>
      </c>
      <c r="Q18" s="96">
        <v>0.01</v>
      </c>
      <c r="R18" s="96" t="s">
        <v>111</v>
      </c>
      <c r="S18" s="103">
        <v>0.70951399999999998</v>
      </c>
      <c r="T18" s="135">
        <v>0.70951399999999998</v>
      </c>
      <c r="U18" s="96" t="s">
        <v>135</v>
      </c>
    </row>
    <row r="19" spans="1:21">
      <c r="D19" s="133"/>
      <c r="F19" s="133"/>
      <c r="K19" s="96" t="s">
        <v>105</v>
      </c>
      <c r="L19" s="96">
        <v>2.2400000000000002</v>
      </c>
      <c r="M19" s="96">
        <v>1.73</v>
      </c>
      <c r="N19" s="134"/>
      <c r="O19" s="96">
        <v>0.14000000000000001</v>
      </c>
      <c r="P19" s="96">
        <v>1.8</v>
      </c>
      <c r="Q19" s="96">
        <v>0.01</v>
      </c>
      <c r="R19" s="96" t="s">
        <v>111</v>
      </c>
      <c r="S19" s="103"/>
      <c r="T19" s="135"/>
    </row>
    <row r="20" spans="1:21">
      <c r="A20" s="96" t="s">
        <v>133</v>
      </c>
      <c r="B20" s="96" t="s">
        <v>136</v>
      </c>
      <c r="C20" s="97">
        <v>41.981388888888887</v>
      </c>
      <c r="D20" s="133">
        <v>41.981388888888887</v>
      </c>
      <c r="E20" s="97">
        <v>12.693333333333333</v>
      </c>
      <c r="F20" s="133">
        <v>12.693333333333333</v>
      </c>
      <c r="G20" s="96" t="s">
        <v>104</v>
      </c>
      <c r="H20" s="96">
        <v>48.1</v>
      </c>
      <c r="I20" s="96">
        <v>6.9</v>
      </c>
      <c r="J20" s="96">
        <v>61.4</v>
      </c>
      <c r="K20" s="96" t="s">
        <v>110</v>
      </c>
      <c r="L20" s="96">
        <v>1.71</v>
      </c>
      <c r="M20" s="96">
        <v>1.17</v>
      </c>
      <c r="N20" s="134">
        <f>AVERAGE(M20:M21)</f>
        <v>0.80499999999999994</v>
      </c>
      <c r="O20" s="96">
        <v>0.13</v>
      </c>
      <c r="P20" s="96">
        <v>1.4</v>
      </c>
      <c r="Q20" s="96">
        <v>0.01</v>
      </c>
      <c r="R20" s="96" t="s">
        <v>111</v>
      </c>
      <c r="S20" s="103">
        <v>0.710476</v>
      </c>
      <c r="T20" s="135">
        <v>0.710476</v>
      </c>
      <c r="U20" s="96" t="s">
        <v>131</v>
      </c>
    </row>
    <row r="21" spans="1:21">
      <c r="D21" s="133"/>
      <c r="F21" s="133"/>
      <c r="K21" s="96" t="s">
        <v>105</v>
      </c>
      <c r="L21" s="96">
        <v>1.69</v>
      </c>
      <c r="M21" s="96">
        <v>0.44</v>
      </c>
      <c r="N21" s="134"/>
      <c r="O21" s="96">
        <v>0.03</v>
      </c>
      <c r="P21" s="96">
        <v>5.5</v>
      </c>
      <c r="Q21" s="96">
        <v>0.02</v>
      </c>
      <c r="R21" s="96" t="s">
        <v>111</v>
      </c>
      <c r="S21" s="103"/>
      <c r="T21" s="135"/>
    </row>
    <row r="22" spans="1:21">
      <c r="A22" s="96" t="s">
        <v>137</v>
      </c>
      <c r="B22" s="96" t="s">
        <v>138</v>
      </c>
      <c r="C22" s="97">
        <v>42.738055555555555</v>
      </c>
      <c r="D22" s="133">
        <v>42.738055555555555</v>
      </c>
      <c r="E22" s="97">
        <v>12.163055555555557</v>
      </c>
      <c r="F22" s="133">
        <v>12.163055555555557</v>
      </c>
      <c r="G22" s="96" t="s">
        <v>114</v>
      </c>
      <c r="H22" s="96" t="s">
        <v>115</v>
      </c>
      <c r="I22" s="96" t="s">
        <v>115</v>
      </c>
      <c r="J22" s="96" t="s">
        <v>115</v>
      </c>
      <c r="K22" s="96" t="s">
        <v>110</v>
      </c>
      <c r="L22" s="96">
        <v>1.1499999999999999</v>
      </c>
      <c r="M22" s="96">
        <v>0.63</v>
      </c>
      <c r="N22" s="134">
        <f>AVERAGE(M22:M23)</f>
        <v>0.625</v>
      </c>
      <c r="O22" s="96">
        <v>0.06</v>
      </c>
      <c r="P22" s="96">
        <v>2.6</v>
      </c>
      <c r="Q22" s="96">
        <v>0.04</v>
      </c>
      <c r="R22" s="96" t="s">
        <v>111</v>
      </c>
      <c r="S22" s="103">
        <v>0.71048299999999998</v>
      </c>
      <c r="T22" s="135">
        <v>0.71048299999999998</v>
      </c>
      <c r="U22" s="96" t="s">
        <v>128</v>
      </c>
    </row>
    <row r="23" spans="1:21">
      <c r="D23" s="133"/>
      <c r="F23" s="133"/>
      <c r="K23" s="96" t="s">
        <v>105</v>
      </c>
      <c r="L23" s="96">
        <v>2.04</v>
      </c>
      <c r="M23" s="96">
        <v>0.62</v>
      </c>
      <c r="N23" s="134"/>
      <c r="O23" s="96">
        <v>0.05</v>
      </c>
      <c r="P23" s="96">
        <v>5.6</v>
      </c>
      <c r="Q23" s="96">
        <v>0.03</v>
      </c>
      <c r="R23" s="96" t="s">
        <v>111</v>
      </c>
      <c r="S23" s="103"/>
      <c r="T23" s="135"/>
    </row>
    <row r="24" spans="1:21">
      <c r="A24" s="96" t="s">
        <v>137</v>
      </c>
      <c r="B24" s="96" t="s">
        <v>139</v>
      </c>
      <c r="C24" s="97">
        <v>42.484444444444442</v>
      </c>
      <c r="D24" s="133">
        <v>42.484444444444442</v>
      </c>
      <c r="E24" s="97">
        <v>12.045833333333333</v>
      </c>
      <c r="F24" s="133">
        <v>12.045833333333333</v>
      </c>
      <c r="G24" s="96" t="s">
        <v>114</v>
      </c>
      <c r="H24" s="96" t="s">
        <v>115</v>
      </c>
      <c r="I24" s="96" t="s">
        <v>115</v>
      </c>
      <c r="J24" s="96" t="s">
        <v>115</v>
      </c>
      <c r="K24" s="96" t="s">
        <v>110</v>
      </c>
      <c r="L24" s="96">
        <v>1.71</v>
      </c>
      <c r="M24" s="96">
        <v>0.98</v>
      </c>
      <c r="N24" s="134">
        <f>AVERAGE(M24:M25)</f>
        <v>0.96</v>
      </c>
      <c r="O24" s="96">
        <v>0.34</v>
      </c>
      <c r="P24" s="96">
        <v>0.22</v>
      </c>
      <c r="Q24" s="96">
        <v>0.01</v>
      </c>
      <c r="R24" s="96" t="s">
        <v>111</v>
      </c>
      <c r="S24" s="103">
        <v>0.71044300000000005</v>
      </c>
      <c r="T24" s="135">
        <v>0.71044300000000005</v>
      </c>
      <c r="U24" s="96" t="s">
        <v>135</v>
      </c>
    </row>
    <row r="25" spans="1:21">
      <c r="D25" s="133"/>
      <c r="F25" s="133"/>
      <c r="K25" s="96" t="s">
        <v>105</v>
      </c>
      <c r="L25" s="96">
        <v>2.31</v>
      </c>
      <c r="M25" s="96">
        <v>0.94</v>
      </c>
      <c r="N25" s="134"/>
      <c r="O25" s="96">
        <v>0.03</v>
      </c>
      <c r="P25" s="96">
        <v>21</v>
      </c>
      <c r="Q25" s="96">
        <v>0.1</v>
      </c>
      <c r="R25" s="96" t="s">
        <v>111</v>
      </c>
      <c r="S25" s="103"/>
      <c r="T25" s="135"/>
    </row>
    <row r="26" spans="1:21">
      <c r="A26" s="96" t="s">
        <v>137</v>
      </c>
      <c r="B26" s="96" t="s">
        <v>140</v>
      </c>
      <c r="C26" s="97">
        <v>42.539444444444442</v>
      </c>
      <c r="D26" s="98">
        <v>42.539444444444442</v>
      </c>
      <c r="E26" s="97">
        <v>12.228333333333333</v>
      </c>
      <c r="F26" s="98">
        <v>12.228333333333333</v>
      </c>
      <c r="G26" s="96" t="s">
        <v>104</v>
      </c>
      <c r="H26" s="96">
        <v>48.6</v>
      </c>
      <c r="I26" s="96">
        <v>6.8</v>
      </c>
      <c r="J26" s="96">
        <v>64.400000000000006</v>
      </c>
      <c r="K26" s="96" t="s">
        <v>110</v>
      </c>
      <c r="L26" s="96">
        <v>1.19</v>
      </c>
      <c r="M26" s="96">
        <v>0.79</v>
      </c>
      <c r="N26" s="102">
        <v>0.79</v>
      </c>
      <c r="O26" s="96">
        <v>7.0000000000000007E-2</v>
      </c>
      <c r="P26" s="96">
        <v>0.99</v>
      </c>
      <c r="Q26" s="96">
        <v>0.01</v>
      </c>
      <c r="R26" s="96" t="s">
        <v>111</v>
      </c>
      <c r="S26" s="103">
        <v>0.71043699999999999</v>
      </c>
      <c r="T26" s="100">
        <v>0.71043699999999999</v>
      </c>
      <c r="U26" s="96" t="s">
        <v>131</v>
      </c>
    </row>
    <row r="27" spans="1:21">
      <c r="A27" s="96" t="s">
        <v>137</v>
      </c>
      <c r="B27" s="96" t="s">
        <v>141</v>
      </c>
      <c r="C27" s="97">
        <v>42.680555555555557</v>
      </c>
      <c r="D27" s="98">
        <v>42.680555555555557</v>
      </c>
      <c r="E27" s="97">
        <v>12.15111111111111</v>
      </c>
      <c r="F27" s="98">
        <v>12.15111111111111</v>
      </c>
      <c r="G27" s="96" t="s">
        <v>104</v>
      </c>
      <c r="H27" s="96">
        <v>49.2</v>
      </c>
      <c r="I27" s="96">
        <v>7.2</v>
      </c>
      <c r="J27" s="96">
        <v>68.900000000000006</v>
      </c>
      <c r="K27" s="96" t="s">
        <v>110</v>
      </c>
      <c r="L27" s="96">
        <v>1.31</v>
      </c>
      <c r="M27" s="96">
        <v>0.75</v>
      </c>
      <c r="N27" s="102">
        <v>0.75</v>
      </c>
      <c r="O27" s="96">
        <v>0.16</v>
      </c>
      <c r="P27" s="96">
        <v>0.62</v>
      </c>
      <c r="Q27" s="96">
        <v>0.01</v>
      </c>
      <c r="R27" s="96" t="s">
        <v>111</v>
      </c>
      <c r="S27" s="103">
        <v>0.71031100000000003</v>
      </c>
      <c r="T27" s="100">
        <v>0.71031100000000003</v>
      </c>
      <c r="U27" s="96" t="s">
        <v>123</v>
      </c>
    </row>
    <row r="28" spans="1:21">
      <c r="A28" s="96" t="s">
        <v>137</v>
      </c>
      <c r="B28" s="96" t="s">
        <v>142</v>
      </c>
      <c r="D28" s="98" t="s">
        <v>103</v>
      </c>
      <c r="F28" s="98" t="s">
        <v>103</v>
      </c>
      <c r="G28" s="96" t="s">
        <v>104</v>
      </c>
      <c r="H28" s="96">
        <v>48.3</v>
      </c>
      <c r="I28" s="96">
        <v>5.2</v>
      </c>
      <c r="J28" s="96">
        <v>58.2</v>
      </c>
      <c r="K28" s="96" t="s">
        <v>105</v>
      </c>
      <c r="L28" s="96">
        <v>1.1299999999999999</v>
      </c>
      <c r="M28" s="96">
        <v>0.87</v>
      </c>
      <c r="N28" s="105">
        <v>0.87</v>
      </c>
      <c r="O28" s="96">
        <v>0.24</v>
      </c>
      <c r="P28" s="96">
        <v>0.61</v>
      </c>
      <c r="Q28" s="96">
        <v>0.01</v>
      </c>
      <c r="R28" s="96" t="s">
        <v>111</v>
      </c>
      <c r="S28" s="106">
        <v>0.71059499999999998</v>
      </c>
      <c r="T28" s="100">
        <v>0.71059499999999998</v>
      </c>
      <c r="U28" s="96" t="s">
        <v>131</v>
      </c>
    </row>
    <row r="29" spans="1:21">
      <c r="A29" s="96" t="s">
        <v>137</v>
      </c>
      <c r="B29" s="96" t="s">
        <v>143</v>
      </c>
      <c r="C29" s="97">
        <v>42.699999999999996</v>
      </c>
      <c r="D29" s="133">
        <v>42.699999999999996</v>
      </c>
      <c r="E29" s="97">
        <v>11.844722222222222</v>
      </c>
      <c r="F29" s="133">
        <v>11.844722222222222</v>
      </c>
      <c r="G29" s="96" t="s">
        <v>104</v>
      </c>
      <c r="H29" s="96">
        <v>54.1</v>
      </c>
      <c r="I29" s="96">
        <v>4.4000000000000004</v>
      </c>
      <c r="J29" s="96">
        <v>60.1</v>
      </c>
      <c r="K29" s="96" t="s">
        <v>110</v>
      </c>
      <c r="L29" s="96">
        <v>0.93</v>
      </c>
      <c r="M29" s="96">
        <v>1.06</v>
      </c>
      <c r="N29" s="136">
        <f>AVERAGE(M29:M30)</f>
        <v>1.095</v>
      </c>
      <c r="O29" s="96">
        <v>0.36</v>
      </c>
      <c r="P29" s="96">
        <v>0.99</v>
      </c>
      <c r="Q29" s="96">
        <v>0.01</v>
      </c>
      <c r="R29" s="96" t="s">
        <v>111</v>
      </c>
      <c r="S29" s="103">
        <v>0.70997900000000003</v>
      </c>
      <c r="T29" s="135">
        <v>0.70997900000000003</v>
      </c>
      <c r="U29" s="96" t="s">
        <v>123</v>
      </c>
    </row>
    <row r="30" spans="1:21">
      <c r="D30" s="133"/>
      <c r="F30" s="133"/>
      <c r="K30" s="96" t="s">
        <v>105</v>
      </c>
      <c r="L30" s="96">
        <v>0.92</v>
      </c>
      <c r="M30" s="96">
        <v>1.1299999999999999</v>
      </c>
      <c r="N30" s="136"/>
      <c r="O30" s="96">
        <v>0.06</v>
      </c>
      <c r="P30" s="96">
        <v>13</v>
      </c>
      <c r="Q30" s="96">
        <v>0.1</v>
      </c>
      <c r="R30" s="96" t="s">
        <v>111</v>
      </c>
      <c r="S30" s="103"/>
      <c r="T30" s="135"/>
    </row>
    <row r="31" spans="1:21">
      <c r="A31" s="96" t="s">
        <v>144</v>
      </c>
      <c r="B31" s="96" t="s">
        <v>145</v>
      </c>
      <c r="G31" s="96" t="s">
        <v>104</v>
      </c>
      <c r="H31" s="96">
        <v>56.9</v>
      </c>
      <c r="I31" s="96">
        <v>6.1</v>
      </c>
      <c r="J31" s="96">
        <v>64.5</v>
      </c>
      <c r="K31" s="96" t="s">
        <v>110</v>
      </c>
      <c r="L31" s="96">
        <v>1.36</v>
      </c>
      <c r="P31" s="96">
        <v>6.7000000000000004E-2</v>
      </c>
      <c r="Q31" s="96">
        <v>5.0000000000000001E-3</v>
      </c>
      <c r="R31" s="96" t="s">
        <v>111</v>
      </c>
      <c r="S31" s="103">
        <v>0.71590500000000001</v>
      </c>
      <c r="T31" s="100">
        <v>0.71590500000000001</v>
      </c>
      <c r="U31" s="96" t="s">
        <v>146</v>
      </c>
    </row>
    <row r="32" spans="1:21">
      <c r="N32" s="99" t="s">
        <v>147</v>
      </c>
    </row>
    <row r="35" spans="13:14">
      <c r="M35" s="96" t="s">
        <v>148</v>
      </c>
      <c r="N35" s="104">
        <f>AVERAGE(N29, N18:N27)</f>
        <v>0.93928571428571428</v>
      </c>
    </row>
    <row r="36" spans="13:14">
      <c r="M36" s="96" t="s">
        <v>149</v>
      </c>
      <c r="N36" s="104">
        <f>AVERAGE(N18:N30)</f>
        <v>0.93062500000000004</v>
      </c>
    </row>
  </sheetData>
  <mergeCells count="40">
    <mergeCell ref="D3:D5"/>
    <mergeCell ref="F3:F5"/>
    <mergeCell ref="N3:N5"/>
    <mergeCell ref="T3:T5"/>
    <mergeCell ref="D9:D10"/>
    <mergeCell ref="F9:F10"/>
    <mergeCell ref="N9:N10"/>
    <mergeCell ref="T9:T10"/>
    <mergeCell ref="D11:D12"/>
    <mergeCell ref="F11:F12"/>
    <mergeCell ref="N11:N12"/>
    <mergeCell ref="T11:T12"/>
    <mergeCell ref="D14:D15"/>
    <mergeCell ref="F14:F15"/>
    <mergeCell ref="N14:N15"/>
    <mergeCell ref="T14:T15"/>
    <mergeCell ref="D16:D17"/>
    <mergeCell ref="F16:F17"/>
    <mergeCell ref="N16:N17"/>
    <mergeCell ref="T16:T17"/>
    <mergeCell ref="D18:D19"/>
    <mergeCell ref="F18:F19"/>
    <mergeCell ref="N18:N19"/>
    <mergeCell ref="T18:T19"/>
    <mergeCell ref="D20:D21"/>
    <mergeCell ref="F20:F21"/>
    <mergeCell ref="N20:N21"/>
    <mergeCell ref="T20:T21"/>
    <mergeCell ref="D22:D23"/>
    <mergeCell ref="F22:F23"/>
    <mergeCell ref="N22:N23"/>
    <mergeCell ref="T22:T23"/>
    <mergeCell ref="D24:D25"/>
    <mergeCell ref="F24:F25"/>
    <mergeCell ref="N24:N25"/>
    <mergeCell ref="T24:T25"/>
    <mergeCell ref="D29:D30"/>
    <mergeCell ref="F29:F30"/>
    <mergeCell ref="N29:N30"/>
    <mergeCell ref="T29:T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96AF-E232-40A1-B3A3-D527498A8D48}">
  <dimension ref="A1:T68"/>
  <sheetViews>
    <sheetView workbookViewId="0">
      <selection activeCell="H24" sqref="H24"/>
    </sheetView>
  </sheetViews>
  <sheetFormatPr defaultRowHeight="14.4"/>
  <cols>
    <col min="1" max="1" width="17.109375" style="6" customWidth="1"/>
    <col min="2" max="2" width="10" customWidth="1"/>
    <col min="3" max="3" width="10.6640625" customWidth="1"/>
    <col min="4" max="4" width="8.77734375" customWidth="1"/>
    <col min="5" max="5" width="9.33203125" customWidth="1"/>
    <col min="6" max="6" width="9.109375" customWidth="1"/>
    <col min="7" max="7" width="12.88671875" customWidth="1"/>
    <col min="8" max="8" width="25.5546875" customWidth="1"/>
    <col min="9" max="9" width="18.5546875" bestFit="1" customWidth="1"/>
    <col min="10" max="11" width="16.33203125" customWidth="1"/>
    <col min="12" max="13" width="17.5546875" customWidth="1"/>
    <col min="14" max="16" width="16.88671875" customWidth="1"/>
    <col min="17" max="17" width="17.6640625" customWidth="1"/>
    <col min="18" max="18" width="19.5546875" customWidth="1"/>
    <col min="19" max="19" width="21.77734375" customWidth="1"/>
    <col min="20" max="20" width="20.109375" customWidth="1"/>
  </cols>
  <sheetData>
    <row r="1" spans="1:20" s="5" customFormat="1" ht="15" thickBot="1">
      <c r="A1" s="138"/>
      <c r="B1" s="138"/>
      <c r="C1" s="139"/>
      <c r="D1" s="139"/>
      <c r="E1" s="139"/>
      <c r="F1" s="139"/>
      <c r="G1" s="140" t="s">
        <v>0</v>
      </c>
      <c r="H1" s="141"/>
      <c r="I1" s="142"/>
      <c r="J1" s="140" t="s">
        <v>1</v>
      </c>
      <c r="K1" s="141"/>
      <c r="L1" s="141"/>
      <c r="M1" s="141"/>
      <c r="N1" s="141"/>
      <c r="O1" s="141"/>
      <c r="P1" s="141"/>
      <c r="Q1" s="71" t="s">
        <v>65</v>
      </c>
      <c r="R1" s="140" t="s">
        <v>2</v>
      </c>
      <c r="S1" s="141"/>
      <c r="T1" s="142"/>
    </row>
    <row r="2" spans="1:20" s="5" customFormat="1" ht="15" thickBot="1">
      <c r="A2" s="69"/>
      <c r="B2" s="69"/>
      <c r="C2" s="69"/>
      <c r="D2" s="69"/>
      <c r="E2" s="69"/>
      <c r="F2" s="69"/>
      <c r="G2" s="68"/>
      <c r="H2" s="68"/>
      <c r="I2" s="68"/>
      <c r="J2" s="140" t="s">
        <v>63</v>
      </c>
      <c r="K2" s="142"/>
      <c r="L2" s="141" t="s">
        <v>64</v>
      </c>
      <c r="M2" s="141"/>
      <c r="N2" s="141"/>
      <c r="O2" s="141"/>
      <c r="P2" s="142"/>
      <c r="Q2" s="68"/>
      <c r="R2" s="67"/>
      <c r="S2" s="68"/>
      <c r="T2" s="70"/>
    </row>
    <row r="3" spans="1:20" s="26" customFormat="1" ht="28.8">
      <c r="A3" s="17" t="s">
        <v>3</v>
      </c>
      <c r="B3" s="18" t="s">
        <v>4</v>
      </c>
      <c r="C3" s="19" t="s">
        <v>5</v>
      </c>
      <c r="D3" s="18" t="s">
        <v>6</v>
      </c>
      <c r="E3" s="18" t="s">
        <v>7</v>
      </c>
      <c r="F3" s="20" t="s">
        <v>8</v>
      </c>
      <c r="G3" s="21" t="s">
        <v>9</v>
      </c>
      <c r="H3" s="18" t="s">
        <v>10</v>
      </c>
      <c r="I3" s="18" t="s">
        <v>11</v>
      </c>
      <c r="J3" s="22" t="s">
        <v>12</v>
      </c>
      <c r="K3" s="23" t="s">
        <v>13</v>
      </c>
      <c r="L3" s="24" t="s">
        <v>14</v>
      </c>
      <c r="M3" s="23" t="s">
        <v>15</v>
      </c>
      <c r="N3" s="24" t="s">
        <v>16</v>
      </c>
      <c r="O3" s="24" t="s">
        <v>17</v>
      </c>
      <c r="P3" s="23" t="s">
        <v>18</v>
      </c>
      <c r="Q3" s="24" t="s">
        <v>19</v>
      </c>
      <c r="R3" s="22" t="s">
        <v>20</v>
      </c>
      <c r="S3" s="23" t="s">
        <v>21</v>
      </c>
      <c r="T3" s="25" t="s">
        <v>22</v>
      </c>
    </row>
    <row r="4" spans="1:20">
      <c r="A4" s="1" t="s">
        <v>23</v>
      </c>
      <c r="B4" s="2">
        <v>13</v>
      </c>
      <c r="C4" s="1">
        <v>2.75</v>
      </c>
      <c r="D4" s="2">
        <v>0.78</v>
      </c>
      <c r="E4" s="2">
        <v>1.98</v>
      </c>
      <c r="F4" s="9">
        <f>E4/D4</f>
        <v>2.5384615384615383</v>
      </c>
      <c r="G4" s="2">
        <f>D4+(0.123*((E4/D4)-4))</f>
        <v>0.60023076923076923</v>
      </c>
      <c r="H4" s="2">
        <f>0.2355*10^-12*G4</f>
        <v>1.4135434615384616E-13</v>
      </c>
      <c r="I4" s="12">
        <f>B4*C4*H4*8.51134*10^20</f>
        <v>4301135769.6202507</v>
      </c>
      <c r="J4" s="27">
        <f>9.8314*10^-5</f>
        <v>9.8314000000000008E-5</v>
      </c>
      <c r="K4" s="13">
        <v>2.6368170000000001E-5</v>
      </c>
      <c r="L4" s="2">
        <f>J4*D4*0.000001*C4*1000000/(1000*0.000001)</f>
        <v>0.21088353000000001</v>
      </c>
      <c r="M4" s="28">
        <f>K4*E4*0.000001*C4*1000000/(1000*0.000001)</f>
        <v>0.14357468564999998</v>
      </c>
      <c r="N4" s="2">
        <f>SUM(L4:M4)</f>
        <v>0.35445821565000002</v>
      </c>
      <c r="O4" s="2">
        <f>N4*10^-6</f>
        <v>3.5445821565E-7</v>
      </c>
      <c r="P4" s="28">
        <f>O4/(C4*1000)</f>
        <v>1.2889389660000001E-10</v>
      </c>
      <c r="Q4" s="2">
        <f>(N4/1000)*B4*1000</f>
        <v>4.6079568034499996</v>
      </c>
      <c r="R4" s="1">
        <f>(P4/85)*15</f>
        <v>2.2745981752941177E-11</v>
      </c>
      <c r="S4" s="28">
        <f>P4+R4</f>
        <v>1.5163987835294119E-10</v>
      </c>
      <c r="T4" s="29">
        <f>S4*C4*B4*10^9</f>
        <v>5.4211256511176469</v>
      </c>
    </row>
    <row r="5" spans="1:20">
      <c r="A5" s="1" t="s">
        <v>24</v>
      </c>
      <c r="B5" s="2">
        <v>13</v>
      </c>
      <c r="C5" s="30">
        <v>2.6</v>
      </c>
      <c r="D5" s="2">
        <v>2.2000000000000002</v>
      </c>
      <c r="E5" s="2">
        <v>8.3000000000000007</v>
      </c>
      <c r="F5" s="9">
        <f t="shared" ref="F5:F6" si="0">E5/D5</f>
        <v>3.7727272727272729</v>
      </c>
      <c r="G5" s="2">
        <f t="shared" ref="G5:G6" si="1">D5+(0.123*((E5/D5)-4))</f>
        <v>2.1720454545454548</v>
      </c>
      <c r="H5" s="2">
        <f t="shared" ref="H5:H6" si="2">0.2355*10^-12*G5</f>
        <v>5.1151670454545464E-13</v>
      </c>
      <c r="I5" s="12">
        <f>B5*C5*H5*8.51134*10^20</f>
        <v>14715480947.662779</v>
      </c>
      <c r="J5" s="27">
        <f t="shared" ref="J5:J6" si="3">9.8314*10^-5</f>
        <v>9.8314000000000008E-5</v>
      </c>
      <c r="K5" s="13">
        <v>2.6368170000000001E-5</v>
      </c>
      <c r="L5" s="2">
        <f t="shared" ref="L5:L6" si="4">J5*D5*0.000001*C5*1000000/(1000*0.000001)</f>
        <v>0.56235608000000004</v>
      </c>
      <c r="M5" s="28">
        <f t="shared" ref="M5:M6" si="5">K5*E5*0.000001*C5*1000000/(1000*0.000001)</f>
        <v>0.5690251086</v>
      </c>
      <c r="N5" s="2">
        <f t="shared" ref="N5:N6" si="6">SUM(L5:M5)</f>
        <v>1.1313811886</v>
      </c>
      <c r="O5" s="2">
        <f>N5*10^-6</f>
        <v>1.1313811886000001E-6</v>
      </c>
      <c r="P5" s="28">
        <f>O5/(C5*1000)</f>
        <v>4.3514661100000003E-10</v>
      </c>
      <c r="Q5" s="2">
        <f>(N5/1000)*B5*1000</f>
        <v>14.707955451800002</v>
      </c>
      <c r="R5" s="1">
        <f t="shared" ref="R5:R6" si="7">(P5/85)*15</f>
        <v>7.6790578411764704E-11</v>
      </c>
      <c r="S5" s="28">
        <f t="shared" ref="S5:S6" si="8">P5+R5</f>
        <v>5.1193718941176476E-10</v>
      </c>
      <c r="T5" s="29">
        <f t="shared" ref="T5:T6" si="9">S5*C5*B5*10^9</f>
        <v>17.303477002117653</v>
      </c>
    </row>
    <row r="6" spans="1:20">
      <c r="A6" s="1" t="s">
        <v>25</v>
      </c>
      <c r="B6" s="2">
        <v>9</v>
      </c>
      <c r="C6" s="1">
        <v>3.3</v>
      </c>
      <c r="D6" s="2">
        <v>0.28999999999999998</v>
      </c>
      <c r="E6" s="2">
        <v>3.17</v>
      </c>
      <c r="F6" s="9">
        <f t="shared" si="0"/>
        <v>10.931034482758621</v>
      </c>
      <c r="G6" s="2">
        <f t="shared" si="1"/>
        <v>1.1425172413793103</v>
      </c>
      <c r="H6" s="2">
        <f t="shared" si="2"/>
        <v>2.6906281034482759E-13</v>
      </c>
      <c r="I6" s="12">
        <f t="shared" ref="I6" si="10">B6*C6*H6*8.51134*10^20</f>
        <v>6801552628.7950249</v>
      </c>
      <c r="J6" s="27">
        <f t="shared" si="3"/>
        <v>9.8314000000000008E-5</v>
      </c>
      <c r="K6" s="13">
        <v>2.6368170000000001E-5</v>
      </c>
      <c r="L6" s="2">
        <f t="shared" si="4"/>
        <v>9.4086497999999991E-2</v>
      </c>
      <c r="M6" s="28">
        <f t="shared" si="5"/>
        <v>0.27583742636999997</v>
      </c>
      <c r="N6" s="2">
        <f t="shared" si="6"/>
        <v>0.36992392436999999</v>
      </c>
      <c r="O6" s="2">
        <f>N6*10^-6</f>
        <v>3.6992392436999999E-7</v>
      </c>
      <c r="P6" s="28">
        <f>O6/(C6*1000)</f>
        <v>1.120981589E-10</v>
      </c>
      <c r="Q6" s="2">
        <f>(N6/1000)*B6*1000</f>
        <v>3.32931531933</v>
      </c>
      <c r="R6" s="1">
        <f t="shared" si="7"/>
        <v>1.9782028041176472E-11</v>
      </c>
      <c r="S6" s="28">
        <f t="shared" si="8"/>
        <v>1.3188018694117647E-10</v>
      </c>
      <c r="T6" s="29">
        <f t="shared" si="9"/>
        <v>3.9168415521529405</v>
      </c>
    </row>
    <row r="7" spans="1:20" ht="15" thickBot="1">
      <c r="A7" s="31" t="s">
        <v>26</v>
      </c>
      <c r="B7" s="32">
        <f>SUM(B4:B6)</f>
        <v>35</v>
      </c>
      <c r="C7" s="33">
        <f>(($B4*C4)+($B5*C5)+($B6*C6))/$B7</f>
        <v>2.8357142857142863</v>
      </c>
      <c r="D7" s="34">
        <f>(($B4*D4)+($B5*D5)+($B6*D6))/$B7</f>
        <v>1.1814285714285715</v>
      </c>
      <c r="E7" s="34">
        <f>(($B4*E4)+($B5*E5)+($B6*E6))/$B7</f>
        <v>4.6334285714285715</v>
      </c>
      <c r="F7" s="35">
        <f>E7/D7</f>
        <v>3.9218863361547762</v>
      </c>
      <c r="G7" s="36"/>
      <c r="H7" s="32">
        <f>SUM(H4:H6)</f>
        <v>9.219338610441285E-13</v>
      </c>
      <c r="I7" s="37">
        <f>SUM(I4:I6)</f>
        <v>25818169346.078053</v>
      </c>
      <c r="J7" s="38">
        <f t="shared" ref="J7:P7" si="11">(($B4*J4)+($B5*J5)+($B6*J6))/$B7</f>
        <v>9.8314000000000008E-5</v>
      </c>
      <c r="K7" s="39">
        <f t="shared" si="11"/>
        <v>2.6368170000000001E-5</v>
      </c>
      <c r="L7" s="34">
        <f t="shared" si="11"/>
        <v>0.31139695462857142</v>
      </c>
      <c r="M7" s="40">
        <f t="shared" si="11"/>
        <v>0.33560954750228567</v>
      </c>
      <c r="N7" s="34">
        <f t="shared" si="11"/>
        <v>0.6470065021308572</v>
      </c>
      <c r="O7" s="41">
        <f t="shared" si="11"/>
        <v>6.4700650213085715E-7</v>
      </c>
      <c r="P7" s="39">
        <f t="shared" si="11"/>
        <v>2.3832600082571429E-10</v>
      </c>
      <c r="Q7" s="42">
        <f>SUM(Q4:Q6)</f>
        <v>22.645227574580002</v>
      </c>
      <c r="R7" s="38">
        <f>(($B4*R4)+($B5*R5)+($B6*R6))/$B7</f>
        <v>4.2057529557478991E-11</v>
      </c>
      <c r="S7" s="39">
        <f>(($B4*S4)+($B5*S5)+($B6*S6))/$B7</f>
        <v>2.8038353038319325E-10</v>
      </c>
      <c r="T7" s="43">
        <f>SUM(T4:T6)</f>
        <v>26.641444205388243</v>
      </c>
    </row>
    <row r="8" spans="1:20" ht="15" thickBot="1">
      <c r="J8" s="143" t="s">
        <v>27</v>
      </c>
      <c r="K8" s="144"/>
      <c r="L8" s="145" t="s">
        <v>28</v>
      </c>
      <c r="M8" s="146"/>
      <c r="N8" s="146"/>
      <c r="O8" s="146"/>
      <c r="P8" s="147"/>
    </row>
    <row r="9" spans="1:20">
      <c r="J9" s="44"/>
      <c r="K9" s="44"/>
      <c r="L9" s="45"/>
      <c r="M9" s="45"/>
      <c r="N9" s="45"/>
      <c r="O9" s="45"/>
      <c r="P9" s="45"/>
    </row>
    <row r="10" spans="1:20">
      <c r="A10" s="46" t="s">
        <v>29</v>
      </c>
      <c r="C10" s="47">
        <f>(Q7*15)/85</f>
        <v>3.9962166308082354</v>
      </c>
      <c r="J10" s="44"/>
      <c r="K10" s="44"/>
      <c r="L10" s="45"/>
      <c r="M10" s="45"/>
      <c r="N10" s="45"/>
      <c r="O10" s="45"/>
      <c r="P10" s="45"/>
    </row>
    <row r="11" spans="1:20">
      <c r="A11" s="46" t="s">
        <v>30</v>
      </c>
      <c r="C11" s="48">
        <f>Q7+C10</f>
        <v>26.641444205388236</v>
      </c>
      <c r="J11" s="44"/>
      <c r="K11" s="44"/>
      <c r="L11" s="45"/>
      <c r="M11" s="45"/>
      <c r="N11" s="45"/>
      <c r="O11" s="45"/>
      <c r="P11" s="45"/>
    </row>
    <row r="12" spans="1:20" s="5" customFormat="1">
      <c r="A12" s="46" t="s">
        <v>31</v>
      </c>
      <c r="B12" s="15"/>
      <c r="C12" s="15">
        <f>I7/C11</f>
        <v>969097964.32343268</v>
      </c>
      <c r="O12" s="49"/>
      <c r="P12" s="49"/>
    </row>
    <row r="13" spans="1:20" s="5" customFormat="1">
      <c r="A13" s="46"/>
      <c r="B13" s="15"/>
      <c r="C13" s="15">
        <v>969097964.32343304</v>
      </c>
      <c r="N13" s="5">
        <f>N4+N5+N6</f>
        <v>1.8557633286200002</v>
      </c>
      <c r="O13" s="49"/>
      <c r="P13" s="49"/>
    </row>
    <row r="14" spans="1:20" s="5" customFormat="1" ht="15" thickBot="1">
      <c r="B14" s="15"/>
      <c r="C14" s="15"/>
      <c r="O14" s="49"/>
      <c r="P14" s="49"/>
    </row>
    <row r="15" spans="1:20" s="5" customFormat="1">
      <c r="A15" s="50" t="s">
        <v>32</v>
      </c>
      <c r="B15" s="51"/>
      <c r="C15" s="52">
        <f>S7</f>
        <v>2.8038353038319325E-10</v>
      </c>
      <c r="O15" s="49"/>
      <c r="P15" s="49"/>
    </row>
    <row r="16" spans="1:20" s="5" customFormat="1" ht="15" thickBot="1">
      <c r="A16" s="53" t="s">
        <v>33</v>
      </c>
      <c r="B16" s="54"/>
      <c r="C16" s="55">
        <f>N7+((N7/85)*15)</f>
        <v>0.76118412015394965</v>
      </c>
      <c r="O16" s="49"/>
      <c r="P16" s="49"/>
    </row>
    <row r="17" spans="1:16" s="5" customFormat="1" ht="15" thickBot="1">
      <c r="A17" s="46"/>
      <c r="B17" s="15"/>
      <c r="C17" s="49"/>
      <c r="O17" s="49"/>
      <c r="P17" s="49"/>
    </row>
    <row r="18" spans="1:16" s="5" customFormat="1">
      <c r="A18" s="50" t="s">
        <v>34</v>
      </c>
      <c r="B18" s="51"/>
      <c r="C18" s="56">
        <f>T7*20/B7</f>
        <v>15.223682403078998</v>
      </c>
      <c r="O18" s="49"/>
      <c r="P18" s="49"/>
    </row>
    <row r="19" spans="1:16" s="5" customFormat="1" ht="15" thickBot="1">
      <c r="A19" s="53"/>
      <c r="B19" s="54"/>
      <c r="C19" s="57">
        <f>(35/30)*20</f>
        <v>23.333333333333336</v>
      </c>
      <c r="I19" s="5" t="s">
        <v>35</v>
      </c>
      <c r="O19" s="49"/>
      <c r="P19" s="49"/>
    </row>
    <row r="20" spans="1:16" s="5" customFormat="1" ht="15" thickBot="1">
      <c r="A20" s="46"/>
      <c r="B20" s="15"/>
      <c r="O20" s="49"/>
      <c r="P20" s="49"/>
    </row>
    <row r="21" spans="1:16" s="5" customFormat="1">
      <c r="A21" s="58" t="s">
        <v>36</v>
      </c>
      <c r="B21" s="59"/>
      <c r="C21" s="60"/>
      <c r="O21" s="49"/>
      <c r="P21" s="49"/>
    </row>
    <row r="22" spans="1:16" s="5" customFormat="1">
      <c r="A22" s="7" t="s">
        <v>56</v>
      </c>
      <c r="B22" s="61"/>
      <c r="C22" s="62">
        <f>(I7*20)/35</f>
        <v>14753239626.330315</v>
      </c>
      <c r="O22" s="49"/>
      <c r="P22" s="49"/>
    </row>
    <row r="23" spans="1:16" s="5" customFormat="1">
      <c r="A23" s="7" t="s">
        <v>58</v>
      </c>
      <c r="B23" s="61"/>
      <c r="C23" s="62">
        <f>(I7*1)/35</f>
        <v>737661981.3165158</v>
      </c>
      <c r="O23" s="49"/>
      <c r="P23" s="49"/>
    </row>
    <row r="24" spans="1:16" s="5" customFormat="1">
      <c r="A24" s="7" t="s">
        <v>57</v>
      </c>
      <c r="B24" s="61"/>
      <c r="C24" s="62">
        <f>I5/B5</f>
        <v>1131960072.8971369</v>
      </c>
      <c r="O24" s="49"/>
      <c r="P24" s="49"/>
    </row>
    <row r="25" spans="1:16" s="5" customFormat="1">
      <c r="A25" s="7" t="s">
        <v>59</v>
      </c>
      <c r="B25" s="61"/>
      <c r="C25" s="14">
        <f>T7*20/B7</f>
        <v>15.223682403078998</v>
      </c>
      <c r="O25" s="49"/>
      <c r="P25" s="49"/>
    </row>
    <row r="26" spans="1:16" s="5" customFormat="1" ht="15" thickBot="1">
      <c r="A26" s="53" t="s">
        <v>37</v>
      </c>
      <c r="B26" s="54"/>
      <c r="C26" s="63">
        <f>C22/C18</f>
        <v>969097964.32343233</v>
      </c>
      <c r="O26" s="49"/>
      <c r="P26" s="49"/>
    </row>
    <row r="27" spans="1:16" s="5" customFormat="1">
      <c r="A27" s="46"/>
      <c r="B27" s="61"/>
      <c r="C27" s="61"/>
      <c r="O27" s="49"/>
      <c r="P27" s="49"/>
    </row>
    <row r="28" spans="1:16" s="5" customFormat="1">
      <c r="A28" s="46"/>
      <c r="B28" s="61"/>
      <c r="C28" s="61"/>
      <c r="O28" s="49"/>
      <c r="P28" s="49"/>
    </row>
    <row r="29" spans="1:16" s="5" customFormat="1">
      <c r="A29" s="46"/>
      <c r="B29" s="61"/>
      <c r="C29" s="61"/>
      <c r="O29" s="49"/>
      <c r="P29" s="49"/>
    </row>
    <row r="30" spans="1:16" s="5" customFormat="1" ht="15" thickBot="1">
      <c r="A30" s="46"/>
      <c r="B30" s="15"/>
      <c r="O30" s="49"/>
      <c r="P30" s="49"/>
    </row>
    <row r="31" spans="1:16" s="5" customFormat="1">
      <c r="A31" s="58" t="s">
        <v>38</v>
      </c>
      <c r="B31" s="59"/>
      <c r="C31" s="60"/>
      <c r="O31" s="49"/>
      <c r="P31" s="49"/>
    </row>
    <row r="32" spans="1:16" s="5" customFormat="1">
      <c r="A32" s="7" t="s">
        <v>39</v>
      </c>
      <c r="B32" s="61"/>
      <c r="C32" s="62">
        <f>I4+((I5/13)*7)</f>
        <v>12224856279.900209</v>
      </c>
      <c r="E32" s="15"/>
      <c r="O32" s="49"/>
      <c r="P32" s="49"/>
    </row>
    <row r="33" spans="1:16" s="5" customFormat="1">
      <c r="A33" s="7" t="s">
        <v>40</v>
      </c>
      <c r="B33" s="61"/>
      <c r="C33" s="14">
        <f>T4+((T5/13)*7)</f>
        <v>14.738382498411768</v>
      </c>
      <c r="O33" s="49"/>
      <c r="P33" s="49"/>
    </row>
    <row r="34" spans="1:16" s="5" customFormat="1">
      <c r="A34" s="7" t="s">
        <v>37</v>
      </c>
      <c r="B34" s="61"/>
      <c r="C34" s="62">
        <f>C32/C33</f>
        <v>829457118.59612679</v>
      </c>
      <c r="O34" s="49"/>
      <c r="P34" s="49"/>
    </row>
    <row r="35" spans="1:16" ht="15" thickBot="1">
      <c r="A35" s="53" t="s">
        <v>41</v>
      </c>
      <c r="B35" s="11"/>
      <c r="C35" s="63">
        <f>((S4*13)+(S5*7))/20</f>
        <v>2.7774393722352939E-10</v>
      </c>
    </row>
    <row r="36" spans="1:16" ht="15" thickBot="1">
      <c r="A36" s="46"/>
      <c r="B36" s="2"/>
      <c r="C36" s="61"/>
    </row>
    <row r="37" spans="1:16">
      <c r="A37" s="58" t="s">
        <v>42</v>
      </c>
      <c r="B37" s="59"/>
      <c r="C37" s="60"/>
    </row>
    <row r="38" spans="1:16">
      <c r="A38" s="7" t="s">
        <v>43</v>
      </c>
      <c r="B38" s="2"/>
      <c r="C38" s="62"/>
    </row>
    <row r="39" spans="1:16">
      <c r="A39" s="7" t="s">
        <v>44</v>
      </c>
      <c r="B39" s="2"/>
      <c r="C39" s="62"/>
    </row>
    <row r="40" spans="1:16" ht="15" thickBot="1">
      <c r="A40" s="53" t="s">
        <v>41</v>
      </c>
      <c r="B40" s="11"/>
      <c r="C40" s="63">
        <f>((S6*9)+(S5*6))/15</f>
        <v>2.8390298792941173E-10</v>
      </c>
    </row>
    <row r="41" spans="1:16">
      <c r="A41" s="46"/>
      <c r="B41" s="2"/>
      <c r="C41" s="61"/>
    </row>
    <row r="42" spans="1:16" s="5" customFormat="1">
      <c r="A42" s="46"/>
      <c r="B42" s="15"/>
      <c r="O42" s="49"/>
      <c r="P42" s="49"/>
    </row>
    <row r="43" spans="1:16" s="5" customFormat="1">
      <c r="A43" s="46"/>
      <c r="B43" s="15"/>
      <c r="O43" s="49"/>
      <c r="P43" s="49"/>
    </row>
    <row r="44" spans="1:16" s="5" customFormat="1">
      <c r="A44" s="46" t="s">
        <v>45</v>
      </c>
      <c r="B44" s="15"/>
      <c r="O44" s="49"/>
      <c r="P44" s="49"/>
    </row>
    <row r="45" spans="1:16" s="5" customFormat="1">
      <c r="A45" s="10" t="s">
        <v>46</v>
      </c>
      <c r="B45" s="15"/>
      <c r="O45" s="15">
        <f>P7+((P7/85)*15)</f>
        <v>2.8038353038319331E-10</v>
      </c>
      <c r="P45" s="49"/>
    </row>
    <row r="46" spans="1:16" s="5" customFormat="1">
      <c r="A46" s="10"/>
      <c r="B46" s="15"/>
      <c r="O46" s="49"/>
      <c r="P46" s="49"/>
    </row>
    <row r="47" spans="1:16" s="5" customFormat="1">
      <c r="A47" s="46" t="s">
        <v>47</v>
      </c>
      <c r="B47" s="15"/>
      <c r="P47" s="49"/>
    </row>
    <row r="48" spans="1:16" s="5" customFormat="1">
      <c r="A48" s="64" t="s">
        <v>36</v>
      </c>
      <c r="B48" s="15"/>
      <c r="O48" s="49"/>
      <c r="P48" s="49"/>
    </row>
    <row r="49" spans="1:18" s="5" customFormat="1">
      <c r="A49" s="65" t="s">
        <v>48</v>
      </c>
    </row>
    <row r="50" spans="1:18" s="5" customFormat="1"/>
    <row r="51" spans="1:18">
      <c r="A51" s="46" t="s">
        <v>49</v>
      </c>
      <c r="Q51" s="16"/>
      <c r="R51" s="16"/>
    </row>
    <row r="52" spans="1:18" s="6" customFormat="1">
      <c r="A52" s="10" t="s">
        <v>50</v>
      </c>
    </row>
    <row r="53" spans="1:18" s="6" customFormat="1">
      <c r="A53" s="10" t="s">
        <v>51</v>
      </c>
    </row>
    <row r="54" spans="1:18" s="6" customFormat="1"/>
    <row r="55" spans="1:18" s="5" customFormat="1">
      <c r="A55" s="5" t="s">
        <v>52</v>
      </c>
      <c r="M55" s="4"/>
    </row>
    <row r="56" spans="1:18">
      <c r="A56" s="6" t="s">
        <v>53</v>
      </c>
    </row>
    <row r="57" spans="1:18">
      <c r="A57" s="6" t="s">
        <v>54</v>
      </c>
    </row>
    <row r="58" spans="1:18">
      <c r="A58" s="6" t="s">
        <v>55</v>
      </c>
    </row>
    <row r="68" spans="2:2">
      <c r="B68" s="66"/>
    </row>
  </sheetData>
  <mergeCells count="8">
    <mergeCell ref="A1:F1"/>
    <mergeCell ref="G1:I1"/>
    <mergeCell ref="R1:T1"/>
    <mergeCell ref="J8:K8"/>
    <mergeCell ref="L8:P8"/>
    <mergeCell ref="J2:K2"/>
    <mergeCell ref="L2:P2"/>
    <mergeCell ref="J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738F-6447-4CB7-B0DD-F7724A9BE97F}">
  <dimension ref="A1:Q6"/>
  <sheetViews>
    <sheetView workbookViewId="0">
      <selection activeCell="H14" sqref="H14"/>
    </sheetView>
  </sheetViews>
  <sheetFormatPr defaultRowHeight="14.4"/>
  <cols>
    <col min="1" max="1" width="16.5546875" bestFit="1" customWidth="1"/>
    <col min="2" max="2" width="9.44140625" customWidth="1"/>
    <col min="3" max="3" width="8.5546875" customWidth="1"/>
    <col min="7" max="9" width="10.88671875" customWidth="1"/>
    <col min="10" max="10" width="10.33203125" customWidth="1"/>
    <col min="11" max="11" width="11.109375" customWidth="1"/>
    <col min="12" max="12" width="11.33203125" customWidth="1"/>
    <col min="13" max="13" width="12.21875" customWidth="1"/>
    <col min="14" max="14" width="10.6640625" customWidth="1"/>
    <col min="15" max="15" width="11.6640625" customWidth="1"/>
    <col min="16" max="16" width="11.88671875" customWidth="1"/>
    <col min="17" max="17" width="10.44140625" customWidth="1"/>
  </cols>
  <sheetData>
    <row r="1" spans="1:17" ht="57.6">
      <c r="A1" s="17" t="s">
        <v>3</v>
      </c>
      <c r="B1" s="18" t="s">
        <v>4</v>
      </c>
      <c r="C1" s="19" t="s">
        <v>5</v>
      </c>
      <c r="D1" s="18" t="s">
        <v>6</v>
      </c>
      <c r="E1" s="18" t="s">
        <v>7</v>
      </c>
      <c r="F1" s="20" t="s">
        <v>8</v>
      </c>
      <c r="G1" s="22" t="s">
        <v>12</v>
      </c>
      <c r="H1" s="23" t="s">
        <v>13</v>
      </c>
      <c r="I1" s="24" t="s">
        <v>14</v>
      </c>
      <c r="J1" s="23" t="s">
        <v>15</v>
      </c>
      <c r="K1" s="24" t="s">
        <v>67</v>
      </c>
      <c r="L1" s="24" t="s">
        <v>68</v>
      </c>
      <c r="M1" s="23" t="s">
        <v>69</v>
      </c>
      <c r="N1" s="24" t="s">
        <v>19</v>
      </c>
      <c r="O1" s="22" t="s">
        <v>20</v>
      </c>
      <c r="P1" s="23" t="s">
        <v>21</v>
      </c>
      <c r="Q1" s="25" t="s">
        <v>22</v>
      </c>
    </row>
    <row r="2" spans="1:17">
      <c r="A2" s="1" t="s">
        <v>23</v>
      </c>
      <c r="B2" s="2">
        <v>2</v>
      </c>
      <c r="C2" s="1">
        <v>2.75</v>
      </c>
      <c r="D2" s="2">
        <v>0.78</v>
      </c>
      <c r="E2" s="2">
        <v>1.98</v>
      </c>
      <c r="F2" s="9">
        <f>E2/D2</f>
        <v>2.5384615384615383</v>
      </c>
      <c r="G2" s="27">
        <f t="shared" ref="G2:G4" si="0">9.8314*10^-5</f>
        <v>9.8314000000000008E-5</v>
      </c>
      <c r="H2" s="13">
        <v>2.6368170000000001E-5</v>
      </c>
      <c r="I2" s="2">
        <f>G2*D2*0.000001*C2*1000000/(1000*0.000001)</f>
        <v>0.21088353000000001</v>
      </c>
      <c r="J2" s="28">
        <f>H2*E2*0.000001*C2*1000000/(1000*0.000001)</f>
        <v>0.14357468564999998</v>
      </c>
      <c r="K2" s="2">
        <f>SUM(I2:J2)</f>
        <v>0.35445821565000002</v>
      </c>
      <c r="L2" s="2">
        <f>K2*10^-6</f>
        <v>3.5445821565E-7</v>
      </c>
      <c r="M2" s="28">
        <f>L2/(C2*1000)</f>
        <v>1.2889389660000001E-10</v>
      </c>
      <c r="N2" s="2">
        <f>(K2/1000)*B2*1000</f>
        <v>0.70891643130000004</v>
      </c>
      <c r="O2" s="1">
        <f>(M2/85)*15</f>
        <v>2.2745981752941177E-11</v>
      </c>
      <c r="P2" s="28">
        <f>M2+O2</f>
        <v>1.5163987835294119E-10</v>
      </c>
      <c r="Q2" s="29">
        <f>P2*C2*B2*10^9</f>
        <v>0.83401933094117653</v>
      </c>
    </row>
    <row r="3" spans="1:17">
      <c r="A3" s="1" t="s">
        <v>24</v>
      </c>
      <c r="B3" s="2">
        <v>13</v>
      </c>
      <c r="C3" s="8">
        <v>2.6</v>
      </c>
      <c r="D3" s="2">
        <v>2.2000000000000002</v>
      </c>
      <c r="E3" s="2">
        <v>8.3000000000000007</v>
      </c>
      <c r="F3" s="9">
        <f t="shared" ref="F3:F4" si="1">E3/D3</f>
        <v>3.7727272727272729</v>
      </c>
      <c r="G3" s="27">
        <f t="shared" si="0"/>
        <v>9.8314000000000008E-5</v>
      </c>
      <c r="H3" s="13">
        <v>2.6368170000000001E-5</v>
      </c>
      <c r="I3" s="2">
        <f>G3*D3*0.000001*C3*1000000/(1000*0.000001)</f>
        <v>0.56235608000000004</v>
      </c>
      <c r="J3" s="28">
        <f>H3*E3*0.000001*C3*1000000/(1000*0.000001)</f>
        <v>0.5690251086</v>
      </c>
      <c r="K3" s="2">
        <f t="shared" ref="K3:K4" si="2">SUM(I3:J3)</f>
        <v>1.1313811886</v>
      </c>
      <c r="L3" s="2">
        <f>K3*10^-6</f>
        <v>1.1313811886000001E-6</v>
      </c>
      <c r="M3" s="28">
        <f>L3/(C3*1000)</f>
        <v>4.3514661100000003E-10</v>
      </c>
      <c r="N3" s="2">
        <f>(K3/1000)*B3*1000</f>
        <v>14.707955451800002</v>
      </c>
      <c r="O3" s="1">
        <f t="shared" ref="O3:O4" si="3">(M3/85)*15</f>
        <v>7.6790578411764704E-11</v>
      </c>
      <c r="P3" s="28">
        <f t="shared" ref="P3:P4" si="4">M3+O3</f>
        <v>5.1193718941176476E-10</v>
      </c>
      <c r="Q3" s="29">
        <f>P3*C3*B3*10^9</f>
        <v>17.303477002117653</v>
      </c>
    </row>
    <row r="4" spans="1:17">
      <c r="A4" s="1" t="s">
        <v>25</v>
      </c>
      <c r="B4" s="2">
        <v>5</v>
      </c>
      <c r="C4" s="1">
        <v>3.3</v>
      </c>
      <c r="D4" s="2">
        <v>0.28999999999999998</v>
      </c>
      <c r="E4" s="2">
        <v>3.17</v>
      </c>
      <c r="F4" s="9">
        <f t="shared" si="1"/>
        <v>10.931034482758621</v>
      </c>
      <c r="G4" s="27">
        <f t="shared" si="0"/>
        <v>9.8314000000000008E-5</v>
      </c>
      <c r="H4" s="13">
        <v>2.6368170000000001E-5</v>
      </c>
      <c r="I4" s="2">
        <f>G4*D4*0.000001*C4*1000000/(1000*0.000001)</f>
        <v>9.4086497999999991E-2</v>
      </c>
      <c r="J4" s="28">
        <f>H4*E4*0.000001*C4*1000000/(1000*0.000001)</f>
        <v>0.27583742636999997</v>
      </c>
      <c r="K4" s="2">
        <f t="shared" si="2"/>
        <v>0.36992392436999999</v>
      </c>
      <c r="L4" s="2">
        <f>K4*10^-6</f>
        <v>3.6992392436999999E-7</v>
      </c>
      <c r="M4" s="28">
        <f>L4/(C4*1000)</f>
        <v>1.120981589E-10</v>
      </c>
      <c r="N4" s="2">
        <f>(K4/1000)*B4*1000</f>
        <v>1.8496196218500001</v>
      </c>
      <c r="O4" s="1">
        <f t="shared" si="3"/>
        <v>1.9782028041176472E-11</v>
      </c>
      <c r="P4" s="28">
        <f t="shared" si="4"/>
        <v>1.3188018694117647E-10</v>
      </c>
      <c r="Q4" s="29">
        <f>P4*C4*B4*10^9</f>
        <v>2.1760230845294117</v>
      </c>
    </row>
    <row r="5" spans="1:17" ht="15" thickBot="1">
      <c r="A5" s="32" t="s">
        <v>66</v>
      </c>
      <c r="B5" s="32">
        <f>SUM(B2:B4)</f>
        <v>20</v>
      </c>
      <c r="C5" s="33">
        <f>(($B2*C2)+($B3*C3)+($B4*C4))/$B5</f>
        <v>2.79</v>
      </c>
      <c r="D5" s="34">
        <f>(($B2*D2)+($B3*D3)+($B4*D4))/$B5</f>
        <v>1.5805</v>
      </c>
      <c r="E5" s="34">
        <f>(($B2*E2)+($B3*E3)+($B4*E4))/$B5</f>
        <v>6.3854999999999995</v>
      </c>
      <c r="F5" s="35">
        <f>E5/D5</f>
        <v>4.0401771591268583</v>
      </c>
      <c r="G5" s="38">
        <f t="shared" ref="G5:M5" si="5">(($B2*G2)+($B3*G3)+($B4*G4))/$B5</f>
        <v>9.8313999999999994E-5</v>
      </c>
      <c r="H5" s="39">
        <f t="shared" si="5"/>
        <v>2.6368170000000001E-5</v>
      </c>
      <c r="I5" s="34">
        <f t="shared" si="5"/>
        <v>0.41014142949999999</v>
      </c>
      <c r="J5" s="40">
        <f t="shared" si="5"/>
        <v>0.45318314574749996</v>
      </c>
      <c r="K5" s="34">
        <f t="shared" si="5"/>
        <v>0.86332457524750006</v>
      </c>
      <c r="L5" s="41">
        <f t="shared" si="5"/>
        <v>8.6332457524750001E-7</v>
      </c>
      <c r="M5" s="39">
        <f t="shared" si="5"/>
        <v>3.2375922653500003E-10</v>
      </c>
      <c r="N5" s="42">
        <f>SUM(N2:N4)</f>
        <v>17.266491504950004</v>
      </c>
      <c r="O5" s="38">
        <f>(($B2*O2)+($B3*O3)+($B4*O4))/$B5</f>
        <v>5.7133981153235304E-11</v>
      </c>
      <c r="P5" s="39">
        <f>(($B2*P2)+($B3*P3)+($B4*P4))/$B5</f>
        <v>3.8089320768823537E-10</v>
      </c>
      <c r="Q5" s="43">
        <f>SUM(Q2:Q4)</f>
        <v>20.313519417588243</v>
      </c>
    </row>
    <row r="6" spans="1:17" ht="15" thickBot="1">
      <c r="A6" s="6"/>
      <c r="G6" s="143" t="s">
        <v>27</v>
      </c>
      <c r="H6" s="144"/>
      <c r="I6" s="145" t="s">
        <v>28</v>
      </c>
      <c r="J6" s="146"/>
      <c r="K6" s="146"/>
      <c r="L6" s="146"/>
      <c r="M6" s="147"/>
    </row>
  </sheetData>
  <mergeCells count="2">
    <mergeCell ref="G6:H6"/>
    <mergeCell ref="I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6B19-9924-4AFB-A87E-2F70CE4C8BF3}">
  <dimension ref="A1:X18"/>
  <sheetViews>
    <sheetView tabSelected="1" zoomScale="127" workbookViewId="0">
      <selection activeCell="B19" sqref="B19"/>
    </sheetView>
  </sheetViews>
  <sheetFormatPr defaultRowHeight="14.4"/>
  <cols>
    <col min="1" max="1" width="12.21875" style="3" customWidth="1"/>
    <col min="2" max="2" width="8.21875" style="3" customWidth="1"/>
    <col min="3" max="3" width="7.5546875" style="3" customWidth="1"/>
    <col min="4" max="6" width="6.77734375" style="3" customWidth="1"/>
    <col min="7" max="7" width="7.5546875" style="3" customWidth="1"/>
    <col min="8" max="8" width="11.21875" style="3" customWidth="1"/>
    <col min="9" max="9" width="9.44140625" style="3" customWidth="1"/>
    <col min="10" max="16384" width="8.88671875" style="3"/>
  </cols>
  <sheetData>
    <row r="1" spans="1:24">
      <c r="A1" s="149"/>
      <c r="B1" s="150"/>
      <c r="C1" s="150"/>
      <c r="D1" s="150"/>
      <c r="E1" s="150"/>
      <c r="F1" s="150"/>
      <c r="G1" s="151"/>
      <c r="H1" s="148" t="s">
        <v>60</v>
      </c>
      <c r="I1" s="148"/>
    </row>
    <row r="2" spans="1:24" s="73" customFormat="1" ht="20.399999999999999">
      <c r="A2" s="74" t="s">
        <v>70</v>
      </c>
      <c r="B2" s="75" t="s">
        <v>4</v>
      </c>
      <c r="C2" s="75" t="s">
        <v>5</v>
      </c>
      <c r="D2" s="75" t="s">
        <v>6</v>
      </c>
      <c r="E2" s="75" t="s">
        <v>7</v>
      </c>
      <c r="F2" s="74" t="s">
        <v>8</v>
      </c>
      <c r="G2" s="74" t="s">
        <v>9</v>
      </c>
      <c r="H2" s="75" t="s">
        <v>62</v>
      </c>
      <c r="I2" s="75" t="s">
        <v>61</v>
      </c>
    </row>
    <row r="3" spans="1:24">
      <c r="A3" s="77" t="s">
        <v>73</v>
      </c>
      <c r="B3" s="77">
        <v>2</v>
      </c>
      <c r="C3" s="78">
        <v>2.75</v>
      </c>
      <c r="D3" s="78">
        <v>0.78</v>
      </c>
      <c r="E3" s="78">
        <v>1.98</v>
      </c>
      <c r="F3" s="78">
        <f>E3/D3</f>
        <v>2.5384615384615383</v>
      </c>
      <c r="G3" s="79">
        <f>D3*(1+(0.123*((E3/D3)-4)))</f>
        <v>0.63978000000000002</v>
      </c>
      <c r="H3" s="77">
        <f>0.2355*10^-12*G3</f>
        <v>1.5066819000000001E-13</v>
      </c>
      <c r="I3" s="80">
        <f>B3*C3*H3*8.51134*10^20</f>
        <v>705313505.75103009</v>
      </c>
    </row>
    <row r="4" spans="1:24">
      <c r="A4" s="77" t="s">
        <v>24</v>
      </c>
      <c r="B4" s="77">
        <v>13</v>
      </c>
      <c r="C4" s="81">
        <v>2.6</v>
      </c>
      <c r="D4" s="78">
        <v>2.2000000000000002</v>
      </c>
      <c r="E4" s="78">
        <v>8.3000000000000007</v>
      </c>
      <c r="F4" s="78">
        <f t="shared" ref="F4:F5" si="0">E4/D4</f>
        <v>3.7727272727272729</v>
      </c>
      <c r="G4" s="79">
        <f t="shared" ref="G4:G5" si="1">D4*(1+(0.123*((E4/D4)-4)))</f>
        <v>2.1385000000000001</v>
      </c>
      <c r="H4" s="77">
        <f t="shared" ref="H4:H5" si="2">0.2355*10^-12*G4</f>
        <v>5.0361675000000007E-13</v>
      </c>
      <c r="I4" s="80">
        <f>B4*C4*H4*8.51134*10^20</f>
        <v>14488212454.634106</v>
      </c>
    </row>
    <row r="5" spans="1:24">
      <c r="A5" s="77" t="s">
        <v>25</v>
      </c>
      <c r="B5" s="77">
        <v>5</v>
      </c>
      <c r="C5" s="78">
        <v>3.3</v>
      </c>
      <c r="D5" s="78">
        <v>0.28999999999999998</v>
      </c>
      <c r="E5" s="78">
        <v>3.17</v>
      </c>
      <c r="F5" s="78">
        <f t="shared" si="0"/>
        <v>10.931034482758621</v>
      </c>
      <c r="G5" s="79">
        <f t="shared" si="1"/>
        <v>0.53722999999999999</v>
      </c>
      <c r="H5" s="77">
        <f t="shared" si="2"/>
        <v>1.2651766500000001E-13</v>
      </c>
      <c r="I5" s="80">
        <f t="shared" ref="I5" si="3">B5*C5*H5*8.51134*10^20</f>
        <v>1776777523.6548154</v>
      </c>
    </row>
    <row r="6" spans="1:24">
      <c r="A6" s="82" t="s">
        <v>75</v>
      </c>
      <c r="B6" s="82">
        <f>SUM(B3:B5)</f>
        <v>20</v>
      </c>
      <c r="C6" s="83">
        <f>(($B3*C3)+($B4*C4)+($B5*C5))/$B6</f>
        <v>2.79</v>
      </c>
      <c r="D6" s="83">
        <f>(($B3*D3)+($B4*D4)+($B5*D5))/$B6</f>
        <v>1.5805</v>
      </c>
      <c r="E6" s="83">
        <f>(($B3*E3)+($B4*E4)+($B5*E5))/$B6</f>
        <v>6.3854999999999995</v>
      </c>
      <c r="F6" s="84">
        <f>E6/D6</f>
        <v>4.0401771591268583</v>
      </c>
      <c r="G6" s="85"/>
      <c r="H6" s="86">
        <f>(B3*H3)+(B4*H4)+(B5*H5)/B6</f>
        <v>6.8799835462500009E-12</v>
      </c>
      <c r="I6" s="87">
        <f>SUM(I3:I5)</f>
        <v>16970303484.039951</v>
      </c>
    </row>
    <row r="7" spans="1:24" ht="24.6" customHeight="1">
      <c r="A7" s="152" t="s">
        <v>74</v>
      </c>
      <c r="B7" s="152"/>
      <c r="C7" s="152"/>
      <c r="D7" s="152"/>
      <c r="E7" s="152"/>
      <c r="F7" s="152"/>
      <c r="G7" s="152"/>
      <c r="H7" s="152"/>
      <c r="I7" s="152"/>
    </row>
    <row r="8" spans="1:24">
      <c r="A8" s="76"/>
      <c r="B8" s="76"/>
      <c r="C8" s="76"/>
      <c r="D8" s="76"/>
      <c r="E8" s="76"/>
      <c r="F8" s="76"/>
      <c r="G8" s="76"/>
      <c r="H8" s="76"/>
      <c r="I8" s="76"/>
    </row>
    <row r="10" spans="1:24" ht="20.399999999999999">
      <c r="A10" s="126" t="s">
        <v>70</v>
      </c>
      <c r="B10" s="127" t="s">
        <v>4</v>
      </c>
      <c r="C10" s="127" t="s">
        <v>5</v>
      </c>
      <c r="D10" s="127" t="s">
        <v>6</v>
      </c>
      <c r="E10" s="127" t="s">
        <v>7</v>
      </c>
      <c r="F10" s="126" t="s">
        <v>8</v>
      </c>
      <c r="G10" s="126" t="s">
        <v>9</v>
      </c>
      <c r="H10" s="127" t="s">
        <v>62</v>
      </c>
      <c r="I10" s="127" t="s">
        <v>61</v>
      </c>
    </row>
    <row r="11" spans="1:24">
      <c r="A11" s="120" t="s">
        <v>73</v>
      </c>
      <c r="B11" s="120">
        <v>2</v>
      </c>
      <c r="C11" s="121">
        <v>2.75</v>
      </c>
      <c r="D11" s="121">
        <v>0.78</v>
      </c>
      <c r="E11" s="121">
        <v>1.98</v>
      </c>
      <c r="F11" s="121">
        <f>E11/D11</f>
        <v>2.5384615384615383</v>
      </c>
      <c r="G11" s="122">
        <f>D11*(1+(0.123*((E11/D11)-4)))</f>
        <v>0.63978000000000002</v>
      </c>
      <c r="H11" s="120">
        <f>0.2355*10^-12*G11</f>
        <v>1.5066819000000001E-13</v>
      </c>
      <c r="I11" s="123">
        <f>B11*C11*H11*8.51134*10^20</f>
        <v>705313505.75103009</v>
      </c>
    </row>
    <row r="12" spans="1:24">
      <c r="A12" s="120" t="s">
        <v>24</v>
      </c>
      <c r="B12" s="120">
        <v>13</v>
      </c>
      <c r="C12" s="124">
        <v>2.6</v>
      </c>
      <c r="D12" s="121">
        <v>2.2000000000000002</v>
      </c>
      <c r="E12" s="121">
        <v>8.3000000000000007</v>
      </c>
      <c r="F12" s="121">
        <f t="shared" ref="F12:F13" si="4">E12/D12</f>
        <v>3.7727272727272729</v>
      </c>
      <c r="G12" s="122">
        <f t="shared" ref="G12:G13" si="5">D12*(1+(0.123*((E12/D12)-4)))</f>
        <v>2.1385000000000001</v>
      </c>
      <c r="H12" s="120">
        <f t="shared" ref="H12:H13" si="6">0.2355*10^-12*G12</f>
        <v>5.0361675000000007E-13</v>
      </c>
      <c r="I12" s="123">
        <f>B12*C12*H12*8.51134*10^20</f>
        <v>14488212454.634106</v>
      </c>
    </row>
    <row r="13" spans="1:24">
      <c r="A13" s="120" t="s">
        <v>25</v>
      </c>
      <c r="B13" s="120">
        <v>5</v>
      </c>
      <c r="C13" s="121">
        <v>3.3</v>
      </c>
      <c r="D13" s="121">
        <v>0.28999999999999998</v>
      </c>
      <c r="E13" s="121">
        <v>3.17</v>
      </c>
      <c r="F13" s="121">
        <f t="shared" si="4"/>
        <v>10.931034482758621</v>
      </c>
      <c r="G13" s="122">
        <f t="shared" si="5"/>
        <v>0.53722999999999999</v>
      </c>
      <c r="H13" s="120">
        <f t="shared" si="6"/>
        <v>1.2651766500000001E-13</v>
      </c>
      <c r="I13" s="123">
        <f t="shared" ref="I13" si="7">B13*C13*H13*8.51134*10^20</f>
        <v>1776777523.6548154</v>
      </c>
    </row>
    <row r="14" spans="1:24">
      <c r="A14" s="128" t="s">
        <v>75</v>
      </c>
      <c r="B14" s="128">
        <f>SUM(B11:B13)</f>
        <v>20</v>
      </c>
      <c r="C14" s="129">
        <f>(($B11*C11)+($B12*C12)+($B13*C13))/$B14</f>
        <v>2.79</v>
      </c>
      <c r="D14" s="129">
        <f>(($B11*D11)+($B12*D12)+($B13*D13))/$B14</f>
        <v>1.5805</v>
      </c>
      <c r="E14" s="129">
        <f>(($B11*E11)+($B12*E12)+($B13*E13))/$B14</f>
        <v>6.3854999999999995</v>
      </c>
      <c r="F14" s="130">
        <f>E14/D14</f>
        <v>4.0401771591268583</v>
      </c>
      <c r="G14" s="125"/>
      <c r="H14" s="131">
        <f>(B11*H11)+(B12*H12)+(B13*H13)/B14</f>
        <v>6.8799835462500009E-12</v>
      </c>
      <c r="I14" s="132">
        <f>SUM(I11:I13)</f>
        <v>16970303484.039951</v>
      </c>
    </row>
    <row r="15" spans="1:24" ht="14.4" customHeight="1">
      <c r="O15" s="88" t="s">
        <v>76</v>
      </c>
      <c r="P15" s="72"/>
      <c r="Q15" s="72"/>
      <c r="R15" s="72"/>
      <c r="S15" s="72"/>
      <c r="T15" s="72"/>
      <c r="U15" s="72"/>
      <c r="V15" s="72"/>
      <c r="W15" s="72"/>
      <c r="X15" s="72"/>
    </row>
    <row r="16" spans="1:24"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 spans="15:24"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 spans="15:24">
      <c r="O18" s="72"/>
      <c r="P18" s="72"/>
      <c r="Q18" s="72"/>
      <c r="R18" s="72"/>
      <c r="S18" s="72"/>
      <c r="T18" s="72"/>
      <c r="U18" s="72"/>
      <c r="V18" s="72"/>
      <c r="W18" s="72"/>
      <c r="X18" s="72"/>
    </row>
  </sheetData>
  <mergeCells count="3">
    <mergeCell ref="H1:I1"/>
    <mergeCell ref="A1:G1"/>
    <mergeCell ref="A7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9D2D-A117-4B6F-A66E-BCD6612FE910}">
  <dimension ref="A1:J5"/>
  <sheetViews>
    <sheetView zoomScale="160" zoomScaleNormal="160" workbookViewId="0">
      <selection activeCell="I3" sqref="I3"/>
    </sheetView>
  </sheetViews>
  <sheetFormatPr defaultRowHeight="14.4"/>
  <cols>
    <col min="1" max="1" width="6.88671875" customWidth="1"/>
    <col min="2" max="2" width="3.5546875" customWidth="1"/>
    <col min="3" max="4" width="8" customWidth="1"/>
    <col min="5" max="5" width="9.33203125" customWidth="1"/>
    <col min="6" max="6" width="9.6640625" customWidth="1"/>
    <col min="7" max="7" width="10.6640625" customWidth="1"/>
    <col min="8" max="8" width="10.109375" customWidth="1"/>
    <col min="9" max="9" width="10.88671875" customWidth="1"/>
    <col min="10" max="10" width="8.6640625" customWidth="1"/>
  </cols>
  <sheetData>
    <row r="1" spans="1:10" s="89" customFormat="1" ht="9.6">
      <c r="A1" s="153"/>
      <c r="B1" s="154"/>
      <c r="C1" s="155" t="s">
        <v>77</v>
      </c>
      <c r="D1" s="156"/>
      <c r="E1" s="157" t="s">
        <v>78</v>
      </c>
      <c r="F1" s="155"/>
      <c r="G1" s="155"/>
      <c r="H1" s="155"/>
      <c r="I1" s="155"/>
      <c r="J1" s="156"/>
    </row>
    <row r="2" spans="1:10" s="90" customFormat="1" ht="30.6">
      <c r="A2" s="107" t="s">
        <v>70</v>
      </c>
      <c r="B2" s="108" t="s">
        <v>79</v>
      </c>
      <c r="C2" s="111" t="s">
        <v>153</v>
      </c>
      <c r="D2" s="113" t="s">
        <v>152</v>
      </c>
      <c r="E2" s="111" t="s">
        <v>154</v>
      </c>
      <c r="F2" s="108" t="s">
        <v>155</v>
      </c>
      <c r="G2" s="108" t="s">
        <v>150</v>
      </c>
      <c r="H2" s="108" t="s">
        <v>157</v>
      </c>
      <c r="I2" s="108" t="s">
        <v>156</v>
      </c>
      <c r="J2" s="113" t="s">
        <v>151</v>
      </c>
    </row>
    <row r="3" spans="1:10" s="91" customFormat="1" ht="9.6">
      <c r="A3" s="109" t="s">
        <v>71</v>
      </c>
      <c r="B3" s="109">
        <v>13</v>
      </c>
      <c r="C3" s="112">
        <v>9.8314000000000008E-5</v>
      </c>
      <c r="D3" s="114">
        <v>2.6368170000000001E-5</v>
      </c>
      <c r="E3" s="112">
        <v>1.1313811886000001E-6</v>
      </c>
      <c r="F3" s="110">
        <v>4.3514661100000003E-10</v>
      </c>
      <c r="G3" s="110">
        <v>14.707955451800002</v>
      </c>
      <c r="H3" s="110">
        <v>7.6790578411764704E-11</v>
      </c>
      <c r="I3" s="110">
        <v>5.1193718941176476E-10</v>
      </c>
      <c r="J3" s="114">
        <v>17.303477002117653</v>
      </c>
    </row>
    <row r="4" spans="1:10" s="91" customFormat="1" ht="9.6">
      <c r="A4" s="109" t="s">
        <v>72</v>
      </c>
      <c r="B4" s="109">
        <v>5</v>
      </c>
      <c r="C4" s="112">
        <v>9.8314000000000008E-5</v>
      </c>
      <c r="D4" s="114">
        <v>2.6368170000000001E-5</v>
      </c>
      <c r="E4" s="112">
        <v>3.6992392436999999E-7</v>
      </c>
      <c r="F4" s="110">
        <v>1.120981589E-10</v>
      </c>
      <c r="G4" s="110">
        <v>1.8496196218500001</v>
      </c>
      <c r="H4" s="110">
        <v>1.9782028041176472E-11</v>
      </c>
      <c r="I4" s="110">
        <v>1.3188018694117647E-10</v>
      </c>
      <c r="J4" s="114">
        <v>2.1760230845294117</v>
      </c>
    </row>
    <row r="5" spans="1:10" s="92" customFormat="1" ht="9.6">
      <c r="A5" s="115" t="s">
        <v>80</v>
      </c>
      <c r="B5" s="115">
        <v>20</v>
      </c>
      <c r="C5" s="158"/>
      <c r="D5" s="159"/>
      <c r="E5" s="116">
        <v>8.6332457524750001E-7</v>
      </c>
      <c r="F5" s="117">
        <v>3.2375922653500003E-10</v>
      </c>
      <c r="G5" s="118">
        <v>17.266491504950004</v>
      </c>
      <c r="H5" s="117">
        <v>5.7133981153235304E-11</v>
      </c>
      <c r="I5" s="118">
        <v>3.8089320768823537E-10</v>
      </c>
      <c r="J5" s="119">
        <v>20.313519417588243</v>
      </c>
    </row>
  </sheetData>
  <mergeCells count="4">
    <mergeCell ref="A1:B1"/>
    <mergeCell ref="C1:D1"/>
    <mergeCell ref="E1:J1"/>
    <mergeCell ref="C5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average_phycry</vt:lpstr>
      <vt:lpstr>Calc U-Th-He-Heat</vt:lpstr>
      <vt:lpstr>Calculation_heatflow</vt:lpstr>
      <vt:lpstr>calc&amp;table art helium</vt:lpstr>
      <vt:lpstr>table art heat</vt:lpstr>
    </vt:vector>
  </TitlesOfParts>
  <Company>UPPA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De La Paix Izerumugaba</dc:creator>
  <cp:lastModifiedBy>Jean De La Paix Izerumugaba</cp:lastModifiedBy>
  <dcterms:created xsi:type="dcterms:W3CDTF">2024-01-03T16:33:44Z</dcterms:created>
  <dcterms:modified xsi:type="dcterms:W3CDTF">2025-09-15T20:24:03Z</dcterms:modified>
</cp:coreProperties>
</file>