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MPhys Final Project Report\Calculations\Phonon Thermal Conductivity\"/>
    </mc:Choice>
  </mc:AlternateContent>
  <bookViews>
    <workbookView xWindow="0" yWindow="0" windowWidth="20490" windowHeight="9045"/>
  </bookViews>
  <sheets>
    <sheet name="K_phonon" sheetId="1" r:id="rId1"/>
    <sheet name="K_phonon chart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13" i="1"/>
  <c r="N3" i="1" l="1"/>
  <c r="P3" i="1" s="1"/>
  <c r="N5" i="1"/>
  <c r="P5" i="1" s="1"/>
  <c r="N6" i="1"/>
  <c r="P6" i="1" s="1"/>
  <c r="N7" i="1"/>
  <c r="P7" i="1" s="1"/>
  <c r="N8" i="1"/>
  <c r="P8" i="1" s="1"/>
  <c r="N2" i="1"/>
  <c r="P2" i="1" s="1"/>
  <c r="J5" i="1"/>
  <c r="J6" i="1"/>
  <c r="J7" i="1"/>
  <c r="J8" i="1"/>
  <c r="C8" i="1" l="1"/>
  <c r="C7" i="1"/>
  <c r="C6" i="1"/>
  <c r="C5" i="1"/>
  <c r="C4" i="1"/>
  <c r="B8" i="1"/>
  <c r="F8" i="1" s="1"/>
  <c r="B7" i="1"/>
  <c r="B6" i="1"/>
  <c r="B5" i="1"/>
  <c r="B4" i="1"/>
  <c r="B3" i="1"/>
  <c r="H3" i="1" s="1"/>
  <c r="B2" i="1"/>
  <c r="H2" i="1" s="1"/>
  <c r="E3" i="1"/>
  <c r="G3" i="1" s="1"/>
  <c r="E4" i="1"/>
  <c r="J4" i="1" s="1"/>
  <c r="E5" i="1"/>
  <c r="E6" i="1"/>
  <c r="E7" i="1"/>
  <c r="E8" i="1"/>
  <c r="E2" i="1"/>
  <c r="D3" i="1"/>
  <c r="D4" i="1"/>
  <c r="D5" i="1"/>
  <c r="D6" i="1"/>
  <c r="D7" i="1"/>
  <c r="D8" i="1"/>
  <c r="D2" i="1"/>
  <c r="B14" i="1"/>
  <c r="O3" i="1" l="1"/>
  <c r="Q3" i="1" s="1"/>
  <c r="O7" i="1"/>
  <c r="Q7" i="1" s="1"/>
  <c r="O5" i="1"/>
  <c r="Q5" i="1" s="1"/>
  <c r="O8" i="1"/>
  <c r="Q8" i="1" s="1"/>
  <c r="O6" i="1"/>
  <c r="Q6" i="1" s="1"/>
  <c r="G7" i="1"/>
  <c r="F3" i="1"/>
  <c r="G6" i="1"/>
  <c r="G4" i="1"/>
  <c r="O4" i="1" s="1"/>
  <c r="Q4" i="1" s="1"/>
  <c r="H8" i="1"/>
  <c r="K8" i="1" s="1"/>
  <c r="F6" i="1"/>
  <c r="H4" i="1"/>
  <c r="K4" i="1" s="1"/>
  <c r="H6" i="1"/>
  <c r="K6" i="1" s="1"/>
  <c r="F4" i="1"/>
  <c r="N4" i="1" s="1"/>
  <c r="P4" i="1" s="1"/>
  <c r="L3" i="1"/>
  <c r="L7" i="1"/>
  <c r="F5" i="1"/>
  <c r="L8" i="1"/>
  <c r="L4" i="1"/>
  <c r="H5" i="1"/>
  <c r="K5" i="1" s="1"/>
  <c r="L6" i="1"/>
  <c r="G8" i="1"/>
  <c r="L2" i="1"/>
  <c r="L5" i="1"/>
  <c r="F7" i="1"/>
  <c r="G5" i="1"/>
  <c r="H7" i="1"/>
  <c r="K7" i="1" s="1"/>
  <c r="J3" i="1"/>
  <c r="K3" i="1" s="1"/>
  <c r="F2" i="1"/>
  <c r="J2" i="1"/>
  <c r="K2" i="1" s="1"/>
  <c r="G2" i="1"/>
  <c r="O2" i="1" s="1"/>
  <c r="Q2" i="1" s="1"/>
  <c r="S2" i="1" l="1"/>
  <c r="R2" i="1" s="1"/>
  <c r="S6" i="1"/>
  <c r="R6" i="1" s="1"/>
  <c r="S4" i="1"/>
  <c r="R4" i="1"/>
  <c r="S8" i="1"/>
  <c r="R8" i="1" s="1"/>
  <c r="S7" i="1"/>
  <c r="R7" i="1" s="1"/>
  <c r="S5" i="1"/>
  <c r="R5" i="1" s="1"/>
  <c r="S3" i="1"/>
  <c r="R3" i="1" s="1"/>
</calcChain>
</file>

<file path=xl/sharedStrings.xml><?xml version="1.0" encoding="utf-8"?>
<sst xmlns="http://schemas.openxmlformats.org/spreadsheetml/2006/main" count="27" uniqueCount="27">
  <si>
    <t>Temperature</t>
  </si>
  <si>
    <t>C_Si</t>
  </si>
  <si>
    <t>C_Ge</t>
  </si>
  <si>
    <t>K_Si</t>
  </si>
  <si>
    <t>K_Ge</t>
  </si>
  <si>
    <t>V_Si</t>
  </si>
  <si>
    <t>V_Ge</t>
  </si>
  <si>
    <t>MFP_Si</t>
  </si>
  <si>
    <t>MFP_Ge</t>
  </si>
  <si>
    <t>Diameter</t>
  </si>
  <si>
    <t>R</t>
  </si>
  <si>
    <t>Volume Fraction</t>
  </si>
  <si>
    <t>Interface Density</t>
  </si>
  <si>
    <t>Alpha</t>
  </si>
  <si>
    <t>Weighted Average Thermal Conductivity</t>
  </si>
  <si>
    <t>EMA Thermal Conductivity</t>
  </si>
  <si>
    <t>Modified K_Si</t>
  </si>
  <si>
    <t>Modified MFP_Si</t>
  </si>
  <si>
    <t>Modified MFP_Ge</t>
  </si>
  <si>
    <t>Modified K_Ge</t>
  </si>
  <si>
    <t>Modified EMA Thermal Conductivity</t>
  </si>
  <si>
    <t>Modified Alpha</t>
  </si>
  <si>
    <t>Germanium</t>
  </si>
  <si>
    <t>http://www.efunda.com/materials/elements/HC_Table.cfm?Element_ID=Ge</t>
  </si>
  <si>
    <t>Silcon</t>
  </si>
  <si>
    <t>http://www.efunda.com/materials/elements/HC_Table.cfm?Element_ID=Si</t>
  </si>
  <si>
    <t>EMA introduced in 2007 Minnich paper. Variable alpha depends on the TBR which is explained in … . Modified EMA uses Matheisanns rule to include ASK GP.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</si>
</sst>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K_phonon!$K$1</c:f>
              <c:strCache>
                <c:ptCount val="1"/>
                <c:pt idx="0">
                  <c:v>EMA Thermal Conductivity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K_phonon!$A$2:$A$8</c15:sqref>
                  </c15:fullRef>
                </c:ext>
              </c:extLst>
              <c:f>K_phonon!$A$4:$A$8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K_phonon!$K$2:$K$8</c15:sqref>
                  </c15:fullRef>
                </c:ext>
              </c:extLst>
              <c:f>K_phonon!$K$4:$K$8</c:f>
              <c:numCache>
                <c:formatCode>0.000E+00</c:formatCode>
                <c:ptCount val="5"/>
                <c:pt idx="0">
                  <c:v>60.851156973451829</c:v>
                </c:pt>
                <c:pt idx="1">
                  <c:v>54.604217066006633</c:v>
                </c:pt>
                <c:pt idx="2">
                  <c:v>49.132285081598241</c:v>
                </c:pt>
                <c:pt idx="3">
                  <c:v>40.337559505457484</c:v>
                </c:pt>
                <c:pt idx="4">
                  <c:v>33.683803142555576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K_phonon!$L$1</c:f>
              <c:strCache>
                <c:ptCount val="1"/>
                <c:pt idx="0">
                  <c:v>Weighted Average Thermal Conductivity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K_phonon!$A$2:$A$8</c15:sqref>
                  </c15:fullRef>
                </c:ext>
              </c:extLst>
              <c:f>K_phonon!$A$4:$A$8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K_phonon!$L$2:$L$8</c15:sqref>
                  </c15:fullRef>
                </c:ext>
              </c:extLst>
              <c:f>K_phonon!$L$4:$L$8</c:f>
              <c:numCache>
                <c:formatCode>0.000E+00</c:formatCode>
                <c:ptCount val="5"/>
                <c:pt idx="0">
                  <c:v>88.577762799431724</c:v>
                </c:pt>
                <c:pt idx="1">
                  <c:v>74.388593133322757</c:v>
                </c:pt>
                <c:pt idx="2">
                  <c:v>63.613085805356953</c:v>
                </c:pt>
                <c:pt idx="3">
                  <c:v>48.43695953373598</c:v>
                </c:pt>
                <c:pt idx="4">
                  <c:v>38.364767598482317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05576"/>
        <c:axId val="213405968"/>
      </c:lineChart>
      <c:catAx>
        <c:axId val="21340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5968"/>
        <c:crosses val="autoZero"/>
        <c:auto val="1"/>
        <c:lblAlgn val="ctr"/>
        <c:lblOffset val="100"/>
        <c:noMultiLvlLbl val="0"/>
      </c:catAx>
      <c:valAx>
        <c:axId val="2134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800" b="1"/>
              <a:t>Phonon Thermal</a:t>
            </a:r>
            <a:r>
              <a:rPr lang="en-GB" sz="2800" b="1" baseline="0"/>
              <a:t> Conductivity vs 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K_phonon!$K$1</c:f>
              <c:strCache>
                <c:ptCount val="1"/>
                <c:pt idx="0">
                  <c:v>EMA Thermal Conductivity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K_phonon!$A$2:$A$8</c15:sqref>
                  </c15:fullRef>
                </c:ext>
              </c:extLst>
              <c:f>K_phonon!$A$4:$A$8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K_phonon!$K$2:$K$8</c15:sqref>
                  </c15:fullRef>
                </c:ext>
              </c:extLst>
              <c:f>K_phonon!$K$4:$K$8</c:f>
              <c:numCache>
                <c:formatCode>0.000E+00</c:formatCode>
                <c:ptCount val="5"/>
                <c:pt idx="0">
                  <c:v>60.851156973451829</c:v>
                </c:pt>
                <c:pt idx="1">
                  <c:v>54.604217066006633</c:v>
                </c:pt>
                <c:pt idx="2">
                  <c:v>49.132285081598241</c:v>
                </c:pt>
                <c:pt idx="3">
                  <c:v>40.337559505457484</c:v>
                </c:pt>
                <c:pt idx="4">
                  <c:v>33.683803142555576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K_phonon!$L$1</c:f>
              <c:strCache>
                <c:ptCount val="1"/>
                <c:pt idx="0">
                  <c:v>Weighted Average Thermal Conductivity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K_phonon!$A$2:$A$8</c15:sqref>
                  </c15:fullRef>
                </c:ext>
              </c:extLst>
              <c:f>K_phonon!$A$4:$A$8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K_phonon!$L$2:$L$8</c15:sqref>
                  </c15:fullRef>
                </c:ext>
              </c:extLst>
              <c:f>K_phonon!$L$4:$L$8</c:f>
              <c:numCache>
                <c:formatCode>0.000E+00</c:formatCode>
                <c:ptCount val="5"/>
                <c:pt idx="0">
                  <c:v>88.577762799431724</c:v>
                </c:pt>
                <c:pt idx="1">
                  <c:v>74.388593133322757</c:v>
                </c:pt>
                <c:pt idx="2">
                  <c:v>63.613085805356953</c:v>
                </c:pt>
                <c:pt idx="3">
                  <c:v>48.43695953373598</c:v>
                </c:pt>
                <c:pt idx="4">
                  <c:v>38.364767598482317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K_phonon!$R$1</c:f>
              <c:strCache>
                <c:ptCount val="1"/>
                <c:pt idx="0">
                  <c:v>Modified EMA Thermal Conductivity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K_phonon!$A$2:$A$8</c15:sqref>
                  </c15:fullRef>
                </c:ext>
              </c:extLst>
              <c:f>K_phonon!$A$4:$A$8</c:f>
              <c:numCache>
                <c:formatCode>General</c:formatCode>
                <c:ptCount val="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K_phonon!$R$2:$R$8</c15:sqref>
                  </c15:fullRef>
                </c:ext>
              </c:extLst>
              <c:f>K_phonon!$R$4:$R$8</c:f>
              <c:numCache>
                <c:formatCode>0.000E+00</c:formatCode>
                <c:ptCount val="5"/>
                <c:pt idx="0">
                  <c:v>55.486051914652755</c:v>
                </c:pt>
                <c:pt idx="1">
                  <c:v>50.457790266846033</c:v>
                </c:pt>
                <c:pt idx="2">
                  <c:v>45.848621291389769</c:v>
                </c:pt>
                <c:pt idx="3">
                  <c:v>38.182211973115095</c:v>
                </c:pt>
                <c:pt idx="4">
                  <c:v>32.204938619937174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698056"/>
        <c:axId val="272699624"/>
      </c:lineChart>
      <c:catAx>
        <c:axId val="272698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 i="0"/>
                  <a:t>Temperature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99624"/>
        <c:crosses val="autoZero"/>
        <c:auto val="1"/>
        <c:lblAlgn val="ctr"/>
        <c:lblOffset val="100"/>
        <c:noMultiLvlLbl val="0"/>
      </c:catAx>
      <c:valAx>
        <c:axId val="27269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Thermal Conductivity</a:t>
                </a:r>
                <a:r>
                  <a:rPr lang="en-GB" sz="1800" b="1" baseline="0"/>
                  <a:t> (Wm</a:t>
                </a:r>
                <a:r>
                  <a:rPr lang="en-GB" sz="1800" b="1" baseline="30000"/>
                  <a:t>-2</a:t>
                </a:r>
                <a:r>
                  <a:rPr lang="en-GB" sz="1800" b="1" baseline="0"/>
                  <a:t>K</a:t>
                </a:r>
                <a:r>
                  <a:rPr lang="en-GB" sz="1800" b="1" baseline="30000"/>
                  <a:t>-1</a:t>
                </a:r>
                <a:r>
                  <a:rPr lang="en-GB" sz="1800" b="1" baseline="0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98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15</xdr:row>
      <xdr:rowOff>185737</xdr:rowOff>
    </xdr:from>
    <xdr:to>
      <xdr:col>9</xdr:col>
      <xdr:colOff>9525</xdr:colOff>
      <xdr:row>30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K16" sqref="K16"/>
    </sheetView>
  </sheetViews>
  <sheetFormatPr defaultRowHeight="15" x14ac:dyDescent="0.25"/>
  <cols>
    <col min="2" max="3" width="10.140625" bestFit="1" customWidth="1"/>
    <col min="4" max="5" width="9.5703125" bestFit="1" customWidth="1"/>
    <col min="6" max="6" width="12.140625" bestFit="1" customWidth="1"/>
    <col min="7" max="7" width="9.28515625" bestFit="1" customWidth="1"/>
    <col min="8" max="8" width="12.140625" bestFit="1" customWidth="1"/>
    <col min="10" max="10" width="12.140625" bestFit="1" customWidth="1"/>
    <col min="11" max="12" width="9.5703125" bestFit="1" customWidth="1"/>
    <col min="14" max="15" width="9.28515625" bestFit="1" customWidth="1"/>
    <col min="16" max="18" width="9.5703125" bestFit="1" customWidth="1"/>
    <col min="19" max="19" width="9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10</v>
      </c>
      <c r="J1" t="s">
        <v>13</v>
      </c>
      <c r="K1" t="s">
        <v>15</v>
      </c>
      <c r="L1" t="s">
        <v>14</v>
      </c>
      <c r="N1" t="s">
        <v>17</v>
      </c>
      <c r="O1" t="s">
        <v>18</v>
      </c>
      <c r="P1" t="s">
        <v>16</v>
      </c>
      <c r="Q1" t="s">
        <v>19</v>
      </c>
      <c r="R1" t="s">
        <v>20</v>
      </c>
      <c r="S1" t="s">
        <v>21</v>
      </c>
    </row>
    <row r="2" spans="1:19" x14ac:dyDescent="0.25">
      <c r="A2">
        <v>200</v>
      </c>
      <c r="B2" s="2">
        <f>556.9*2330</f>
        <v>1297577</v>
      </c>
      <c r="C2" s="3"/>
      <c r="D2" s="2">
        <f>100/((0.00156*A2)+(0.00000165*(A2^2))+0.03)</f>
        <v>245.09803921568627</v>
      </c>
      <c r="E2" s="2">
        <f>100/((0.00395*A2)+(0.00000338*(A2^2))+0.17)</f>
        <v>91.307523739956181</v>
      </c>
      <c r="F2" s="2">
        <f>(3*D2)/(B2*$B$10)</f>
        <v>8.8541724986149524E-8</v>
      </c>
      <c r="G2" s="2" t="e">
        <f t="shared" ref="G2:G8" si="0">(3*E2)/(C2*$B$11)</f>
        <v>#DIV/0!</v>
      </c>
      <c r="H2" s="2" t="e">
        <f t="shared" ref="H2:H8" si="1">4*(((B2*$B$10)+(C2*$B$11))/(B2*C2*$B$10*$B$11))</f>
        <v>#DIV/0!</v>
      </c>
      <c r="I2" s="2"/>
      <c r="J2" s="2" t="e">
        <f>(2*H2*E2)/2</f>
        <v>#DIV/0!</v>
      </c>
      <c r="K2" s="2" t="e">
        <f>E2*(((D2*(1+(2*J2)))+(2*E2)+(2*$B$13*((D2*(1-J2))-E2)))/((D2*(1+(2*J2)))+(2*E2)-($B$13*((D2*(1-J2))-E2))))</f>
        <v>#DIV/0!</v>
      </c>
      <c r="L2" s="2">
        <f>1/(((1-$B$13)/E2)+($B$13/D2))</f>
        <v>135.98357676366743</v>
      </c>
      <c r="M2" s="2"/>
      <c r="N2" s="2">
        <f>1/((1/F2)+(1/$B$12))</f>
        <v>6.1371869174483986E-8</v>
      </c>
      <c r="O2" s="2" t="e">
        <f t="shared" ref="O2:O8" si="2">1/((1/G2)+($B$14/4))</f>
        <v>#DIV/0!</v>
      </c>
      <c r="P2" s="2">
        <f>(N2*$B$10*B2)/3</f>
        <v>169.88741522734804</v>
      </c>
      <c r="Q2" s="2" t="e">
        <f>(O2*C2*$B$11)/3</f>
        <v>#DIV/0!</v>
      </c>
      <c r="R2" s="2" t="e">
        <f>Q2*(((P2*(1+(2*S2)))+(2*Q2)+(2*$B$13*((P2*(1-S2))-Q2)))/((P2*(1+(2*S2)))+(2*Q2)-($B$13*((P2*(1-S2))-Q2))))</f>
        <v>#DIV/0!</v>
      </c>
      <c r="S2" s="2" t="e">
        <f>(2*Q2*H2)/$B$12</f>
        <v>#DIV/0!</v>
      </c>
    </row>
    <row r="3" spans="1:19" x14ac:dyDescent="0.25">
      <c r="A3">
        <v>250</v>
      </c>
      <c r="B3" s="2">
        <f>648.7*2330</f>
        <v>1511471</v>
      </c>
      <c r="C3" s="3"/>
      <c r="D3" s="2">
        <f t="shared" ref="D3:D8" si="3">100/((0.00156*A3)+(0.00000165*(A3^2))+0.03)</f>
        <v>191.15890083632016</v>
      </c>
      <c r="E3" s="2">
        <f t="shared" ref="E3:E8" si="4">100/((0.00395*A3)+(0.00000338*(A3^2))+0.17)</f>
        <v>73.05936073059361</v>
      </c>
      <c r="F3" s="2">
        <f t="shared" ref="F3:F8" si="5">(3*D3)/(B3*$B$10)</f>
        <v>5.9283793580574865E-8</v>
      </c>
      <c r="G3" s="2" t="e">
        <f t="shared" si="0"/>
        <v>#DIV/0!</v>
      </c>
      <c r="H3" s="2" t="e">
        <f t="shared" si="1"/>
        <v>#DIV/0!</v>
      </c>
      <c r="I3" s="2"/>
      <c r="J3" s="2" t="e">
        <f>(2*H3*E3)/2</f>
        <v>#DIV/0!</v>
      </c>
      <c r="K3" s="2" t="e">
        <f t="shared" ref="K3:K8" si="6">E3*(((D3*(1+(2*J3)))+(2*E3)+(2*$B$13*((D3*(1-J3))-E3)))/((D3*(1+(2*J3)))+(2*E3)-($B$13*((D3*(1-J3))-E3))))</f>
        <v>#DIV/0!</v>
      </c>
      <c r="L3" s="2">
        <f t="shared" ref="L3:L8" si="7">1/(((1-$B$13)/E3)+($B$13/D3))</f>
        <v>107.99348488676624</v>
      </c>
      <c r="M3" s="2"/>
      <c r="N3" s="2">
        <f t="shared" ref="N3:N8" si="8">1/((1/F3)+(1/$B$12))</f>
        <v>4.5728884757428443E-8</v>
      </c>
      <c r="O3" s="2" t="e">
        <f t="shared" si="2"/>
        <v>#DIV/0!</v>
      </c>
      <c r="P3" s="2">
        <f t="shared" ref="P3:P8" si="9">(N3*$B$10*B3)/3</f>
        <v>147.45148410281627</v>
      </c>
      <c r="Q3" s="2" t="e">
        <f t="shared" ref="Q3:Q8" si="10">(O3*C3*$B$11)/3</f>
        <v>#DIV/0!</v>
      </c>
      <c r="R3" s="2" t="e">
        <f t="shared" ref="R3:R8" si="11">Q3*(((P3*(1+(2*S3)))+(2*Q3)+(2*$B$13*((P3*(1-S3))-Q3)))/((P3*(1+(2*S3)))+(2*Q3)-($B$13*((P3*(1-S3))-Q3))))</f>
        <v>#DIV/0!</v>
      </c>
      <c r="S3" s="2" t="e">
        <f t="shared" ref="S3:S8" si="12">(2*Q3*H3)/$B$12</f>
        <v>#DIV/0!</v>
      </c>
    </row>
    <row r="4" spans="1:19" x14ac:dyDescent="0.25">
      <c r="A4">
        <f>(298.15*0)+300</f>
        <v>300</v>
      </c>
      <c r="B4" s="2">
        <f>705*2330</f>
        <v>1642650</v>
      </c>
      <c r="C4" s="2">
        <f>320*5323</f>
        <v>1703360</v>
      </c>
      <c r="D4" s="2">
        <f t="shared" si="3"/>
        <v>154.67904098994583</v>
      </c>
      <c r="E4" s="2">
        <f t="shared" si="4"/>
        <v>60.27000964320154</v>
      </c>
      <c r="F4" s="2">
        <f t="shared" si="5"/>
        <v>4.4139530918964539E-8</v>
      </c>
      <c r="G4" s="2">
        <f t="shared" si="0"/>
        <v>2.7217702587465832E-8</v>
      </c>
      <c r="H4" s="2">
        <f t="shared" si="1"/>
        <v>9.8261091829645187E-10</v>
      </c>
      <c r="I4" s="2"/>
      <c r="J4" s="2">
        <f>(2*H4*E4)/$B$12</f>
        <v>0.59221969521242279</v>
      </c>
      <c r="K4" s="2">
        <f t="shared" si="6"/>
        <v>60.851156973451829</v>
      </c>
      <c r="L4" s="2">
        <f t="shared" si="7"/>
        <v>88.577762799431724</v>
      </c>
      <c r="M4" s="2"/>
      <c r="N4" s="2">
        <f t="shared" si="8"/>
        <v>3.6159265771355525E-8</v>
      </c>
      <c r="O4" s="2">
        <f t="shared" si="2"/>
        <v>2.4589487923952958E-8</v>
      </c>
      <c r="P4" s="2">
        <f t="shared" si="9"/>
        <v>126.71363822787659</v>
      </c>
      <c r="Q4" s="2">
        <f t="shared" si="10"/>
        <v>54.45017519518786</v>
      </c>
      <c r="R4" s="2">
        <f t="shared" si="11"/>
        <v>55.486051914652755</v>
      </c>
      <c r="S4" s="2">
        <f t="shared" si="12"/>
        <v>0.53503336649946232</v>
      </c>
    </row>
    <row r="5" spans="1:19" x14ac:dyDescent="0.25">
      <c r="A5">
        <v>350</v>
      </c>
      <c r="B5" s="2">
        <f>757.7*2330</f>
        <v>1765441</v>
      </c>
      <c r="C5" s="2">
        <f>328.5*5323</f>
        <v>1748605.5</v>
      </c>
      <c r="D5" s="2">
        <f t="shared" si="3"/>
        <v>128.51405622489958</v>
      </c>
      <c r="E5" s="2">
        <f t="shared" si="4"/>
        <v>50.850474180671732</v>
      </c>
      <c r="F5" s="2">
        <f t="shared" si="5"/>
        <v>3.4122331958656037E-8</v>
      </c>
      <c r="G5" s="2">
        <f t="shared" si="0"/>
        <v>2.236968222377631E-8</v>
      </c>
      <c r="H5" s="2">
        <f t="shared" si="1"/>
        <v>9.4056717509995394E-10</v>
      </c>
      <c r="I5" s="2"/>
      <c r="J5" s="2">
        <f>(2*H5*E5)/$B$12</f>
        <v>0.4782828685260756</v>
      </c>
      <c r="K5" s="2">
        <f t="shared" si="6"/>
        <v>54.604217066006633</v>
      </c>
      <c r="L5" s="2">
        <f t="shared" si="7"/>
        <v>74.388593133322757</v>
      </c>
      <c r="M5" s="2"/>
      <c r="N5" s="2">
        <f t="shared" si="8"/>
        <v>2.9149147518897719E-8</v>
      </c>
      <c r="O5" s="2">
        <f t="shared" si="2"/>
        <v>2.0563289062417232E-8</v>
      </c>
      <c r="P5" s="2">
        <f t="shared" si="9"/>
        <v>109.78368030914199</v>
      </c>
      <c r="Q5" s="2">
        <f t="shared" si="10"/>
        <v>46.744204458422395</v>
      </c>
      <c r="R5" s="2">
        <f t="shared" si="11"/>
        <v>50.457790266846033</v>
      </c>
      <c r="S5" s="2">
        <f t="shared" si="12"/>
        <v>0.4396606433975303</v>
      </c>
    </row>
    <row r="6" spans="1:19" x14ac:dyDescent="0.25">
      <c r="A6">
        <v>400</v>
      </c>
      <c r="B6" s="2">
        <f>788.3*2330</f>
        <v>1836739</v>
      </c>
      <c r="C6" s="2">
        <f>334.8*5323</f>
        <v>1782140.4000000001</v>
      </c>
      <c r="D6" s="2">
        <f t="shared" si="3"/>
        <v>108.93246187363835</v>
      </c>
      <c r="E6" s="2">
        <f t="shared" si="4"/>
        <v>43.652872359001222</v>
      </c>
      <c r="F6" s="2">
        <f t="shared" si="5"/>
        <v>2.7800406864158697E-8</v>
      </c>
      <c r="G6" s="2">
        <f t="shared" si="0"/>
        <v>1.8842024222023749E-8</v>
      </c>
      <c r="H6" s="2">
        <f t="shared" si="1"/>
        <v>9.1578776785479579E-10</v>
      </c>
      <c r="I6" s="2"/>
      <c r="J6" s="2">
        <f>(2*H6*E6)/$B$12</f>
        <v>0.39976766538100039</v>
      </c>
      <c r="K6" s="2">
        <f t="shared" si="6"/>
        <v>49.132285081598241</v>
      </c>
      <c r="L6" s="2">
        <f t="shared" si="7"/>
        <v>63.613085805356953</v>
      </c>
      <c r="M6" s="2"/>
      <c r="N6" s="2">
        <f t="shared" si="8"/>
        <v>2.4407688508420054E-8</v>
      </c>
      <c r="O6" s="2">
        <f t="shared" si="2"/>
        <v>1.7543907423749671E-8</v>
      </c>
      <c r="P6" s="2">
        <f t="shared" si="9"/>
        <v>95.63851388430281</v>
      </c>
      <c r="Q6" s="2">
        <f t="shared" si="10"/>
        <v>40.645418051841467</v>
      </c>
      <c r="R6" s="2">
        <f t="shared" si="11"/>
        <v>45.848621291389769</v>
      </c>
      <c r="S6" s="2">
        <f t="shared" si="12"/>
        <v>0.37222576671220925</v>
      </c>
    </row>
    <row r="7" spans="1:19" x14ac:dyDescent="0.25">
      <c r="A7">
        <v>500</v>
      </c>
      <c r="B7" s="2">
        <f>830.7*2330</f>
        <v>1935531</v>
      </c>
      <c r="C7" s="2">
        <f>343.8*5323</f>
        <v>1830047.4000000001</v>
      </c>
      <c r="D7" s="2">
        <f t="shared" si="3"/>
        <v>81.799591002044977</v>
      </c>
      <c r="E7" s="2">
        <f t="shared" si="4"/>
        <v>33.444816053511701</v>
      </c>
      <c r="F7" s="2">
        <f t="shared" si="5"/>
        <v>1.9810356063637619E-8</v>
      </c>
      <c r="G7" s="2">
        <f t="shared" si="0"/>
        <v>1.4057986465063353E-8</v>
      </c>
      <c r="H7" s="2">
        <f t="shared" si="1"/>
        <v>8.833538642444857E-10</v>
      </c>
      <c r="I7" s="2"/>
      <c r="J7" s="2">
        <f>(2*H7*E7)/$B$12</f>
        <v>0.29543607499815572</v>
      </c>
      <c r="K7" s="2">
        <f t="shared" si="6"/>
        <v>40.337559505457484</v>
      </c>
      <c r="L7" s="2">
        <f t="shared" si="7"/>
        <v>48.43695953373598</v>
      </c>
      <c r="M7" s="2"/>
      <c r="N7" s="2">
        <f t="shared" si="8"/>
        <v>1.8024952434818215E-8</v>
      </c>
      <c r="O7" s="2">
        <f t="shared" si="2"/>
        <v>1.3322509549178014E-8</v>
      </c>
      <c r="P7" s="2">
        <f t="shared" si="9"/>
        <v>74.427422317047743</v>
      </c>
      <c r="Q7" s="2">
        <f t="shared" si="10"/>
        <v>31.695071150532922</v>
      </c>
      <c r="R7" s="2">
        <f t="shared" si="11"/>
        <v>38.182211973115095</v>
      </c>
      <c r="S7" s="2">
        <f t="shared" si="12"/>
        <v>0.27997963578327179</v>
      </c>
    </row>
    <row r="8" spans="1:19" x14ac:dyDescent="0.25">
      <c r="A8">
        <v>600</v>
      </c>
      <c r="B8" s="2">
        <f>859.9*2330</f>
        <v>2003567</v>
      </c>
      <c r="C8" s="2">
        <f>350.5*5323</f>
        <v>1865711.5</v>
      </c>
      <c r="D8" s="2">
        <f t="shared" si="3"/>
        <v>64.102564102564102</v>
      </c>
      <c r="E8" s="2">
        <f t="shared" si="4"/>
        <v>26.618398637137989</v>
      </c>
      <c r="F8" s="2">
        <f t="shared" si="5"/>
        <v>1.4997290793408418E-8</v>
      </c>
      <c r="G8" s="2">
        <f t="shared" si="0"/>
        <v>1.0974736050743599E-8</v>
      </c>
      <c r="H8" s="2">
        <f t="shared" si="1"/>
        <v>8.6167549377534241E-10</v>
      </c>
      <c r="I8" s="2"/>
      <c r="J8" s="2">
        <f>(2*H8*E8)/$B$12</f>
        <v>0.22936421789164779</v>
      </c>
      <c r="K8" s="2">
        <f t="shared" si="6"/>
        <v>33.683803142555576</v>
      </c>
      <c r="L8" s="2">
        <f t="shared" si="7"/>
        <v>38.364767598482317</v>
      </c>
      <c r="M8" s="2"/>
      <c r="N8" s="2">
        <f t="shared" si="8"/>
        <v>1.3951143977734458E-8</v>
      </c>
      <c r="O8" s="2">
        <f t="shared" si="2"/>
        <v>1.0521292665852384E-8</v>
      </c>
      <c r="P8" s="2">
        <f t="shared" si="9"/>
        <v>59.631043596879998</v>
      </c>
      <c r="Q8" s="2">
        <f t="shared" si="10"/>
        <v>25.518605738010383</v>
      </c>
      <c r="R8" s="2">
        <f t="shared" si="11"/>
        <v>32.204938619937174</v>
      </c>
      <c r="S8" s="2">
        <f t="shared" si="12"/>
        <v>0.21988757199758382</v>
      </c>
    </row>
    <row r="10" spans="1:19" x14ac:dyDescent="0.25">
      <c r="A10" t="s">
        <v>5</v>
      </c>
      <c r="B10">
        <v>6400</v>
      </c>
      <c r="F10" t="s">
        <v>22</v>
      </c>
      <c r="G10" t="s">
        <v>23</v>
      </c>
    </row>
    <row r="11" spans="1:19" x14ac:dyDescent="0.25">
      <c r="A11" t="s">
        <v>6</v>
      </c>
      <c r="B11">
        <v>3900</v>
      </c>
      <c r="F11" t="s">
        <v>24</v>
      </c>
      <c r="G11" t="s">
        <v>25</v>
      </c>
    </row>
    <row r="12" spans="1:19" x14ac:dyDescent="0.25">
      <c r="A12" t="s">
        <v>9</v>
      </c>
      <c r="B12" s="1">
        <v>1.9999999999999999E-7</v>
      </c>
    </row>
    <row r="13" spans="1:19" x14ac:dyDescent="0.25">
      <c r="A13" t="s">
        <v>11</v>
      </c>
      <c r="B13">
        <f>3.14159265/6</f>
        <v>0.52359877500000007</v>
      </c>
      <c r="I13" t="s">
        <v>26</v>
      </c>
    </row>
    <row r="14" spans="1:19" x14ac:dyDescent="0.25">
      <c r="A14" t="s">
        <v>12</v>
      </c>
      <c r="B14" s="1">
        <f>(6*$B$13)/$B$12</f>
        <v>15707963.250000004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K_phonon</vt:lpstr>
      <vt:lpstr>Sheet2</vt:lpstr>
      <vt:lpstr>K_phonon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2014-11-10T13:37:12Z</dcterms:created>
  <dcterms:modified xsi:type="dcterms:W3CDTF">2015-03-08T20:18:32Z</dcterms:modified>
</cp:coreProperties>
</file>