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2 - BI com Excel/2908- BI com Excel 1 - Crie bancos de dados com planilhas/Materiais do Curso/"/>
    </mc:Choice>
  </mc:AlternateContent>
  <xr:revisionPtr revIDLastSave="37" documentId="13_ncr:1_{0B2E425E-02A7-4966-963B-7DF646EE3262}" xr6:coauthVersionLast="47" xr6:coauthVersionMax="47" xr10:uidLastSave="{AD35749E-EC44-4C94-8C8E-AE69E09E8E53}"/>
  <bookViews>
    <workbookView xWindow="-108" yWindow="-108" windowWidth="23256" windowHeight="12456" tabRatio="781" activeTab="3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  <sheet name="Quadro de Resumo" sheetId="8" r:id="rId7"/>
  </sheets>
  <definedNames>
    <definedName name="CriteriosConsultaProduto">'Quadro de Resumo'!$AM$6:$AM$7</definedName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3" i="8" l="1"/>
  <c r="AM16" i="8"/>
  <c r="G6" i="4" l="1"/>
  <c r="J20" i="7"/>
  <c r="N7" i="8"/>
  <c r="F12" i="6"/>
  <c r="AM10" i="8"/>
  <c r="N16" i="8"/>
  <c r="N13" i="8"/>
  <c r="N10" i="8"/>
  <c r="I6" i="7"/>
  <c r="J6" i="7" s="1"/>
  <c r="I7" i="7"/>
  <c r="J7" i="7" s="1"/>
  <c r="I8" i="7"/>
  <c r="J8" i="7" s="1"/>
  <c r="I9" i="7"/>
  <c r="J9" i="7" s="1"/>
  <c r="I10" i="7"/>
  <c r="I11" i="7"/>
  <c r="I12" i="7"/>
  <c r="I13" i="7"/>
  <c r="J13" i="7" s="1"/>
  <c r="I14" i="7"/>
  <c r="J14" i="7" s="1"/>
  <c r="I15" i="7"/>
  <c r="J15" i="7" s="1"/>
  <c r="I16" i="7"/>
  <c r="J16" i="7" s="1"/>
  <c r="I17" i="7"/>
  <c r="J17" i="7" s="1"/>
  <c r="J10" i="7"/>
  <c r="J11" i="7"/>
  <c r="J12" i="7"/>
  <c r="H6" i="7"/>
  <c r="H7" i="7"/>
  <c r="H8" i="7"/>
  <c r="H9" i="7"/>
  <c r="H10" i="7"/>
  <c r="H11" i="7"/>
  <c r="H12" i="7"/>
  <c r="H13" i="7"/>
  <c r="H14" i="7"/>
  <c r="H15" i="7"/>
  <c r="H16" i="7"/>
  <c r="H17" i="7"/>
  <c r="E6" i="5" a="1"/>
  <c r="E6" i="5" s="1"/>
  <c r="N9" i="7" l="1"/>
  <c r="P9" i="7" s="1"/>
  <c r="N19" i="8"/>
  <c r="N22" i="8" s="1"/>
  <c r="AM19" i="8"/>
  <c r="AM22" i="8" s="1"/>
  <c r="E9" i="5" a="1"/>
  <c r="E9" i="5" s="1"/>
  <c r="E7" i="5" a="1"/>
  <c r="E7" i="5" s="1"/>
  <c r="E8" i="5" a="1"/>
  <c r="E8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10" i="7"/>
  <c r="F10" i="7"/>
  <c r="G6" i="7" a="1"/>
  <c r="G6" i="7" s="1"/>
  <c r="G7" i="7" a="1"/>
  <c r="G7" i="7" s="1"/>
  <c r="G8" i="7" a="1"/>
  <c r="G8" i="7" s="1"/>
  <c r="G9" i="7" a="1"/>
  <c r="G9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F6" i="7"/>
  <c r="F7" i="7"/>
  <c r="F8" i="7"/>
  <c r="F9" i="7"/>
  <c r="F11" i="7"/>
  <c r="F12" i="7"/>
  <c r="F13" i="7"/>
  <c r="F14" i="7"/>
  <c r="F15" i="7"/>
  <c r="F16" i="7"/>
  <c r="F17" i="7"/>
  <c r="E6" i="7"/>
  <c r="E7" i="7"/>
  <c r="E8" i="7"/>
  <c r="E9" i="7"/>
  <c r="E11" i="7"/>
  <c r="E12" i="7"/>
  <c r="E13" i="7"/>
  <c r="E14" i="7"/>
  <c r="E15" i="7"/>
  <c r="E16" i="7"/>
  <c r="E17" i="7"/>
  <c r="D7" i="7"/>
  <c r="D6" i="7"/>
  <c r="D8" i="7"/>
  <c r="D9" i="7"/>
  <c r="D10" i="7"/>
  <c r="D11" i="7"/>
  <c r="D12" i="7"/>
  <c r="D13" i="7"/>
  <c r="D14" i="7"/>
  <c r="D15" i="7"/>
  <c r="D16" i="7"/>
  <c r="D17" i="7"/>
  <c r="C9" i="7"/>
  <c r="C6" i="7"/>
  <c r="C7" i="7"/>
  <c r="C8" i="7"/>
  <c r="C10" i="7"/>
  <c r="C11" i="7"/>
  <c r="C12" i="7"/>
  <c r="C13" i="7"/>
  <c r="C14" i="7"/>
  <c r="C15" i="7"/>
  <c r="C16" i="7"/>
  <c r="C17" i="7"/>
  <c r="G10" i="7" l="1" a="1"/>
  <c r="G10" i="7" s="1"/>
  <c r="F6" i="6"/>
  <c r="F8" i="6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F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<sst xmlns="http://schemas.openxmlformats.org/spreadsheetml/2006/main" count="227" uniqueCount="90">
  <si>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</si>
  <si>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</si>
  <si>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</si>
  <si>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</si>
  <si>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</si>
  <si>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</si>
  <si>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</si>
  <si>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</si>
  <si>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</si>
  <si>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</si>
  <si>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</si>
  <si>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</si>
  <si>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</si>
  <si>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</si>
  <si>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</si>
  <si>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</si>
  <si>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</si>
  <si>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</si>
  <si>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</si>
  <si>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</si>
  <si>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</si>
  <si>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</si>
  <si>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</si>
  <si>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</si>
  <si>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</si>
  <si>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</si>
  <si>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</si>
  <si>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</si>
  <si>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</si>
  <si>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</si>
  <si>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</si>
  <si>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</si>
  <si>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</si>
  <si>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</si>
  <si>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</si>
  <si>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</si>
  <si>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</si>
  <si>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</si>
  <si>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</si>
  <si>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</si>
  <si>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</si>
  <si>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</si>
  <si>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</si>
  <si>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</si>
  <si>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</si>
  <si>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</si>
  <si>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</si>
  <si>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</si>
  <si>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</si>
  <si>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</si>
  <si>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</si>
  <si>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</si>
  <si>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</si>
  <si>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</si>
  <si>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</si>
  <si>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</si>
  <si>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</si>
  <si>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</si>
  <si>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</si>
  <si>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</si>
  <si>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</si>
  <si>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</si>
  <si>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</si>
  <si>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</si>
  <si>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</si>
  <si>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</si>
  <si>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</si>
  <si>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</si>
  <si>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</si>
  <si>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</si>
  <si>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</si>
  <si>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</si>
  <si>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</si>
  <si>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</si>
  <si>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</si>
  <si>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</si>
  <si>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</si>
  <si>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</si>
  <si>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</si>
  <si>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Produtos comprados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</si>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</sst>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444444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8" xfId="0" applyFill="1" applyBorder="1"/>
    <xf numFmtId="0" fontId="0" fillId="11" borderId="0" xfId="0" applyFill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14" fillId="8" borderId="8" xfId="0" applyFont="1" applyFill="1" applyBorder="1" applyAlignment="1">
      <alignment vertical="top"/>
    </xf>
    <xf numFmtId="0" fontId="14" fillId="8" borderId="0" xfId="0" applyFont="1" applyFill="1" applyAlignment="1">
      <alignment vertical="top"/>
    </xf>
    <xf numFmtId="0" fontId="14" fillId="8" borderId="9" xfId="0" applyFont="1" applyFill="1" applyBorder="1" applyAlignment="1">
      <alignment vertical="top"/>
    </xf>
    <xf numFmtId="0" fontId="16" fillId="0" borderId="0" xfId="0" applyFont="1"/>
    <xf numFmtId="0" fontId="12" fillId="8" borderId="0" xfId="0" applyFont="1" applyFill="1" applyAlignment="1">
      <alignment horizont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horizontal="center" vertical="top"/>
    </xf>
    <xf numFmtId="0" fontId="14" fillId="8" borderId="7" xfId="0" applyFont="1" applyFill="1" applyBorder="1" applyAlignment="1">
      <alignment horizontal="center" vertical="top"/>
    </xf>
    <xf numFmtId="0" fontId="14" fillId="8" borderId="8" xfId="0" applyFont="1" applyFill="1" applyBorder="1" applyAlignment="1">
      <alignment horizontal="center" vertical="top"/>
    </xf>
    <xf numFmtId="0" fontId="14" fillId="8" borderId="0" xfId="0" applyFont="1" applyFill="1" applyAlignment="1">
      <alignment horizontal="center" vertical="top"/>
    </xf>
    <xf numFmtId="0" fontId="14" fillId="8" borderId="9" xfId="0" applyFont="1" applyFill="1" applyBorder="1" applyAlignment="1">
      <alignment horizontal="center" vertical="top"/>
    </xf>
    <xf numFmtId="0" fontId="15" fillId="8" borderId="17" xfId="0" applyFont="1" applyFill="1" applyBorder="1" applyAlignment="1">
      <alignment horizontal="center" vertical="top"/>
    </xf>
    <xf numFmtId="0" fontId="12" fillId="11" borderId="0" xfId="0" applyFont="1" applyFill="1" applyAlignment="1">
      <alignment horizontal="right" vertical="center"/>
    </xf>
    <xf numFmtId="0" fontId="12" fillId="11" borderId="19" xfId="0" applyFont="1" applyFill="1" applyBorder="1" applyAlignment="1">
      <alignment horizontal="right" vertical="center"/>
    </xf>
    <xf numFmtId="164" fontId="0" fillId="12" borderId="13" xfId="0" applyNumberFormat="1" applyFill="1" applyBorder="1" applyAlignment="1">
      <alignment horizontal="center" vertical="center"/>
    </xf>
    <xf numFmtId="164" fontId="0" fillId="12" borderId="14" xfId="0" applyNumberFormat="1" applyFill="1" applyBorder="1" applyAlignment="1">
      <alignment horizontal="center" vertical="center"/>
    </xf>
    <xf numFmtId="164" fontId="0" fillId="12" borderId="15" xfId="0" applyNumberFormat="1" applyFill="1" applyBorder="1" applyAlignment="1">
      <alignment horizontal="center" vertical="center"/>
    </xf>
    <xf numFmtId="164" fontId="0" fillId="12" borderId="16" xfId="0" applyNumberFormat="1" applyFill="1" applyBorder="1" applyAlignment="1">
      <alignment horizontal="center" vertical="center"/>
    </xf>
    <xf numFmtId="164" fontId="0" fillId="12" borderId="17" xfId="0" applyNumberFormat="1" applyFill="1" applyBorder="1" applyAlignment="1">
      <alignment horizontal="center" vertical="center"/>
    </xf>
    <xf numFmtId="164" fontId="0" fillId="12" borderId="18" xfId="0" applyNumberForma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10" fontId="0" fillId="12" borderId="13" xfId="3" applyNumberFormat="1" applyFont="1" applyFill="1" applyBorder="1" applyAlignment="1">
      <alignment horizontal="center" vertical="center"/>
    </xf>
    <xf numFmtId="10" fontId="0" fillId="12" borderId="14" xfId="3" applyNumberFormat="1" applyFont="1" applyFill="1" applyBorder="1" applyAlignment="1">
      <alignment horizontal="center" vertical="center"/>
    </xf>
    <xf numFmtId="10" fontId="0" fillId="12" borderId="15" xfId="3" applyNumberFormat="1" applyFont="1" applyFill="1" applyBorder="1" applyAlignment="1">
      <alignment horizontal="center" vertical="center"/>
    </xf>
    <xf numFmtId="10" fontId="0" fillId="12" borderId="16" xfId="3" applyNumberFormat="1" applyFont="1" applyFill="1" applyBorder="1" applyAlignment="1">
      <alignment horizontal="center" vertical="center"/>
    </xf>
    <xf numFmtId="10" fontId="0" fillId="12" borderId="17" xfId="3" applyNumberFormat="1" applyFont="1" applyFill="1" applyBorder="1" applyAlignment="1">
      <alignment horizontal="center" vertical="center"/>
    </xf>
    <xf numFmtId="10" fontId="0" fillId="12" borderId="18" xfId="3" applyNumberFormat="1" applyFont="1" applyFill="1" applyBorder="1" applyAlignment="1">
      <alignment horizontal="center" vertical="center"/>
    </xf>
    <xf numFmtId="0" fontId="13" fillId="12" borderId="13" xfId="0" applyFont="1" applyFill="1" applyBorder="1" applyAlignment="1" applyProtection="1">
      <alignment horizontal="center" vertical="center"/>
      <protection locked="0"/>
    </xf>
    <xf numFmtId="0" fontId="13" fillId="12" borderId="14" xfId="0" applyFont="1" applyFill="1" applyBorder="1" applyAlignment="1" applyProtection="1">
      <alignment horizontal="center" vertical="center"/>
      <protection locked="0"/>
    </xf>
    <xf numFmtId="0" fontId="13" fillId="12" borderId="15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12" borderId="17" xfId="0" applyFont="1" applyFill="1" applyBorder="1" applyAlignment="1" applyProtection="1">
      <alignment horizontal="center" vertical="center"/>
      <protection locked="0"/>
    </xf>
    <xf numFmtId="0" fontId="13" fillId="12" borderId="18" xfId="0" applyFont="1" applyFill="1" applyBorder="1" applyAlignment="1" applyProtection="1">
      <alignment horizontal="center" vertical="center"/>
      <protection locked="0"/>
    </xf>
    <xf numFmtId="0" fontId="0" fillId="12" borderId="13" xfId="0" applyFill="1" applyBorder="1" applyAlignment="1">
      <alignment horizontal="center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36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35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50430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4146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2343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9525</xdr:rowOff>
    </xdr:from>
    <xdr:to>
      <xdr:col>2</xdr:col>
      <xdr:colOff>66675</xdr:colOff>
      <xdr:row>1</xdr:row>
      <xdr:rowOff>19050</xdr:rowOff>
    </xdr:to>
    <xdr:pic>
      <xdr:nvPicPr>
        <xdr:cNvPr id="4" name="Imagem 7">
          <a:extLst>
            <a:ext uri="{FF2B5EF4-FFF2-40B4-BE49-F238E27FC236}">
              <a16:creationId xmlns:a16="http://schemas.microsoft.com/office/drawing/2014/main" id="{8CB3F641-7A5E-449D-8002-9649FC5D4F3D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"/>
          <a:ext cx="904875" cy="771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103188</xdr:colOff>
      <xdr:row>0</xdr:row>
      <xdr:rowOff>57152</xdr:rowOff>
    </xdr:from>
    <xdr:to>
      <xdr:col>9</xdr:col>
      <xdr:colOff>57150</xdr:colOff>
      <xdr:row>1</xdr:row>
      <xdr:rowOff>50743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7A2B8D1F-99CF-48EB-9AC1-B059AD53F3D6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938" y="57152"/>
          <a:ext cx="588962" cy="6206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34">
  <autoFilter ref="B4:F31" xr:uid="{BF78AD2E-2996-4673-93A5-FBABBADBFCAD}"/>
  <tableColumns count="5">
    <tableColumn id="1" xr3:uid="{377E90C8-0A45-4737-AC04-4C7CDB0AEAE2}" name="Produto" dataDxfId="33"/>
    <tableColumn id="2" xr3:uid="{4EB804C9-8A27-4783-BD36-FB9E656AE6E9}" name="Unidade de Medida" dataDxfId="32"/>
    <tableColumn id="3" xr3:uid="{A21D3E1F-EEC0-4E4A-BE5D-F1FC07B6F8D6}" name="Estoque Mínimo" dataDxfId="31"/>
    <tableColumn id="4" xr3:uid="{56ACBABD-1CFA-40E7-BC2B-DBA4120CD2CF}" name="Custo Unitário" dataDxfId="30" dataCellStyle="Moeda"/>
    <tableColumn id="5" xr3:uid="{96CD541B-A2C4-4577-95D7-DC8135FFC00B}" name="Preço Unitário" dataDxfId="29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8">
  <autoFilter ref="B5:E9" xr:uid="{3FE8CB29-2D3F-4475-8076-85314FAA5C42}"/>
  <tableColumns count="4">
    <tableColumn id="1" xr3:uid="{5957F8AA-CE75-4BE8-A28F-E63751C6F321}" name="Empresa" dataDxfId="27"/>
    <tableColumn id="2" xr3:uid="{714E240A-6400-4353-BAFA-98056A75BEB8}" name="Telefone" dataDxfId="26"/>
    <tableColumn id="3" xr3:uid="{83F2A368-4F63-4459-A8E0-C24478833107}" name="Responsável" dataDxfId="25"/>
    <tableColumn id="4" xr3:uid="{B26AA4D1-77D3-4E4E-8E26-1DD67159E60C}" name="E-mail" dataDxfId="2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23">
  <autoFilter ref="B5:G31" xr:uid="{96889516-6D39-4469-A223-4B0F7168EF79}"/>
  <tableColumns count="6">
    <tableColumn id="1" xr3:uid="{701AD28A-1CD8-44C9-BCEB-958AEB0E91DD}" name="Data" dataDxfId="22"/>
    <tableColumn id="2" xr3:uid="{F247CE0B-0EF4-4B75-A4B5-2205D8CF8B59}" name="Produto" dataDxfId="21"/>
    <tableColumn id="3" xr3:uid="{1A5D1499-6E9D-496F-95A9-F290D6FBA0EA}" name="Fornecedor" dataDxfId="20"/>
    <tableColumn id="4" xr3:uid="{8E9FF413-1C84-4664-AA13-4DDF2E3D7D9D}" name="Quantidade Comprada" dataDxfId="19" dataCellStyle="Moeda"/>
    <tableColumn id="5" xr3:uid="{A02F7FDA-CBAC-4B18-A2AB-0654AA440E5C}" name="Custo Unitário" dataDxfId="1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16">
  <autoFilter ref="B5:F33" xr:uid="{586A585A-A0FE-42A4-967D-5B04DAD1156E}"/>
  <tableColumns count="5"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7" totalsRowShown="0" headerRowDxfId="8">
  <autoFilter ref="B5:J17" xr:uid="{347EF29C-00D0-4030-B676-536CD20FE6BA}"/>
  <tableColumns count="9">
    <tableColumn id="1" xr3:uid="{78F980A1-14CD-4F6E-AB99-C4BA00BC2581}" name="Produto"/>
    <tableColumn id="2" xr3:uid="{9FA7D6B5-DE47-4204-B1E9-DAFE01D4EAF5}" name="Entradas" dataDxfId="7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6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5">
      <calculatedColumnFormula>TB_ControleEstoque[[#This Row],[Entradas]]-TB_ControleEstoque[[#This Row],[Saídas ]]</calculatedColumnFormula>
    </tableColumn>
    <tableColumn id="5" xr3:uid="{758D7A90-134E-40AE-9F13-5CDB85014396}" name="Estoque Mínimo" dataDxfId="4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1">
      <calculatedColumnFormula>SUMIFS(TB_Entradas[Valor da Compra],TB_Entradas[Produto],TB_ControleEstoque[[#This Row],[Produto]])</calculatedColumnFormula>
    </tableColumn>
    <tableColumn id="9" xr3:uid="{15E00F21-6DB5-437E-ABC8-BDF107CA8A75}" name="Lucro" dataDxfId="0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8" zoomScale="110" zoomScaleNormal="110" workbookViewId="0"/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8.44140625" customWidth="1"/>
    <col min="6" max="6" width="20.44140625" style="3" customWidth="1"/>
    <col min="8" max="8" width="13.5546875" customWidth="1"/>
    <col min="9" max="9" width="15.33203125" customWidth="1"/>
  </cols>
  <sheetData>
    <row r="1" spans="2:9" s="1" customFormat="1" ht="60" customHeight="1" x14ac:dyDescent="0.3">
      <c r="C1" s="5" t="s">
        <v>0</v>
      </c>
      <c r="F1" s="9"/>
    </row>
    <row r="2" spans="2:9" s="2" customFormat="1" ht="6" customHeight="1" x14ac:dyDescent="0.3">
      <c r="F2" s="10"/>
    </row>
    <row r="4" spans="2:9" x14ac:dyDescent="0.3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 x14ac:dyDescent="0.3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 x14ac:dyDescent="0.3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 x14ac:dyDescent="0.3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 x14ac:dyDescent="0.3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 x14ac:dyDescent="0.3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 x14ac:dyDescent="0.3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 x14ac:dyDescent="0.3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 x14ac:dyDescent="0.3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 x14ac:dyDescent="0.3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 x14ac:dyDescent="0.3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 x14ac:dyDescent="0.3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 x14ac:dyDescent="0.3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 x14ac:dyDescent="0.3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 x14ac:dyDescent="0.3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 x14ac:dyDescent="0.3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 x14ac:dyDescent="0.3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 x14ac:dyDescent="0.3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 x14ac:dyDescent="0.3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 x14ac:dyDescent="0.3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 x14ac:dyDescent="0.3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 x14ac:dyDescent="0.3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 x14ac:dyDescent="0.3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 x14ac:dyDescent="0.3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 x14ac:dyDescent="0.3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 x14ac:dyDescent="0.3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 x14ac:dyDescent="0.3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 x14ac:dyDescent="0.3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disablePrompts="1"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B10" sqref="B10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1" customFormat="1" ht="60" customHeight="1" x14ac:dyDescent="0.3">
      <c r="C1" s="5" t="s">
        <v>38</v>
      </c>
    </row>
    <row r="2" spans="2:8" s="2" customFormat="1" ht="6" customHeight="1" x14ac:dyDescent="0.3"/>
    <row r="5" spans="2:8" x14ac:dyDescent="0.3">
      <c r="B5" s="13" t="s">
        <v>39</v>
      </c>
      <c r="C5" s="13" t="s">
        <v>40</v>
      </c>
      <c r="D5" s="13" t="s">
        <v>41</v>
      </c>
      <c r="E5" s="13" t="s">
        <v>42</v>
      </c>
    </row>
    <row r="6" spans="2:8" x14ac:dyDescent="0.3">
      <c r="B6" s="14" t="s">
        <v>43</v>
      </c>
      <c r="C6" s="15" t="s">
        <v>44</v>
      </c>
      <c r="D6" s="15" t="s">
        <v>45</v>
      </c>
      <c r="E6" s="16" t="s">
        <v>46</v>
      </c>
    </row>
    <row r="7" spans="2:8" x14ac:dyDescent="0.3">
      <c r="B7" s="14" t="s">
        <v>47</v>
      </c>
      <c r="C7" s="15" t="s">
        <v>48</v>
      </c>
      <c r="D7" s="15" t="s">
        <v>49</v>
      </c>
      <c r="E7" s="16" t="s">
        <v>50</v>
      </c>
    </row>
    <row r="8" spans="2:8" x14ac:dyDescent="0.3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 x14ac:dyDescent="0.3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="110" zoomScaleNormal="11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5.88671875" style="4" customWidth="1"/>
    <col min="3" max="3" width="16.88671875" style="4" bestFit="1" customWidth="1"/>
    <col min="4" max="4" width="20.5546875" customWidth="1"/>
    <col min="5" max="5" width="21.109375" style="4" customWidth="1"/>
    <col min="6" max="6" width="17.44140625" customWidth="1"/>
    <col min="7" max="7" width="18.44140625" customWidth="1"/>
  </cols>
  <sheetData>
    <row r="1" spans="2:7" s="1" customFormat="1" ht="60" customHeight="1" x14ac:dyDescent="0.3">
      <c r="B1" s="6"/>
      <c r="C1" s="8" t="s">
        <v>60</v>
      </c>
      <c r="E1" s="6"/>
    </row>
    <row r="2" spans="2:7" s="2" customFormat="1" ht="6" customHeight="1" x14ac:dyDescent="0.3">
      <c r="B2" s="7"/>
      <c r="C2" s="7"/>
      <c r="E2" s="7"/>
    </row>
    <row r="4" spans="2:7" x14ac:dyDescent="0.3">
      <c r="B4"/>
    </row>
    <row r="5" spans="2:7" s="12" customFormat="1" x14ac:dyDescent="0.3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 x14ac:dyDescent="0.3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 x14ac:dyDescent="0.3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 x14ac:dyDescent="0.3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 x14ac:dyDescent="0.3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 x14ac:dyDescent="0.3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 x14ac:dyDescent="0.3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 x14ac:dyDescent="0.3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 x14ac:dyDescent="0.3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 x14ac:dyDescent="0.3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 x14ac:dyDescent="0.3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 x14ac:dyDescent="0.3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 x14ac:dyDescent="0.3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 x14ac:dyDescent="0.3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 x14ac:dyDescent="0.3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 x14ac:dyDescent="0.3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 x14ac:dyDescent="0.3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 x14ac:dyDescent="0.3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 x14ac:dyDescent="0.3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 x14ac:dyDescent="0.3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 x14ac:dyDescent="0.3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 x14ac:dyDescent="0.3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 x14ac:dyDescent="0.3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 x14ac:dyDescent="0.3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 x14ac:dyDescent="0.3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 x14ac:dyDescent="0.3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 x14ac:dyDescent="0.3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tabSelected="1" topLeftCell="A14" zoomScale="130" zoomScaleNormal="130" workbookViewId="0">
      <selection activeCell="F6" sqref="F6:F33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20.88671875" customWidth="1"/>
    <col min="4" max="4" width="23.33203125" customWidth="1"/>
    <col min="5" max="5" width="17.33203125" customWidth="1"/>
    <col min="6" max="6" width="17.5546875" customWidth="1"/>
  </cols>
  <sheetData>
    <row r="1" spans="2:6" s="1" customFormat="1" ht="60" customHeight="1" x14ac:dyDescent="0.3">
      <c r="C1" s="5" t="s">
        <v>65</v>
      </c>
    </row>
    <row r="2" spans="2:6" s="2" customFormat="1" ht="6" customHeight="1" x14ac:dyDescent="0.3"/>
    <row r="5" spans="2:6" x14ac:dyDescent="0.3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 x14ac:dyDescent="0.3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 x14ac:dyDescent="0.3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 x14ac:dyDescent="0.3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 x14ac:dyDescent="0.3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 x14ac:dyDescent="0.3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 x14ac:dyDescent="0.3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 x14ac:dyDescent="0.3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 x14ac:dyDescent="0.3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 x14ac:dyDescent="0.3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 x14ac:dyDescent="0.3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 x14ac:dyDescent="0.3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 x14ac:dyDescent="0.3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 x14ac:dyDescent="0.3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 x14ac:dyDescent="0.3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 x14ac:dyDescent="0.3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 x14ac:dyDescent="0.3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 x14ac:dyDescent="0.3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 x14ac:dyDescent="0.3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 x14ac:dyDescent="0.3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 x14ac:dyDescent="0.3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 x14ac:dyDescent="0.3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 x14ac:dyDescent="0.3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 x14ac:dyDescent="0.3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 x14ac:dyDescent="0.3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 x14ac:dyDescent="0.3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 x14ac:dyDescent="0.3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 x14ac:dyDescent="0.3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 x14ac:dyDescent="0.3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opLeftCell="A7" workbookViewId="0">
      <selection activeCell="L12" sqref="L12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1" customFormat="1" ht="60" customHeight="1" x14ac:dyDescent="0.3">
      <c r="F1" s="5" t="s">
        <v>68</v>
      </c>
    </row>
    <row r="2" spans="2:10" s="2" customFormat="1" ht="6" customHeight="1" x14ac:dyDescent="0.3"/>
    <row r="3" spans="2:10" x14ac:dyDescent="0.3">
      <c r="C3" s="24"/>
      <c r="F3" s="24"/>
    </row>
    <row r="4" spans="2:10" ht="9.75" customHeight="1" thickBot="1" x14ac:dyDescent="0.35">
      <c r="C4" s="30"/>
      <c r="D4" s="31"/>
      <c r="E4" s="31"/>
      <c r="F4" s="31"/>
      <c r="G4" s="30"/>
    </row>
    <row r="5" spans="2:10" ht="27.75" customHeight="1" x14ac:dyDescent="0.3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 x14ac:dyDescent="0.35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 x14ac:dyDescent="0.3">
      <c r="B7" s="25"/>
      <c r="C7" s="30"/>
      <c r="D7" s="38"/>
      <c r="E7" s="30"/>
      <c r="F7" s="38"/>
      <c r="G7" s="30"/>
    </row>
    <row r="8" spans="2:10" ht="27.75" customHeight="1" x14ac:dyDescent="0.3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 x14ac:dyDescent="0.3">
      <c r="B9" s="25"/>
      <c r="C9" s="32"/>
      <c r="D9" s="34"/>
      <c r="E9" s="34"/>
      <c r="F9" s="32"/>
      <c r="G9" s="32"/>
    </row>
    <row r="10" spans="2:10" ht="27.75" customHeight="1" x14ac:dyDescent="0.3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 x14ac:dyDescent="0.3">
      <c r="B11" s="25"/>
      <c r="C11" s="32"/>
      <c r="D11" s="34"/>
      <c r="E11" s="34"/>
      <c r="F11" s="34"/>
      <c r="G11" s="32"/>
    </row>
    <row r="12" spans="2:10" ht="27.75" customHeight="1" x14ac:dyDescent="0.3">
      <c r="B12" s="25"/>
      <c r="C12" s="32"/>
      <c r="D12" s="34" t="s">
        <v>64</v>
      </c>
      <c r="E12" s="34"/>
      <c r="F12" s="35">
        <f>DSUM(TB_Entradas[#All],Consulta!D12,Consulta!D5:F6)</f>
        <v>3200</v>
      </c>
      <c r="G12" s="32"/>
    </row>
    <row r="13" spans="2:10" ht="15" customHeight="1" x14ac:dyDescent="0.3">
      <c r="B13" s="25"/>
      <c r="C13" s="32"/>
      <c r="D13" s="34"/>
      <c r="E13" s="34"/>
      <c r="F13" s="32"/>
      <c r="G13" s="32"/>
    </row>
    <row r="14" spans="2:10" ht="27.75" customHeight="1" x14ac:dyDescent="0.3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 x14ac:dyDescent="0.3">
      <c r="B15" s="25"/>
      <c r="C15" s="32"/>
      <c r="D15" s="32"/>
      <c r="E15" s="32"/>
      <c r="F15" s="32"/>
      <c r="G15" s="32"/>
    </row>
    <row r="16" spans="2:10" ht="12" customHeight="1" x14ac:dyDescent="0.3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20"/>
  <sheetViews>
    <sheetView showGridLines="0" topLeftCell="A3" zoomScaleNormal="100" workbookViewId="0">
      <selection activeCell="J21" sqref="J21"/>
    </sheetView>
  </sheetViews>
  <sheetFormatPr defaultRowHeight="14.4" x14ac:dyDescent="0.3"/>
  <cols>
    <col min="1" max="1" width="3.88671875" customWidth="1"/>
    <col min="2" max="2" width="18.5546875" customWidth="1"/>
    <col min="3" max="7" width="13.4414062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4.33203125" customWidth="1"/>
    <col min="17" max="17" width="2.33203125" customWidth="1"/>
  </cols>
  <sheetData>
    <row r="1" spans="2:17" s="1" customFormat="1" ht="60" customHeight="1" x14ac:dyDescent="0.3">
      <c r="E1" s="5" t="s">
        <v>68</v>
      </c>
    </row>
    <row r="2" spans="2:17" s="2" customFormat="1" ht="6" customHeight="1" x14ac:dyDescent="0.3"/>
    <row r="5" spans="2:17" s="43" customFormat="1" ht="36" x14ac:dyDescent="0.3">
      <c r="B5" s="45" t="s">
        <v>1</v>
      </c>
      <c r="C5" s="44" t="s">
        <v>72</v>
      </c>
      <c r="D5" s="44" t="s">
        <v>73</v>
      </c>
      <c r="E5" s="44" t="s">
        <v>74</v>
      </c>
      <c r="F5" s="44" t="s">
        <v>3</v>
      </c>
      <c r="G5" s="44" t="s">
        <v>75</v>
      </c>
      <c r="H5" s="44" t="s">
        <v>67</v>
      </c>
      <c r="I5" s="44" t="s">
        <v>76</v>
      </c>
      <c r="J5" s="44" t="s">
        <v>77</v>
      </c>
    </row>
    <row r="6" spans="2:17" x14ac:dyDescent="0.3">
      <c r="B6" t="s">
        <v>36</v>
      </c>
      <c r="C6" s="4">
        <f>IFERROR(SUMIF(TB_Entradas[Produto],TB_ControleEstoque[[#This Row],[Produto]],TB_Entradas[Quantidade Comprada]),0)</f>
        <v>1150</v>
      </c>
      <c r="D6" s="4">
        <f>IFERROR(SUMIF(TB_Saídas[Produto],TB_ControleEstoque[[#This Row],[Produto]],TB_Saídas[Quantidade Vendida]),0)</f>
        <v>648</v>
      </c>
      <c r="E6" s="4">
        <f>TB_ControleEstoque[[#This Row],[Entradas]]-TB_ControleEstoque[[#This Row],[Saídas ]]</f>
        <v>502</v>
      </c>
      <c r="F6" s="4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46">
        <f>SUMIFS(TB_Saídas[Valor de Venda],TB_Saídas[Produto],TB_ControleEstoque[[#This Row],[Produto]])</f>
        <v>5184</v>
      </c>
      <c r="I6" s="42">
        <f>SUMIFS(TB_Entradas[Valor da Compra],TB_Entradas[Produto],TB_ControleEstoque[[#This Row],[Produto]])</f>
        <v>2300</v>
      </c>
      <c r="J6" s="42">
        <f>TB_ControleEstoque[[#This Row],[Valor de Venda]]-TB_ControleEstoque[[#This Row],[Custo Total]]</f>
        <v>2884</v>
      </c>
      <c r="M6" s="47"/>
      <c r="N6" s="47"/>
      <c r="O6" s="47"/>
      <c r="P6" s="47"/>
      <c r="Q6" s="47"/>
    </row>
    <row r="7" spans="2:17" ht="15.6" x14ac:dyDescent="0.3">
      <c r="B7" t="s">
        <v>11</v>
      </c>
      <c r="C7" s="4">
        <f>IFERROR(SUMIF(TB_Entradas[Produto],TB_ControleEstoque[[#This Row],[Produto]],TB_Entradas[Quantidade Comprada]),0)</f>
        <v>550</v>
      </c>
      <c r="D7" s="4">
        <f>IFERROR(SUMIF(TB_Saídas[Produto],TB_ControleEstoque[[#This Row],[Produto]],TB_Saídas[Quantidade Vendida]),0)</f>
        <v>500</v>
      </c>
      <c r="E7" s="4">
        <f>TB_ControleEstoque[[#This Row],[Entradas]]-TB_ControleEstoque[[#This Row],[Saídas ]]</f>
        <v>50</v>
      </c>
      <c r="F7" s="4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  <c r="H7" s="46">
        <f>SUMIFS(TB_Saídas[Valor de Venda],TB_Saídas[Produto],TB_ControleEstoque[[#This Row],[Produto]])</f>
        <v>2250</v>
      </c>
      <c r="I7" s="42">
        <f>SUMIFS(TB_Entradas[Valor da Compra],TB_Entradas[Produto],TB_ControleEstoque[[#This Row],[Produto]])</f>
        <v>550</v>
      </c>
      <c r="J7" s="42">
        <f>TB_ControleEstoque[[#This Row],[Valor de Venda]]-TB_ControleEstoque[[#This Row],[Custo Total]]</f>
        <v>1700</v>
      </c>
      <c r="L7" s="49"/>
      <c r="M7" s="47"/>
      <c r="N7" s="61" t="s">
        <v>78</v>
      </c>
      <c r="O7" s="61"/>
      <c r="P7" s="61"/>
      <c r="Q7" s="47"/>
    </row>
    <row r="8" spans="2:17" x14ac:dyDescent="0.3">
      <c r="B8" t="s">
        <v>6</v>
      </c>
      <c r="C8" s="4">
        <f>IFERROR(SUMIF(TB_Entradas[Produto],TB_ControleEstoque[[#This Row],[Produto]],TB_Entradas[Quantidade Comprada]),0)</f>
        <v>3150</v>
      </c>
      <c r="D8" s="4">
        <f>IFERROR(SUMIF(TB_Saídas[Produto],TB_ControleEstoque[[#This Row],[Produto]],TB_Saídas[Quantidade Vendida]),0)</f>
        <v>1591</v>
      </c>
      <c r="E8" s="4">
        <f>TB_ControleEstoque[[#This Row],[Entradas]]-TB_ControleEstoque[[#This Row],[Saídas ]]</f>
        <v>1559</v>
      </c>
      <c r="F8" s="4">
        <f>_xlfn.XLOOKUP(TB_ControleEstoque[[#This Row],[Produto]],TB_Produtos[Produto],TB_Produtos[Estoque Mínimo],"Erro",0,1)</f>
        <v>50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  <c r="H8" s="46">
        <f>SUMIFS(TB_Saídas[Valor de Venda],TB_Saídas[Produto],TB_ControleEstoque[[#This Row],[Produto]])</f>
        <v>9546</v>
      </c>
      <c r="I8" s="42">
        <f>SUMIFS(TB_Entradas[Valor da Compra],TB_Entradas[Produto],TB_ControleEstoque[[#This Row],[Produto]])</f>
        <v>6300</v>
      </c>
      <c r="J8" s="42">
        <f>TB_ControleEstoque[[#This Row],[Valor de Venda]]-TB_ControleEstoque[[#This Row],[Custo Total]]</f>
        <v>3246</v>
      </c>
      <c r="L8" s="49"/>
      <c r="M8" s="47"/>
      <c r="N8" s="48" t="s">
        <v>77</v>
      </c>
      <c r="O8" s="47"/>
      <c r="P8" s="48" t="s">
        <v>1</v>
      </c>
      <c r="Q8" s="47"/>
    </row>
    <row r="9" spans="2:17" x14ac:dyDescent="0.3">
      <c r="B9" t="s">
        <v>26</v>
      </c>
      <c r="C9" s="4">
        <f>IFERROR(SUMIF(TB_Entradas[Produto],TB_ControleEstoque[[#This Row],[Produto]],TB_Entradas[Quantidade Comprada]),0)</f>
        <v>450</v>
      </c>
      <c r="D9" s="4">
        <f>IFERROR(SUMIF(TB_Saídas[Produto],TB_ControleEstoque[[#This Row],[Produto]],TB_Saídas[Quantidade Vendida]),0)</f>
        <v>300</v>
      </c>
      <c r="E9" s="4">
        <f>TB_ControleEstoque[[#This Row],[Entradas]]-TB_ControleEstoque[[#This Row],[Saídas ]]</f>
        <v>150</v>
      </c>
      <c r="F9" s="4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46">
        <f>SUMIFS(TB_Saídas[Valor de Venda],TB_Saídas[Produto],TB_ControleEstoque[[#This Row],[Produto]])</f>
        <v>3000</v>
      </c>
      <c r="I9" s="42">
        <f>SUMIFS(TB_Entradas[Valor da Compra],TB_Entradas[Produto],TB_ControleEstoque[[#This Row],[Produto]])</f>
        <v>337.5</v>
      </c>
      <c r="J9" s="42">
        <f>TB_ControleEstoque[[#This Row],[Valor de Venda]]-TB_ControleEstoque[[#This Row],[Custo Total]]</f>
        <v>2662.5</v>
      </c>
      <c r="L9" s="49"/>
      <c r="M9" s="47"/>
      <c r="N9" s="62">
        <f>LARGE(TB_ControleEstoque[Lucro],1)</f>
        <v>6660</v>
      </c>
      <c r="O9" s="47"/>
      <c r="P9" s="64" t="str">
        <f>DGET(TB_ControleEstoque[#All],1,N8:N9)</f>
        <v>Cerveja</v>
      </c>
      <c r="Q9" s="47"/>
    </row>
    <row r="10" spans="2:17" x14ac:dyDescent="0.3">
      <c r="B10" t="s">
        <v>37</v>
      </c>
      <c r="C10" s="4">
        <f>IFERROR(SUMIF(TB_Entradas[Produto],TB_ControleEstoque[[#This Row],[Produto]],TB_Entradas[Quantidade Comprada]),0)</f>
        <v>300</v>
      </c>
      <c r="D10" s="4">
        <f>IFERROR(SUMIF(TB_Saídas[Produto],TB_ControleEstoque[[#This Row],[Produto]],TB_Saídas[Quantidade Vendida]),0)</f>
        <v>250</v>
      </c>
      <c r="E10" s="4">
        <f>TB_ControleEstoque[[#This Row],[Entradas]]-TB_ControleEstoque[[#This Row],[Saídas ]]</f>
        <v>50</v>
      </c>
      <c r="F10" s="4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46">
        <f>SUMIFS(TB_Saídas[Valor de Venda],TB_Saídas[Produto],TB_ControleEstoque[[#This Row],[Produto]])</f>
        <v>1250</v>
      </c>
      <c r="I10" s="42">
        <f>SUMIFS(TB_Entradas[Valor da Compra],TB_Entradas[Produto],TB_ControleEstoque[[#This Row],[Produto]])</f>
        <v>75</v>
      </c>
      <c r="J10" s="42">
        <f>TB_ControleEstoque[[#This Row],[Valor de Venda]]-TB_ControleEstoque[[#This Row],[Custo Total]]</f>
        <v>1175</v>
      </c>
      <c r="L10" s="49"/>
      <c r="M10" s="47"/>
      <c r="N10" s="63"/>
      <c r="O10" s="47"/>
      <c r="P10" s="65"/>
      <c r="Q10" s="47"/>
    </row>
    <row r="11" spans="2:17" x14ac:dyDescent="0.3">
      <c r="B11" t="s">
        <v>31</v>
      </c>
      <c r="C11" s="4">
        <f>IFERROR(SUMIF(TB_Entradas[Produto],TB_ControleEstoque[[#This Row],[Produto]],TB_Entradas[Quantidade Comprada]),0)</f>
        <v>1200</v>
      </c>
      <c r="D11" s="4">
        <f>IFERROR(SUMIF(TB_Saídas[Produto],TB_ControleEstoque[[#This Row],[Produto]],TB_Saídas[Quantidade Vendida]),0)</f>
        <v>945</v>
      </c>
      <c r="E11" s="4">
        <f>TB_ControleEstoque[[#This Row],[Entradas]]-TB_ControleEstoque[[#This Row],[Saídas ]]</f>
        <v>255</v>
      </c>
      <c r="F11" s="4">
        <f>_xlfn.XLOOKUP(TB_ControleEstoque[[#This Row],[Produto]],TB_Produtos[Produto],TB_Produtos[Estoque Mínimo],"Erro",0,1)</f>
        <v>5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46">
        <f>SUMIFS(TB_Saídas[Valor de Venda],TB_Saídas[Produto],TB_ControleEstoque[[#This Row],[Produto]])</f>
        <v>7560</v>
      </c>
      <c r="I11" s="42">
        <f>SUMIFS(TB_Entradas[Valor da Compra],TB_Entradas[Produto],TB_ControleEstoque[[#This Row],[Produto]])</f>
        <v>900</v>
      </c>
      <c r="J11" s="42">
        <f>TB_ControleEstoque[[#This Row],[Valor de Venda]]-TB_ControleEstoque[[#This Row],[Custo Total]]</f>
        <v>6660</v>
      </c>
      <c r="L11" s="49"/>
      <c r="M11" s="47"/>
      <c r="N11" s="47"/>
      <c r="O11" s="47"/>
      <c r="P11" s="47"/>
      <c r="Q11" s="47"/>
    </row>
    <row r="12" spans="2:17" x14ac:dyDescent="0.3">
      <c r="B12" t="s">
        <v>19</v>
      </c>
      <c r="C12" s="4">
        <f>IFERROR(SUMIF(TB_Entradas[Produto],TB_ControleEstoque[[#This Row],[Produto]],TB_Entradas[Quantidade Comprada]),0)</f>
        <v>350</v>
      </c>
      <c r="D12" s="4">
        <f>IFERROR(SUMIF(TB_Saídas[Produto],TB_ControleEstoque[[#This Row],[Produto]],TB_Saídas[Quantidade Vendida]),0)</f>
        <v>150</v>
      </c>
      <c r="E12" s="4">
        <f>TB_ControleEstoque[[#This Row],[Entradas]]-TB_ControleEstoque[[#This Row],[Saídas ]]</f>
        <v>200</v>
      </c>
      <c r="F12" s="4">
        <f>_xlfn.XLOOKUP(TB_ControleEstoque[[#This Row],[Produto]],TB_Produtos[Produto],TB_Produtos[Estoque Mínimo],"Erro",0,1)</f>
        <v>10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46">
        <f>SUMIFS(TB_Saídas[Valor de Venda],TB_Saídas[Produto],TB_ControleEstoque[[#This Row],[Produto]])</f>
        <v>1275</v>
      </c>
      <c r="I12" s="42">
        <f>SUMIFS(TB_Entradas[Valor da Compra],TB_Entradas[Produto],TB_ControleEstoque[[#This Row],[Produto]])</f>
        <v>87.5</v>
      </c>
      <c r="J12" s="42">
        <f>TB_ControleEstoque[[#This Row],[Valor de Venda]]-TB_ControleEstoque[[#This Row],[Custo Total]]</f>
        <v>1187.5</v>
      </c>
      <c r="L12" s="49"/>
      <c r="M12" s="49"/>
      <c r="N12" s="49"/>
      <c r="O12" s="49"/>
      <c r="P12" s="49"/>
    </row>
    <row r="13" spans="2:17" x14ac:dyDescent="0.3">
      <c r="B13" t="s">
        <v>25</v>
      </c>
      <c r="C13" s="4">
        <f>IFERROR(SUMIF(TB_Entradas[Produto],TB_ControleEstoque[[#This Row],[Produto]],TB_Entradas[Quantidade Comprada]),0)</f>
        <v>300</v>
      </c>
      <c r="D13" s="4">
        <f>IFERROR(SUMIF(TB_Saídas[Produto],TB_ControleEstoque[[#This Row],[Produto]],TB_Saídas[Quantidade Vendida]),0)</f>
        <v>245</v>
      </c>
      <c r="E13" s="4">
        <f>TB_ControleEstoque[[#This Row],[Entradas]]-TB_ControleEstoque[[#This Row],[Saídas ]]</f>
        <v>55</v>
      </c>
      <c r="F13" s="4">
        <f>_xlfn.XLOOKUP(TB_ControleEstoque[[#This Row],[Produto]],TB_Produtos[Produto],TB_Produtos[Estoque Mínimo],"Erro",0,1)</f>
        <v>10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46">
        <f>SUMIFS(TB_Saídas[Valor de Venda],TB_Saídas[Produto],TB_ControleEstoque[[#This Row],[Produto]])</f>
        <v>1837.5</v>
      </c>
      <c r="I13" s="42">
        <f>SUMIFS(TB_Entradas[Valor da Compra],TB_Entradas[Produto],TB_ControleEstoque[[#This Row],[Produto]])</f>
        <v>75</v>
      </c>
      <c r="J13" s="42">
        <f>TB_ControleEstoque[[#This Row],[Valor de Venda]]-TB_ControleEstoque[[#This Row],[Custo Total]]</f>
        <v>1762.5</v>
      </c>
    </row>
    <row r="14" spans="2:17" x14ac:dyDescent="0.3">
      <c r="B14" t="s">
        <v>10</v>
      </c>
      <c r="C14" s="4">
        <f>IFERROR(SUMIF(TB_Entradas[Produto],TB_ControleEstoque[[#This Row],[Produto]],TB_Entradas[Quantidade Comprada]),0)</f>
        <v>500</v>
      </c>
      <c r="D14" s="4">
        <f>IFERROR(SUMIF(TB_Saídas[Produto],TB_ControleEstoque[[#This Row],[Produto]],TB_Saídas[Quantidade Vendida]),0)</f>
        <v>500</v>
      </c>
      <c r="E14" s="4">
        <f>TB_ControleEstoque[[#This Row],[Entradas]]-TB_ControleEstoque[[#This Row],[Saídas ]]</f>
        <v>0</v>
      </c>
      <c r="F14" s="4">
        <f>_xlfn.XLOOKUP(TB_ControleEstoque[[#This Row],[Produto]],TB_Produtos[Produto],TB_Produtos[Estoque Mínimo],"Erro",0,1)</f>
        <v>50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  <c r="H14" s="46">
        <f>SUMIFS(TB_Saídas[Valor de Venda],TB_Saídas[Produto],TB_ControleEstoque[[#This Row],[Produto]])</f>
        <v>3250</v>
      </c>
      <c r="I14" s="42">
        <f>SUMIFS(TB_Entradas[Valor da Compra],TB_Entradas[Produto],TB_ControleEstoque[[#This Row],[Produto]])</f>
        <v>250</v>
      </c>
      <c r="J14" s="42">
        <f>TB_ControleEstoque[[#This Row],[Valor de Venda]]-TB_ControleEstoque[[#This Row],[Custo Total]]</f>
        <v>3000</v>
      </c>
    </row>
    <row r="15" spans="2:17" x14ac:dyDescent="0.3">
      <c r="B15" t="s">
        <v>28</v>
      </c>
      <c r="C15" s="4">
        <f>IFERROR(SUMIF(TB_Entradas[Produto],TB_ControleEstoque[[#This Row],[Produto]],TB_Entradas[Quantidade Comprada]),0)</f>
        <v>100</v>
      </c>
      <c r="D15" s="4">
        <f>IFERROR(SUMIF(TB_Saídas[Produto],TB_ControleEstoque[[#This Row],[Produto]],TB_Saídas[Quantidade Vendida]),0)</f>
        <v>35</v>
      </c>
      <c r="E15" s="4">
        <f>TB_ControleEstoque[[#This Row],[Entradas]]-TB_ControleEstoque[[#This Row],[Saídas ]]</f>
        <v>65</v>
      </c>
      <c r="F15" s="4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46">
        <f>SUMIFS(TB_Saídas[Valor de Venda],TB_Saídas[Produto],TB_ControleEstoque[[#This Row],[Produto]])</f>
        <v>525</v>
      </c>
      <c r="I15" s="42">
        <f>SUMIFS(TB_Entradas[Valor da Compra],TB_Entradas[Produto],TB_ControleEstoque[[#This Row],[Produto]])</f>
        <v>450</v>
      </c>
      <c r="J15" s="42">
        <f>TB_ControleEstoque[[#This Row],[Valor de Venda]]-TB_ControleEstoque[[#This Row],[Custo Total]]</f>
        <v>75</v>
      </c>
    </row>
    <row r="16" spans="2:17" x14ac:dyDescent="0.3">
      <c r="B16" t="s">
        <v>23</v>
      </c>
      <c r="C16" s="4">
        <f>IFERROR(SUMIF(TB_Entradas[Produto],TB_ControleEstoque[[#This Row],[Produto]],TB_Entradas[Quantidade Comprada]),0)</f>
        <v>350</v>
      </c>
      <c r="D16" s="4">
        <f>IFERROR(SUMIF(TB_Saídas[Produto],TB_ControleEstoque[[#This Row],[Produto]],TB_Saídas[Quantidade Vendida]),0)</f>
        <v>150</v>
      </c>
      <c r="E16" s="4">
        <f>TB_ControleEstoque[[#This Row],[Entradas]]-TB_ControleEstoque[[#This Row],[Saídas ]]</f>
        <v>200</v>
      </c>
      <c r="F16" s="4">
        <f>_xlfn.XLOOKUP(TB_ControleEstoque[[#This Row],[Produto]],TB_Produtos[Produto],TB_Produtos[Estoque Mínimo],"Erro",0,1)</f>
        <v>10</v>
      </c>
      <c r="G16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  <c r="H16" s="46">
        <f>SUMIFS(TB_Saídas[Valor de Venda],TB_Saídas[Produto],TB_ControleEstoque[[#This Row],[Produto]])</f>
        <v>750</v>
      </c>
      <c r="I16" s="42">
        <f>SUMIFS(TB_Entradas[Valor da Compra],TB_Entradas[Produto],TB_ControleEstoque[[#This Row],[Produto]])</f>
        <v>350</v>
      </c>
      <c r="J16" s="42">
        <f>TB_ControleEstoque[[#This Row],[Valor de Venda]]-TB_ControleEstoque[[#This Row],[Custo Total]]</f>
        <v>400</v>
      </c>
    </row>
    <row r="17" spans="2:10" x14ac:dyDescent="0.3">
      <c r="B17" t="s">
        <v>27</v>
      </c>
      <c r="C17" s="4">
        <f>IFERROR(SUMIF(TB_Entradas[Produto],TB_ControleEstoque[[#This Row],[Produto]],TB_Entradas[Quantidade Comprada]),0)</f>
        <v>400</v>
      </c>
      <c r="D17" s="4">
        <f>IFERROR(SUMIF(TB_Saídas[Produto],TB_ControleEstoque[[#This Row],[Produto]],TB_Saídas[Quantidade Vendida]),0)</f>
        <v>235</v>
      </c>
      <c r="E17" s="4">
        <f>TB_ControleEstoque[[#This Row],[Entradas]]-TB_ControleEstoque[[#This Row],[Saídas ]]</f>
        <v>165</v>
      </c>
      <c r="F17" s="4">
        <f>_xlfn.XLOOKUP(TB_ControleEstoque[[#This Row],[Produto]],TB_Produtos[Produto],TB_Produtos[Estoque Mínimo],"Erro",0,1)</f>
        <v>2</v>
      </c>
      <c r="G1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  <c r="H17" s="46">
        <f>SUMIFS(TB_Saídas[Valor de Venda],TB_Saídas[Produto],TB_ControleEstoque[[#This Row],[Produto]])</f>
        <v>3525</v>
      </c>
      <c r="I17" s="42">
        <f>SUMIFS(TB_Entradas[Valor da Compra],TB_Entradas[Produto],TB_ControleEstoque[[#This Row],[Produto]])</f>
        <v>3200</v>
      </c>
      <c r="J17" s="42">
        <f>TB_ControleEstoque[[#This Row],[Valor de Venda]]-TB_ControleEstoque[[#This Row],[Custo Total]]</f>
        <v>325</v>
      </c>
    </row>
    <row r="20" spans="2:10" x14ac:dyDescent="0.3">
      <c r="H20" t="s">
        <v>79</v>
      </c>
      <c r="J20" s="60">
        <f>COUNTA(_xlfn.UNIQUE(TB_Entradas[Produto]))</f>
        <v>15</v>
      </c>
    </row>
  </sheetData>
  <mergeCells count="3">
    <mergeCell ref="N7:P7"/>
    <mergeCell ref="N9:N10"/>
    <mergeCell ref="P9:P10"/>
  </mergeCells>
  <conditionalFormatting sqref="B6:J17">
    <cfRule type="expression" dxfId="10" priority="1">
      <formula>$G6="Estoque Zerado"</formula>
    </cfRule>
    <cfRule type="expression" dxfId="9" priority="2">
      <formula>$G6="Repor Estoque"</formula>
    </cfRule>
  </conditionalFormatting>
  <dataValidations disablePrompts="1" count="1">
    <dataValidation type="list" allowBlank="1" showInputMessage="1" showErrorMessage="1" sqref="B6:B17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5"/>
  <sheetViews>
    <sheetView showGridLines="0" zoomScale="110" zoomScaleNormal="110" workbookViewId="0">
      <selection activeCell="AM15" sqref="AM15"/>
    </sheetView>
  </sheetViews>
  <sheetFormatPr defaultColWidth="2.44140625" defaultRowHeight="10.5" customHeight="1" x14ac:dyDescent="0.3"/>
  <sheetData>
    <row r="1" spans="2:47" s="1" customFormat="1" ht="49.5" customHeight="1" x14ac:dyDescent="0.3">
      <c r="K1" s="5" t="s">
        <v>80</v>
      </c>
    </row>
    <row r="2" spans="2:47" s="2" customFormat="1" ht="6" customHeight="1" x14ac:dyDescent="0.3"/>
    <row r="3" spans="2:47" ht="4.5" customHeight="1" thickBot="1" x14ac:dyDescent="0.35"/>
    <row r="4" spans="2:47" ht="10.5" customHeight="1" x14ac:dyDescent="0.3">
      <c r="C4" s="66" t="s">
        <v>81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/>
      <c r="AB4" s="66" t="s">
        <v>82</v>
      </c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8"/>
    </row>
    <row r="5" spans="2:47" ht="10.5" customHeight="1" x14ac:dyDescent="0.3">
      <c r="B5" s="50"/>
      <c r="C5" s="69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/>
      <c r="AA5" s="50"/>
      <c r="AB5" s="69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1"/>
    </row>
    <row r="6" spans="2:47" ht="10.5" customHeight="1" x14ac:dyDescent="0.3">
      <c r="B6" s="50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/>
      <c r="AA6" s="50"/>
      <c r="AB6" s="57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72" t="s">
        <v>1</v>
      </c>
      <c r="AN6" s="72"/>
      <c r="AO6" s="72"/>
      <c r="AP6" s="72"/>
      <c r="AQ6" s="72"/>
      <c r="AR6" s="72"/>
      <c r="AS6" s="72"/>
      <c r="AT6" s="72"/>
      <c r="AU6" s="59"/>
    </row>
    <row r="7" spans="2:47" ht="10.5" customHeight="1" x14ac:dyDescent="0.3">
      <c r="B7" s="50"/>
      <c r="C7" s="51"/>
      <c r="D7" s="73" t="s">
        <v>83</v>
      </c>
      <c r="E7" s="73"/>
      <c r="F7" s="73"/>
      <c r="G7" s="73"/>
      <c r="H7" s="73"/>
      <c r="I7" s="73"/>
      <c r="J7" s="73"/>
      <c r="K7" s="73"/>
      <c r="L7" s="73"/>
      <c r="M7" s="74"/>
      <c r="N7" s="98">
        <f>COUNTA(_xlfn.UNIQUE(TB_Saídas[Produto]))</f>
        <v>12</v>
      </c>
      <c r="O7" s="81"/>
      <c r="P7" s="81"/>
      <c r="Q7" s="81"/>
      <c r="R7" s="81"/>
      <c r="S7" s="81"/>
      <c r="T7" s="81"/>
      <c r="U7" s="82"/>
      <c r="V7" s="53"/>
      <c r="AA7" s="50"/>
      <c r="AB7" s="51"/>
      <c r="AC7" s="73" t="s">
        <v>84</v>
      </c>
      <c r="AD7" s="73"/>
      <c r="AE7" s="73"/>
      <c r="AF7" s="73"/>
      <c r="AG7" s="73"/>
      <c r="AH7" s="73"/>
      <c r="AI7" s="73"/>
      <c r="AJ7" s="73"/>
      <c r="AK7" s="73"/>
      <c r="AL7" s="74"/>
      <c r="AM7" s="92" t="s">
        <v>6</v>
      </c>
      <c r="AN7" s="93"/>
      <c r="AO7" s="93"/>
      <c r="AP7" s="93"/>
      <c r="AQ7" s="93"/>
      <c r="AR7" s="93"/>
      <c r="AS7" s="93"/>
      <c r="AT7" s="94"/>
      <c r="AU7" s="53"/>
    </row>
    <row r="8" spans="2:47" ht="10.5" customHeight="1" x14ac:dyDescent="0.3">
      <c r="B8" s="50"/>
      <c r="C8" s="51"/>
      <c r="D8" s="73"/>
      <c r="E8" s="73"/>
      <c r="F8" s="73"/>
      <c r="G8" s="73"/>
      <c r="H8" s="73"/>
      <c r="I8" s="73"/>
      <c r="J8" s="73"/>
      <c r="K8" s="73"/>
      <c r="L8" s="73"/>
      <c r="M8" s="74"/>
      <c r="N8" s="83"/>
      <c r="O8" s="84"/>
      <c r="P8" s="84"/>
      <c r="Q8" s="84"/>
      <c r="R8" s="84"/>
      <c r="S8" s="84"/>
      <c r="T8" s="84"/>
      <c r="U8" s="85"/>
      <c r="V8" s="53"/>
      <c r="AA8" s="50"/>
      <c r="AB8" s="51"/>
      <c r="AC8" s="73"/>
      <c r="AD8" s="73"/>
      <c r="AE8" s="73"/>
      <c r="AF8" s="73"/>
      <c r="AG8" s="73"/>
      <c r="AH8" s="73"/>
      <c r="AI8" s="73"/>
      <c r="AJ8" s="73"/>
      <c r="AK8" s="73"/>
      <c r="AL8" s="74"/>
      <c r="AM8" s="95"/>
      <c r="AN8" s="96"/>
      <c r="AO8" s="96"/>
      <c r="AP8" s="96"/>
      <c r="AQ8" s="96"/>
      <c r="AR8" s="96"/>
      <c r="AS8" s="96"/>
      <c r="AT8" s="97"/>
      <c r="AU8" s="53"/>
    </row>
    <row r="9" spans="2:47" ht="10.5" customHeight="1" x14ac:dyDescent="0.3">
      <c r="B9" s="50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AA9" s="50"/>
      <c r="AB9" s="51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3"/>
    </row>
    <row r="10" spans="2:47" ht="10.5" customHeight="1" x14ac:dyDescent="0.3">
      <c r="B10" s="50"/>
      <c r="C10" s="51"/>
      <c r="D10" s="73" t="s">
        <v>85</v>
      </c>
      <c r="E10" s="73"/>
      <c r="F10" s="73"/>
      <c r="G10" s="73"/>
      <c r="H10" s="73"/>
      <c r="I10" s="73"/>
      <c r="J10" s="73"/>
      <c r="K10" s="73"/>
      <c r="L10" s="73"/>
      <c r="M10" s="74"/>
      <c r="N10" s="98">
        <f>SUM(TB_ControleEstoque[Saldo em Estoque])</f>
        <v>3251</v>
      </c>
      <c r="O10" s="81"/>
      <c r="P10" s="81"/>
      <c r="Q10" s="81"/>
      <c r="R10" s="81"/>
      <c r="S10" s="81"/>
      <c r="T10" s="81"/>
      <c r="U10" s="82"/>
      <c r="V10" s="53"/>
      <c r="AA10" s="50"/>
      <c r="AB10" s="51"/>
      <c r="AC10" s="73" t="s">
        <v>85</v>
      </c>
      <c r="AD10" s="73"/>
      <c r="AE10" s="73"/>
      <c r="AF10" s="73"/>
      <c r="AG10" s="73"/>
      <c r="AH10" s="73"/>
      <c r="AI10" s="73"/>
      <c r="AJ10" s="73"/>
      <c r="AK10" s="73"/>
      <c r="AL10" s="74"/>
      <c r="AM10" s="98">
        <f>DSUM(TB_ControleEstoque[#All],TB_ControleEstoque[[#Headers],[Saldo em Estoque]],CriteriosConsultaProduto)</f>
        <v>1559</v>
      </c>
      <c r="AN10" s="81"/>
      <c r="AO10" s="81"/>
      <c r="AP10" s="81"/>
      <c r="AQ10" s="81"/>
      <c r="AR10" s="81"/>
      <c r="AS10" s="81"/>
      <c r="AT10" s="82"/>
      <c r="AU10" s="53"/>
    </row>
    <row r="11" spans="2:47" ht="10.5" customHeight="1" x14ac:dyDescent="0.3">
      <c r="B11" s="50"/>
      <c r="C11" s="51"/>
      <c r="D11" s="73"/>
      <c r="E11" s="73"/>
      <c r="F11" s="73"/>
      <c r="G11" s="73"/>
      <c r="H11" s="73"/>
      <c r="I11" s="73"/>
      <c r="J11" s="73"/>
      <c r="K11" s="73"/>
      <c r="L11" s="73"/>
      <c r="M11" s="74"/>
      <c r="N11" s="83"/>
      <c r="O11" s="84"/>
      <c r="P11" s="84"/>
      <c r="Q11" s="84"/>
      <c r="R11" s="84"/>
      <c r="S11" s="84"/>
      <c r="T11" s="84"/>
      <c r="U11" s="85"/>
      <c r="V11" s="53"/>
      <c r="AA11" s="50"/>
      <c r="AB11" s="51"/>
      <c r="AC11" s="73"/>
      <c r="AD11" s="73"/>
      <c r="AE11" s="73"/>
      <c r="AF11" s="73"/>
      <c r="AG11" s="73"/>
      <c r="AH11" s="73"/>
      <c r="AI11" s="73"/>
      <c r="AJ11" s="73"/>
      <c r="AK11" s="73"/>
      <c r="AL11" s="74"/>
      <c r="AM11" s="83"/>
      <c r="AN11" s="84"/>
      <c r="AO11" s="84"/>
      <c r="AP11" s="84"/>
      <c r="AQ11" s="84"/>
      <c r="AR11" s="84"/>
      <c r="AS11" s="84"/>
      <c r="AT11" s="85"/>
      <c r="AU11" s="53"/>
    </row>
    <row r="12" spans="2:47" ht="10.5" customHeight="1" x14ac:dyDescent="0.3">
      <c r="B12" s="50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AA12" s="50"/>
      <c r="AB12" s="51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3"/>
    </row>
    <row r="13" spans="2:47" ht="10.5" customHeight="1" x14ac:dyDescent="0.3">
      <c r="B13" s="50"/>
      <c r="C13" s="51"/>
      <c r="D13" s="73" t="s">
        <v>86</v>
      </c>
      <c r="E13" s="73"/>
      <c r="F13" s="73"/>
      <c r="G13" s="73"/>
      <c r="H13" s="73"/>
      <c r="I13" s="73"/>
      <c r="J13" s="73"/>
      <c r="K13" s="73"/>
      <c r="L13" s="73"/>
      <c r="M13" s="74"/>
      <c r="N13" s="75">
        <f>SUM(TB_Saídas[Valor de Venda])</f>
        <v>39952.5</v>
      </c>
      <c r="O13" s="81"/>
      <c r="P13" s="81"/>
      <c r="Q13" s="81"/>
      <c r="R13" s="81"/>
      <c r="S13" s="81"/>
      <c r="T13" s="81"/>
      <c r="U13" s="82"/>
      <c r="V13" s="53"/>
      <c r="AA13" s="50"/>
      <c r="AB13" s="51"/>
      <c r="AC13" s="73" t="s">
        <v>86</v>
      </c>
      <c r="AD13" s="73"/>
      <c r="AE13" s="73"/>
      <c r="AF13" s="73"/>
      <c r="AG13" s="73"/>
      <c r="AH13" s="73"/>
      <c r="AI13" s="73"/>
      <c r="AJ13" s="73"/>
      <c r="AK13" s="73"/>
      <c r="AL13" s="74"/>
      <c r="AM13" s="75">
        <f>DSUM(TB_Saídas[#All],TB_Saídas[[#Headers],[Valor de Venda]],CriteriosConsultaProduto)</f>
        <v>9546</v>
      </c>
      <c r="AN13" s="76"/>
      <c r="AO13" s="76"/>
      <c r="AP13" s="76"/>
      <c r="AQ13" s="76"/>
      <c r="AR13" s="76"/>
      <c r="AS13" s="76"/>
      <c r="AT13" s="77"/>
      <c r="AU13" s="53"/>
    </row>
    <row r="14" spans="2:47" ht="10.5" customHeight="1" x14ac:dyDescent="0.3">
      <c r="B14" s="50"/>
      <c r="C14" s="51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83"/>
      <c r="O14" s="84"/>
      <c r="P14" s="84"/>
      <c r="Q14" s="84"/>
      <c r="R14" s="84"/>
      <c r="S14" s="84"/>
      <c r="T14" s="84"/>
      <c r="U14" s="85"/>
      <c r="V14" s="53"/>
      <c r="AA14" s="50"/>
      <c r="AB14" s="51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78"/>
      <c r="AN14" s="79"/>
      <c r="AO14" s="79"/>
      <c r="AP14" s="79"/>
      <c r="AQ14" s="79"/>
      <c r="AR14" s="79"/>
      <c r="AS14" s="79"/>
      <c r="AT14" s="80"/>
      <c r="AU14" s="53"/>
    </row>
    <row r="15" spans="2:47" ht="10.5" customHeight="1" x14ac:dyDescent="0.3">
      <c r="B15" s="5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AA15" s="50"/>
      <c r="AB15" s="51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3"/>
    </row>
    <row r="16" spans="2:47" ht="10.5" customHeight="1" x14ac:dyDescent="0.3">
      <c r="B16" s="50"/>
      <c r="C16" s="51"/>
      <c r="D16" s="73" t="s">
        <v>87</v>
      </c>
      <c r="E16" s="73"/>
      <c r="F16" s="73"/>
      <c r="G16" s="73"/>
      <c r="H16" s="73"/>
      <c r="I16" s="73"/>
      <c r="J16" s="73"/>
      <c r="K16" s="73"/>
      <c r="L16" s="73"/>
      <c r="M16" s="74"/>
      <c r="N16" s="75">
        <f>SUM(TB_Entradas[Valor da Compra])</f>
        <v>17487.5</v>
      </c>
      <c r="O16" s="81"/>
      <c r="P16" s="81"/>
      <c r="Q16" s="81"/>
      <c r="R16" s="81"/>
      <c r="S16" s="81"/>
      <c r="T16" s="81"/>
      <c r="U16" s="82"/>
      <c r="V16" s="53"/>
      <c r="AA16" s="50"/>
      <c r="AB16" s="51"/>
      <c r="AC16" s="73" t="s">
        <v>87</v>
      </c>
      <c r="AD16" s="73"/>
      <c r="AE16" s="73"/>
      <c r="AF16" s="73"/>
      <c r="AG16" s="73"/>
      <c r="AH16" s="73"/>
      <c r="AI16" s="73"/>
      <c r="AJ16" s="73"/>
      <c r="AK16" s="73"/>
      <c r="AL16" s="74"/>
      <c r="AM16" s="75">
        <f>DSUM(TB_Entradas[#All],TB_Entradas[[#Headers],[Valor da Compra]],CriteriosConsultaProduto)</f>
        <v>6300</v>
      </c>
      <c r="AN16" s="76"/>
      <c r="AO16" s="76"/>
      <c r="AP16" s="76"/>
      <c r="AQ16" s="76"/>
      <c r="AR16" s="76"/>
      <c r="AS16" s="76"/>
      <c r="AT16" s="77"/>
      <c r="AU16" s="53"/>
    </row>
    <row r="17" spans="2:47" ht="10.5" customHeight="1" x14ac:dyDescent="0.3">
      <c r="B17" s="50"/>
      <c r="C17" s="51"/>
      <c r="D17" s="73"/>
      <c r="E17" s="73"/>
      <c r="F17" s="73"/>
      <c r="G17" s="73"/>
      <c r="H17" s="73"/>
      <c r="I17" s="73"/>
      <c r="J17" s="73"/>
      <c r="K17" s="73"/>
      <c r="L17" s="73"/>
      <c r="M17" s="74"/>
      <c r="N17" s="83"/>
      <c r="O17" s="84"/>
      <c r="P17" s="84"/>
      <c r="Q17" s="84"/>
      <c r="R17" s="84"/>
      <c r="S17" s="84"/>
      <c r="T17" s="84"/>
      <c r="U17" s="85"/>
      <c r="V17" s="53"/>
      <c r="AA17" s="50"/>
      <c r="AB17" s="51"/>
      <c r="AC17" s="73"/>
      <c r="AD17" s="73"/>
      <c r="AE17" s="73"/>
      <c r="AF17" s="73"/>
      <c r="AG17" s="73"/>
      <c r="AH17" s="73"/>
      <c r="AI17" s="73"/>
      <c r="AJ17" s="73"/>
      <c r="AK17" s="73"/>
      <c r="AL17" s="74"/>
      <c r="AM17" s="78"/>
      <c r="AN17" s="79"/>
      <c r="AO17" s="79"/>
      <c r="AP17" s="79"/>
      <c r="AQ17" s="79"/>
      <c r="AR17" s="79"/>
      <c r="AS17" s="79"/>
      <c r="AT17" s="80"/>
      <c r="AU17" s="53"/>
    </row>
    <row r="18" spans="2:47" ht="10.5" customHeight="1" x14ac:dyDescent="0.3">
      <c r="B18" s="50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  <c r="AA18" s="50"/>
      <c r="AB18" s="51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3"/>
    </row>
    <row r="19" spans="2:47" ht="10.5" customHeight="1" x14ac:dyDescent="0.3">
      <c r="B19" s="50"/>
      <c r="C19" s="51"/>
      <c r="D19" s="73" t="s">
        <v>88</v>
      </c>
      <c r="E19" s="73"/>
      <c r="F19" s="73"/>
      <c r="G19" s="73"/>
      <c r="H19" s="73"/>
      <c r="I19" s="73"/>
      <c r="J19" s="73"/>
      <c r="K19" s="73"/>
      <c r="L19" s="73"/>
      <c r="M19" s="74"/>
      <c r="N19" s="75">
        <f>N13-N16</f>
        <v>22465</v>
      </c>
      <c r="O19" s="81"/>
      <c r="P19" s="81"/>
      <c r="Q19" s="81"/>
      <c r="R19" s="81"/>
      <c r="S19" s="81"/>
      <c r="T19" s="81"/>
      <c r="U19" s="82"/>
      <c r="V19" s="53"/>
      <c r="AA19" s="50"/>
      <c r="AB19" s="51"/>
      <c r="AC19" s="73" t="s">
        <v>88</v>
      </c>
      <c r="AD19" s="73"/>
      <c r="AE19" s="73"/>
      <c r="AF19" s="73"/>
      <c r="AG19" s="73"/>
      <c r="AH19" s="73"/>
      <c r="AI19" s="73"/>
      <c r="AJ19" s="73"/>
      <c r="AK19" s="73"/>
      <c r="AL19" s="74"/>
      <c r="AM19" s="75">
        <f>AM13-AM16</f>
        <v>3246</v>
      </c>
      <c r="AN19" s="81"/>
      <c r="AO19" s="81"/>
      <c r="AP19" s="81"/>
      <c r="AQ19" s="81"/>
      <c r="AR19" s="81"/>
      <c r="AS19" s="81"/>
      <c r="AT19" s="82"/>
      <c r="AU19" s="53"/>
    </row>
    <row r="20" spans="2:47" ht="10.5" customHeight="1" x14ac:dyDescent="0.3">
      <c r="B20" s="50"/>
      <c r="C20" s="51"/>
      <c r="D20" s="73"/>
      <c r="E20" s="73"/>
      <c r="F20" s="73"/>
      <c r="G20" s="73"/>
      <c r="H20" s="73"/>
      <c r="I20" s="73"/>
      <c r="J20" s="73"/>
      <c r="K20" s="73"/>
      <c r="L20" s="73"/>
      <c r="M20" s="74"/>
      <c r="N20" s="83"/>
      <c r="O20" s="84"/>
      <c r="P20" s="84"/>
      <c r="Q20" s="84"/>
      <c r="R20" s="84"/>
      <c r="S20" s="84"/>
      <c r="T20" s="84"/>
      <c r="U20" s="85"/>
      <c r="V20" s="53"/>
      <c r="AA20" s="50"/>
      <c r="AB20" s="51"/>
      <c r="AC20" s="73"/>
      <c r="AD20" s="73"/>
      <c r="AE20" s="73"/>
      <c r="AF20" s="73"/>
      <c r="AG20" s="73"/>
      <c r="AH20" s="73"/>
      <c r="AI20" s="73"/>
      <c r="AJ20" s="73"/>
      <c r="AK20" s="73"/>
      <c r="AL20" s="74"/>
      <c r="AM20" s="83"/>
      <c r="AN20" s="84"/>
      <c r="AO20" s="84"/>
      <c r="AP20" s="84"/>
      <c r="AQ20" s="84"/>
      <c r="AR20" s="84"/>
      <c r="AS20" s="84"/>
      <c r="AT20" s="85"/>
      <c r="AU20" s="53"/>
    </row>
    <row r="21" spans="2:47" ht="10.5" customHeight="1" x14ac:dyDescent="0.3">
      <c r="B21" s="50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  <c r="AA21" s="50"/>
      <c r="AB21" s="51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3"/>
    </row>
    <row r="22" spans="2:47" ht="10.5" customHeight="1" x14ac:dyDescent="0.3">
      <c r="B22" s="50"/>
      <c r="C22" s="51"/>
      <c r="D22" s="73" t="s">
        <v>89</v>
      </c>
      <c r="E22" s="73"/>
      <c r="F22" s="73"/>
      <c r="G22" s="73"/>
      <c r="H22" s="73"/>
      <c r="I22" s="73"/>
      <c r="J22" s="73"/>
      <c r="K22" s="73"/>
      <c r="L22" s="73"/>
      <c r="M22" s="74"/>
      <c r="N22" s="86">
        <f>N19/N16</f>
        <v>1.2846318799142245</v>
      </c>
      <c r="O22" s="87"/>
      <c r="P22" s="87"/>
      <c r="Q22" s="87"/>
      <c r="R22" s="87"/>
      <c r="S22" s="87"/>
      <c r="T22" s="87"/>
      <c r="U22" s="88"/>
      <c r="V22" s="53"/>
      <c r="AA22" s="50"/>
      <c r="AB22" s="51"/>
      <c r="AC22" s="73" t="s">
        <v>89</v>
      </c>
      <c r="AD22" s="73"/>
      <c r="AE22" s="73"/>
      <c r="AF22" s="73"/>
      <c r="AG22" s="73"/>
      <c r="AH22" s="73"/>
      <c r="AI22" s="73"/>
      <c r="AJ22" s="73"/>
      <c r="AK22" s="73"/>
      <c r="AL22" s="74"/>
      <c r="AM22" s="86">
        <f>AM19/AM16</f>
        <v>0.51523809523809527</v>
      </c>
      <c r="AN22" s="87"/>
      <c r="AO22" s="87"/>
      <c r="AP22" s="87"/>
      <c r="AQ22" s="87"/>
      <c r="AR22" s="87"/>
      <c r="AS22" s="87"/>
      <c r="AT22" s="88"/>
      <c r="AU22" s="53"/>
    </row>
    <row r="23" spans="2:47" ht="10.5" customHeight="1" x14ac:dyDescent="0.3">
      <c r="B23" s="50"/>
      <c r="C23" s="51"/>
      <c r="D23" s="73"/>
      <c r="E23" s="73"/>
      <c r="F23" s="73"/>
      <c r="G23" s="73"/>
      <c r="H23" s="73"/>
      <c r="I23" s="73"/>
      <c r="J23" s="73"/>
      <c r="K23" s="73"/>
      <c r="L23" s="73"/>
      <c r="M23" s="74"/>
      <c r="N23" s="89"/>
      <c r="O23" s="90"/>
      <c r="P23" s="90"/>
      <c r="Q23" s="90"/>
      <c r="R23" s="90"/>
      <c r="S23" s="90"/>
      <c r="T23" s="90"/>
      <c r="U23" s="91"/>
      <c r="V23" s="53"/>
      <c r="AA23" s="50"/>
      <c r="AB23" s="51"/>
      <c r="AC23" s="73"/>
      <c r="AD23" s="73"/>
      <c r="AE23" s="73"/>
      <c r="AF23" s="73"/>
      <c r="AG23" s="73"/>
      <c r="AH23" s="73"/>
      <c r="AI23" s="73"/>
      <c r="AJ23" s="73"/>
      <c r="AK23" s="73"/>
      <c r="AL23" s="74"/>
      <c r="AM23" s="89"/>
      <c r="AN23" s="90"/>
      <c r="AO23" s="90"/>
      <c r="AP23" s="90"/>
      <c r="AQ23" s="90"/>
      <c r="AR23" s="90"/>
      <c r="AS23" s="90"/>
      <c r="AT23" s="91"/>
      <c r="AU23" s="53"/>
    </row>
    <row r="24" spans="2:47" ht="10.5" customHeight="1" thickBot="1" x14ac:dyDescent="0.35">
      <c r="B24" s="50"/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  <c r="AA24" s="50"/>
      <c r="AB24" s="54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6"/>
    </row>
    <row r="25" spans="2:47" ht="10.5" customHeight="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</row>
  </sheetData>
  <sheetProtection selectLockedCells="1"/>
  <mergeCells count="27">
    <mergeCell ref="D19:M20"/>
    <mergeCell ref="D22:M23"/>
    <mergeCell ref="N7:U8"/>
    <mergeCell ref="N10:U11"/>
    <mergeCell ref="N13:U14"/>
    <mergeCell ref="N16:U17"/>
    <mergeCell ref="N19:U20"/>
    <mergeCell ref="N22:U23"/>
    <mergeCell ref="AC19:AL20"/>
    <mergeCell ref="AM19:AT20"/>
    <mergeCell ref="AC22:AL23"/>
    <mergeCell ref="AM22:AT23"/>
    <mergeCell ref="AC7:AL8"/>
    <mergeCell ref="AM7:AT8"/>
    <mergeCell ref="AC10:AL11"/>
    <mergeCell ref="AM10:AT11"/>
    <mergeCell ref="AC13:AL14"/>
    <mergeCell ref="AM13:AT14"/>
    <mergeCell ref="AB4:AU5"/>
    <mergeCell ref="C4:V5"/>
    <mergeCell ref="AM6:AT6"/>
    <mergeCell ref="AC16:AL17"/>
    <mergeCell ref="AM16:AT17"/>
    <mergeCell ref="D7:M8"/>
    <mergeCell ref="D10:M11"/>
    <mergeCell ref="D13:M14"/>
    <mergeCell ref="D16:M17"/>
  </mergeCells>
  <dataValidations count="1">
    <dataValidation type="list" allowBlank="1" showInputMessage="1" showErrorMessage="1" sqref="AM7:AT8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Lista_Fornecedores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Distrito do Café</cp:lastModifiedBy>
  <cp:revision/>
  <dcterms:created xsi:type="dcterms:W3CDTF">2022-11-17T13:49:56Z</dcterms:created>
  <dcterms:modified xsi:type="dcterms:W3CDTF">2023-05-12T16:44:00Z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