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3585" yWindow="0" windowWidth="20610" windowHeight="11640" tabRatio="500" activeTab="2"/>
  </bookViews>
  <sheets>
    <sheet name="第3章" sheetId="1" r:id="rId1"/>
    <sheet name="第4章" sheetId="2" r:id="rId2"/>
    <sheet name="第5章" sheetId="3" r:id="rId3"/>
  </sheets>
  <calcPr calcId="125725" concurrentCalc="0"/>
</workbook>
</file>

<file path=xl/calcChain.xml><?xml version="1.0" encoding="utf-8"?>
<calcChain xmlns="http://schemas.openxmlformats.org/spreadsheetml/2006/main">
  <c r="C248" i="3"/>
  <c r="C242"/>
  <c r="D242"/>
  <c r="C245"/>
  <c r="C246"/>
  <c r="C129"/>
  <c r="D201"/>
  <c r="D202"/>
  <c r="D203"/>
  <c r="D204"/>
  <c r="D205"/>
  <c r="D206"/>
  <c r="D207"/>
  <c r="D208"/>
  <c r="D209"/>
  <c r="D210"/>
  <c r="D212"/>
  <c r="C218"/>
  <c r="C219"/>
  <c r="C222"/>
  <c r="C223"/>
  <c r="C225"/>
  <c r="C224"/>
  <c r="F201"/>
  <c r="G201"/>
  <c r="F202"/>
  <c r="G202"/>
  <c r="F203"/>
  <c r="G203"/>
  <c r="F204"/>
  <c r="G204"/>
  <c r="F205"/>
  <c r="G205"/>
  <c r="F206"/>
  <c r="G206"/>
  <c r="F207"/>
  <c r="G207"/>
  <c r="F208"/>
  <c r="G208"/>
  <c r="F209"/>
  <c r="G209"/>
  <c r="F210"/>
  <c r="G210"/>
  <c r="G211"/>
  <c r="F211"/>
  <c r="D211"/>
  <c r="C190"/>
  <c r="C192"/>
  <c r="C193"/>
  <c r="C191"/>
  <c r="C167"/>
  <c r="C168"/>
  <c r="C170"/>
  <c r="C171"/>
  <c r="C169"/>
  <c r="C148"/>
  <c r="H148"/>
  <c r="C149"/>
  <c r="C132"/>
  <c r="H132"/>
  <c r="C116"/>
  <c r="H116"/>
  <c r="C117"/>
  <c r="C102"/>
  <c r="H102"/>
  <c r="C101"/>
  <c r="H101"/>
  <c r="C100"/>
  <c r="H100"/>
  <c r="C99"/>
  <c r="H99"/>
  <c r="C98"/>
  <c r="H98"/>
  <c r="C97"/>
  <c r="H97"/>
  <c r="C96"/>
  <c r="H96"/>
  <c r="C95"/>
  <c r="H95"/>
  <c r="C94"/>
  <c r="H94"/>
  <c r="C93"/>
  <c r="H93"/>
  <c r="C92"/>
  <c r="H92"/>
  <c r="C91"/>
  <c r="H91"/>
  <c r="C90"/>
  <c r="H90"/>
  <c r="C89"/>
  <c r="H89"/>
  <c r="C88"/>
  <c r="H88"/>
  <c r="C87"/>
  <c r="H87"/>
  <c r="C86"/>
  <c r="H86"/>
  <c r="C85"/>
  <c r="H85"/>
  <c r="C84"/>
  <c r="H84"/>
  <c r="C83"/>
  <c r="H83"/>
  <c r="C82"/>
  <c r="H82"/>
  <c r="C81"/>
  <c r="H81"/>
  <c r="C80"/>
  <c r="H80"/>
  <c r="C79"/>
  <c r="H79"/>
  <c r="C78"/>
  <c r="H78"/>
  <c r="C77"/>
  <c r="H77"/>
  <c r="C76"/>
  <c r="H76"/>
  <c r="C75"/>
  <c r="H75"/>
  <c r="C74"/>
  <c r="H74"/>
  <c r="C73"/>
  <c r="H73"/>
  <c r="C72"/>
  <c r="H72"/>
  <c r="C71"/>
  <c r="H71"/>
  <c r="C70"/>
  <c r="H70"/>
  <c r="C69"/>
  <c r="H69"/>
  <c r="D57"/>
  <c r="D56"/>
  <c r="D40"/>
  <c r="D41"/>
  <c r="E44"/>
  <c r="D44"/>
  <c r="D29"/>
  <c r="D30"/>
  <c r="D27"/>
  <c r="E32"/>
  <c r="E33"/>
  <c r="D32"/>
  <c r="D33"/>
  <c r="B15"/>
  <c r="C19"/>
  <c r="B19"/>
  <c r="E9"/>
  <c r="B9"/>
  <c r="E8"/>
  <c r="B8"/>
  <c r="E7"/>
  <c r="B7"/>
  <c r="E6"/>
  <c r="B6"/>
  <c r="E5"/>
  <c r="B5"/>
  <c r="C121" i="2"/>
  <c r="B121"/>
  <c r="C120"/>
  <c r="B120"/>
  <c r="C119"/>
  <c r="B119"/>
  <c r="C118"/>
  <c r="B118"/>
  <c r="C117"/>
  <c r="B117"/>
  <c r="C116"/>
  <c r="B116"/>
  <c r="C115"/>
  <c r="B115"/>
  <c r="C114"/>
  <c r="B114"/>
  <c r="C113"/>
  <c r="B113"/>
  <c r="C112"/>
  <c r="B112"/>
  <c r="C111"/>
  <c r="B111"/>
  <c r="C110"/>
  <c r="B110"/>
  <c r="C109"/>
  <c r="B109"/>
  <c r="C108"/>
  <c r="B108"/>
  <c r="C107"/>
  <c r="B107"/>
  <c r="C106"/>
  <c r="B106"/>
  <c r="C105"/>
  <c r="B105"/>
  <c r="C104"/>
  <c r="B104"/>
  <c r="C103"/>
  <c r="B103"/>
  <c r="B100"/>
  <c r="B99"/>
  <c r="B89"/>
  <c r="C88"/>
  <c r="B86"/>
  <c r="B85"/>
  <c r="C79"/>
  <c r="B79"/>
  <c r="C78"/>
  <c r="B78"/>
  <c r="C77"/>
  <c r="B77"/>
  <c r="C76"/>
  <c r="B76"/>
  <c r="C75"/>
  <c r="B75"/>
  <c r="C74"/>
  <c r="B74"/>
  <c r="C73"/>
  <c r="B73"/>
  <c r="C72"/>
  <c r="B72"/>
  <c r="C71"/>
  <c r="B71"/>
  <c r="C70"/>
  <c r="B70"/>
  <c r="C69"/>
  <c r="B69"/>
  <c r="B56"/>
  <c r="B55"/>
  <c r="B54"/>
  <c r="B53"/>
  <c r="B52"/>
  <c r="B51"/>
  <c r="B50"/>
  <c r="B49"/>
  <c r="B48"/>
  <c r="B42"/>
  <c r="B41"/>
  <c r="B40"/>
  <c r="B39"/>
  <c r="B38"/>
  <c r="D37"/>
  <c r="B37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D12"/>
  <c r="B12"/>
  <c r="B11"/>
  <c r="B5"/>
  <c r="B4"/>
  <c r="B3"/>
  <c r="B2"/>
  <c r="B53" i="1"/>
  <c r="B52"/>
  <c r="F51"/>
  <c r="F50"/>
  <c r="B50"/>
  <c r="F49"/>
  <c r="B49"/>
  <c r="B48"/>
  <c r="M47"/>
  <c r="L47"/>
  <c r="K47"/>
  <c r="I47"/>
  <c r="H47"/>
  <c r="G47"/>
  <c r="F47"/>
  <c r="E47"/>
  <c r="M46"/>
  <c r="L46"/>
  <c r="K46"/>
  <c r="I46"/>
  <c r="H46"/>
  <c r="G46"/>
  <c r="F46"/>
  <c r="E46"/>
  <c r="M45"/>
  <c r="L45"/>
  <c r="K45"/>
  <c r="I45"/>
  <c r="H45"/>
  <c r="G45"/>
  <c r="F45"/>
  <c r="E45"/>
  <c r="M44"/>
  <c r="L44"/>
  <c r="K44"/>
  <c r="I44"/>
  <c r="H44"/>
  <c r="G44"/>
  <c r="F44"/>
  <c r="E44"/>
  <c r="M43"/>
  <c r="L43"/>
  <c r="K43"/>
  <c r="I43"/>
  <c r="H43"/>
  <c r="G43"/>
  <c r="F43"/>
  <c r="E43"/>
  <c r="M42"/>
  <c r="L42"/>
  <c r="K42"/>
  <c r="I42"/>
  <c r="H42"/>
  <c r="G42"/>
  <c r="F42"/>
  <c r="E42"/>
  <c r="B37"/>
  <c r="B35"/>
  <c r="F34"/>
  <c r="B34"/>
  <c r="B33"/>
  <c r="I32"/>
  <c r="H32"/>
  <c r="G32"/>
  <c r="F32"/>
  <c r="E32"/>
  <c r="I31"/>
  <c r="H31"/>
  <c r="G31"/>
  <c r="F31"/>
  <c r="E31"/>
  <c r="I30"/>
  <c r="H30"/>
  <c r="G30"/>
  <c r="F30"/>
  <c r="E30"/>
  <c r="I29"/>
  <c r="H29"/>
  <c r="G29"/>
  <c r="F29"/>
  <c r="E29"/>
  <c r="I28"/>
  <c r="H28"/>
  <c r="G28"/>
  <c r="F28"/>
  <c r="E28"/>
  <c r="I27"/>
  <c r="H27"/>
  <c r="G27"/>
  <c r="F27"/>
  <c r="E27"/>
  <c r="B21"/>
  <c r="D20"/>
  <c r="B20"/>
  <c r="D19"/>
  <c r="B19"/>
  <c r="B18"/>
  <c r="B17"/>
  <c r="B16"/>
  <c r="H14"/>
  <c r="G14"/>
  <c r="F14"/>
  <c r="E14"/>
  <c r="D14"/>
  <c r="C14"/>
  <c r="B14"/>
  <c r="H13"/>
  <c r="G13"/>
  <c r="F13"/>
  <c r="E13"/>
  <c r="D13"/>
  <c r="H12"/>
  <c r="G12"/>
  <c r="F12"/>
  <c r="E12"/>
  <c r="D12"/>
  <c r="H11"/>
  <c r="G11"/>
  <c r="F11"/>
  <c r="E11"/>
  <c r="D11"/>
  <c r="H10"/>
  <c r="G10"/>
  <c r="F10"/>
  <c r="E10"/>
  <c r="D10"/>
  <c r="H9"/>
  <c r="G9"/>
  <c r="F9"/>
  <c r="E9"/>
  <c r="D9"/>
  <c r="H8"/>
  <c r="G8"/>
  <c r="F8"/>
  <c r="E8"/>
  <c r="D8"/>
  <c r="H7"/>
  <c r="G7"/>
  <c r="F7"/>
  <c r="E7"/>
  <c r="D7"/>
  <c r="H6"/>
  <c r="G6"/>
  <c r="F6"/>
  <c r="E6"/>
  <c r="D6"/>
  <c r="H5"/>
  <c r="G5"/>
  <c r="F5"/>
  <c r="E5"/>
  <c r="D5"/>
  <c r="H4"/>
  <c r="G4"/>
  <c r="F4"/>
  <c r="E4"/>
  <c r="D4"/>
</calcChain>
</file>

<file path=xl/comments1.xml><?xml version="1.0" encoding="utf-8"?>
<comments xmlns="http://schemas.openxmlformats.org/spreadsheetml/2006/main">
  <authors>
    <author>伊津野</author>
  </authors>
  <commentList>
    <comment ref="D187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やっぱり誤植だとおもう
</t>
        </r>
      </text>
    </comment>
  </commentList>
</comments>
</file>

<file path=xl/sharedStrings.xml><?xml version="1.0" encoding="utf-8"?>
<sst xmlns="http://schemas.openxmlformats.org/spreadsheetml/2006/main" count="377" uniqueCount="205">
  <si>
    <t>身長</t>
    <rPh sb="0" eb="2">
      <t>シンチョウ</t>
    </rPh>
    <phoneticPr fontId="1"/>
  </si>
  <si>
    <t>B</t>
    <phoneticPr fontId="1"/>
  </si>
  <si>
    <t>C</t>
    <phoneticPr fontId="1"/>
  </si>
  <si>
    <t>A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</si>
  <si>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</si>
  <si>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</si>
  <si>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</si>
  <si>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</si>
  <si>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</si>
  <si>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</si>
  <si>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</si>
  <si>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計</t>
    <rPh sb="0" eb="1">
      <t>ケイ</t>
    </rPh>
    <phoneticPr fontId="1"/>
  </si>
  <si>
    <t>体重</t>
    <rPh sb="0" eb="2">
      <t>タイジュウ</t>
    </rPh>
    <phoneticPr fontId="1"/>
  </si>
  <si>
    <t>偏差①</t>
    <rPh sb="0" eb="2">
      <t>ヘンサ</t>
    </rPh>
    <phoneticPr fontId="1"/>
  </si>
  <si>
    <t>身長平均</t>
    <rPh sb="0" eb="2">
      <t>シンチョウ</t>
    </rPh>
    <rPh sb="2" eb="4">
      <t>ヘイキン</t>
    </rPh>
    <phoneticPr fontId="1"/>
  </si>
  <si>
    <t>体重平均</t>
    <rPh sb="0" eb="2">
      <t>タイジュウ</t>
    </rPh>
    <rPh sb="2" eb="4">
      <t>ヘイキン</t>
    </rPh>
    <phoneticPr fontId="1"/>
  </si>
  <si>
    <t>偏差②</t>
    <rPh sb="0" eb="2">
      <t>ヘンサ</t>
    </rPh>
    <phoneticPr fontId="1"/>
  </si>
  <si>
    <t>偏差平方①</t>
    <rPh sb="0" eb="2">
      <t>ヘンサ</t>
    </rPh>
    <rPh sb="2" eb="4">
      <t>ヘイホウ</t>
    </rPh>
    <phoneticPr fontId="1"/>
  </si>
  <si>
    <t>偏差平方②</t>
    <rPh sb="0" eb="2">
      <t>ヘンサ</t>
    </rPh>
    <rPh sb="2" eb="4">
      <t>ヘイホウ</t>
    </rPh>
    <phoneticPr fontId="1"/>
  </si>
  <si>
    <t>積</t>
    <rPh sb="0" eb="1">
      <t>セキ</t>
    </rPh>
    <phoneticPr fontId="1"/>
  </si>
  <si>
    <t>身長分散</t>
    <rPh sb="0" eb="2">
      <t>シンチョウ</t>
    </rPh>
    <rPh sb="2" eb="4">
      <t>ブンサン</t>
    </rPh>
    <phoneticPr fontId="1"/>
  </si>
  <si>
    <t>度数</t>
    <rPh sb="0" eb="2">
      <t>ドスウ</t>
    </rPh>
    <phoneticPr fontId="1"/>
  </si>
  <si>
    <t>身長標準偏差</t>
    <rPh sb="0" eb="2">
      <t>シンチョウ</t>
    </rPh>
    <rPh sb="2" eb="4">
      <t>ヒョウジュン</t>
    </rPh>
    <rPh sb="4" eb="6">
      <t>ヘンサ</t>
    </rPh>
    <phoneticPr fontId="1"/>
  </si>
  <si>
    <t>体重分散</t>
    <rPh sb="0" eb="2">
      <t>タイジュウ</t>
    </rPh>
    <rPh sb="2" eb="4">
      <t>ブンサン</t>
    </rPh>
    <phoneticPr fontId="1"/>
  </si>
  <si>
    <t>体重標準偏差</t>
    <rPh sb="0" eb="2">
      <t>タイジュウ</t>
    </rPh>
    <rPh sb="2" eb="4">
      <t>ヒョウジュン</t>
    </rPh>
    <rPh sb="4" eb="6">
      <t>ヘンサ</t>
    </rPh>
    <phoneticPr fontId="1"/>
  </si>
  <si>
    <t>共分散</t>
    <rPh sb="0" eb="3">
      <t>キョウブンサン</t>
    </rPh>
    <phoneticPr fontId="1"/>
  </si>
  <si>
    <t>■　3.1.3</t>
    <phoneticPr fontId="1"/>
  </si>
  <si>
    <t>■　例題3-1</t>
    <rPh sb="2" eb="4">
      <t>レイダイ</t>
    </rPh>
    <phoneticPr fontId="1"/>
  </si>
  <si>
    <t>回答者</t>
    <rPh sb="0" eb="3">
      <t>カイトウシャ</t>
    </rPh>
    <phoneticPr fontId="1"/>
  </si>
  <si>
    <t>石田</t>
    <rPh sb="0" eb="2">
      <t>イシダ</t>
    </rPh>
    <phoneticPr fontId="1"/>
  </si>
  <si>
    <t>加藤</t>
    <rPh sb="0" eb="2">
      <t>カトウ</t>
    </rPh>
    <phoneticPr fontId="1"/>
  </si>
  <si>
    <t>小林</t>
    <rPh sb="0" eb="2">
      <t>コバヤシ</t>
    </rPh>
    <phoneticPr fontId="1"/>
  </si>
  <si>
    <t>林</t>
    <rPh sb="0" eb="1">
      <t>ハヤシ</t>
    </rPh>
    <phoneticPr fontId="1"/>
  </si>
  <si>
    <t>大竹</t>
    <rPh sb="0" eb="2">
      <t>オオタケ</t>
    </rPh>
    <phoneticPr fontId="1"/>
  </si>
  <si>
    <t>コーヒー</t>
    <phoneticPr fontId="1"/>
  </si>
  <si>
    <t>タバコ</t>
    <phoneticPr fontId="1"/>
  </si>
  <si>
    <t>度数</t>
    <rPh sb="0" eb="2">
      <t>ドスウ</t>
    </rPh>
    <phoneticPr fontId="1"/>
  </si>
  <si>
    <t>コーヒー平均</t>
    <rPh sb="4" eb="6">
      <t>ヘイキン</t>
    </rPh>
    <phoneticPr fontId="1"/>
  </si>
  <si>
    <t>タバコ平均</t>
    <rPh sb="3" eb="5">
      <t>ヘイキン</t>
    </rPh>
    <phoneticPr fontId="1"/>
  </si>
  <si>
    <t>偏差①</t>
    <rPh sb="0" eb="2">
      <t>ヘンサ</t>
    </rPh>
    <phoneticPr fontId="1"/>
  </si>
  <si>
    <t>偏差②</t>
    <rPh sb="0" eb="2">
      <t>ヘンサ</t>
    </rPh>
    <phoneticPr fontId="1"/>
  </si>
  <si>
    <t>偏差平方①</t>
    <rPh sb="0" eb="2">
      <t>ヘンサ</t>
    </rPh>
    <rPh sb="2" eb="4">
      <t>ヘイホウ</t>
    </rPh>
    <phoneticPr fontId="1"/>
  </si>
  <si>
    <t>偏差平方②</t>
    <rPh sb="0" eb="2">
      <t>ヘンサ</t>
    </rPh>
    <rPh sb="2" eb="4">
      <t>ヘイホウ</t>
    </rPh>
    <phoneticPr fontId="1"/>
  </si>
  <si>
    <t>積</t>
    <rPh sb="0" eb="1">
      <t>セキ</t>
    </rPh>
    <phoneticPr fontId="1"/>
  </si>
  <si>
    <t>単相関係数</t>
    <rPh sb="0" eb="1">
      <t>タン</t>
    </rPh>
    <rPh sb="1" eb="3">
      <t>ソウカン</t>
    </rPh>
    <rPh sb="3" eb="5">
      <t>ケイスウ</t>
    </rPh>
    <phoneticPr fontId="1"/>
  </si>
  <si>
    <t>営業所</t>
    <rPh sb="0" eb="3">
      <t>エイギョウショ</t>
    </rPh>
    <phoneticPr fontId="1"/>
  </si>
  <si>
    <t>売上（億）</t>
    <rPh sb="0" eb="2">
      <t>ウリアゲ</t>
    </rPh>
    <rPh sb="3" eb="4">
      <t>オク</t>
    </rPh>
    <phoneticPr fontId="1"/>
  </si>
  <si>
    <t>営業担当者数（人）</t>
    <rPh sb="0" eb="2">
      <t>エイギョウ</t>
    </rPh>
    <rPh sb="2" eb="5">
      <t>タントウシャ</t>
    </rPh>
    <rPh sb="5" eb="6">
      <t>スウ</t>
    </rPh>
    <rPh sb="7" eb="8">
      <t>ヒト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</si>
  <si>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</si>
  <si>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</si>
  <si>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</si>
  <si>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</si>
  <si>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</si>
  <si>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売上平均</t>
    <rPh sb="0" eb="2">
      <t>ウリアゲ</t>
    </rPh>
    <rPh sb="2" eb="4">
      <t>ヘイキン</t>
    </rPh>
    <phoneticPr fontId="1"/>
  </si>
  <si>
    <t>営業担当者数平均</t>
    <rPh sb="0" eb="2">
      <t>エイギョウ</t>
    </rPh>
    <rPh sb="2" eb="5">
      <t>タントウシャ</t>
    </rPh>
    <rPh sb="5" eb="6">
      <t>スウ</t>
    </rPh>
    <rPh sb="6" eb="8">
      <t>ヘイキン</t>
    </rPh>
    <phoneticPr fontId="1"/>
  </si>
  <si>
    <t>回帰係数</t>
    <rPh sb="0" eb="2">
      <t>カイキ</t>
    </rPh>
    <rPh sb="2" eb="4">
      <t>ケイスウ</t>
    </rPh>
    <phoneticPr fontId="1"/>
  </si>
  <si>
    <t>定数項</t>
    <rPh sb="0" eb="2">
      <t>テイスウコウ</t>
    </rPh>
    <rPh sb="2" eb="3">
      <t>kou</t>
    </rPh>
    <phoneticPr fontId="1"/>
  </si>
  <si>
    <t>回帰定数項</t>
    <rPh sb="0" eb="2">
      <t>カイキ</t>
    </rPh>
    <rPh sb="2" eb="5">
      <t>テイスウコウ</t>
    </rPh>
    <phoneticPr fontId="1"/>
  </si>
  <si>
    <t>決定係数</t>
    <rPh sb="0" eb="2">
      <t>ケッテイ</t>
    </rPh>
    <rPh sb="2" eb="4">
      <t>ケイスウ</t>
    </rPh>
    <phoneticPr fontId="1"/>
  </si>
  <si>
    <t>x</t>
    <phoneticPr fontId="1"/>
  </si>
  <si>
    <t>y</t>
    <phoneticPr fontId="1"/>
  </si>
  <si>
    <t>売上理論値</t>
    <rPh sb="0" eb="2">
      <t>ウリアゲ</t>
    </rPh>
    <rPh sb="2" eb="5">
      <t>リロンチ</t>
    </rPh>
    <phoneticPr fontId="1"/>
  </si>
  <si>
    <t xml:space="preserve"> 残差</t>
    <rPh sb="1" eb="3">
      <t>ザンサ</t>
    </rPh>
    <phoneticPr fontId="1"/>
  </si>
  <si>
    <t>残差平方</t>
    <rPh sb="0" eb="2">
      <t>ザンサ</t>
    </rPh>
    <rPh sb="2" eb="4">
      <t>ヘイホウ</t>
    </rPh>
    <phoneticPr fontId="1"/>
  </si>
  <si>
    <t>X</t>
    <phoneticPr fontId="1"/>
  </si>
  <si>
    <t>P(X)</t>
    <phoneticPr fontId="1"/>
  </si>
  <si>
    <t>■例題4-3</t>
    <rPh sb="1" eb="3">
      <t>レイダイ</t>
    </rPh>
    <phoneticPr fontId="1"/>
  </si>
  <si>
    <t>P(X)</t>
    <phoneticPr fontId="1"/>
  </si>
  <si>
    <t>１の目が４回以上出る確率</t>
    <rPh sb="2" eb="3">
      <t>メ</t>
    </rPh>
    <rPh sb="5" eb="6">
      <t>カイ</t>
    </rPh>
    <rPh sb="6" eb="8">
      <t>イジョウ</t>
    </rPh>
    <rPh sb="8" eb="9">
      <t>デ</t>
    </rPh>
    <rPh sb="10" eb="12">
      <t>カクリツ</t>
    </rPh>
    <phoneticPr fontId="1"/>
  </si>
  <si>
    <t>■例題4-4</t>
    <rPh sb="1" eb="3">
      <t>レイダイ</t>
    </rPh>
    <phoneticPr fontId="1"/>
  </si>
  <si>
    <t>X</t>
    <phoneticPr fontId="1"/>
  </si>
  <si>
    <t>P(X)</t>
    <phoneticPr fontId="1"/>
  </si>
  <si>
    <t>男性が２人以下の確率</t>
    <rPh sb="0" eb="2">
      <t>ダンセイ</t>
    </rPh>
    <rPh sb="3" eb="5">
      <t>フタリ</t>
    </rPh>
    <rPh sb="5" eb="7">
      <t>イカ</t>
    </rPh>
    <rPh sb="8" eb="10">
      <t>カクリツ</t>
    </rPh>
    <phoneticPr fontId="1"/>
  </si>
  <si>
    <t>■ポアソン分布</t>
    <rPh sb="5" eb="7">
      <t>ブンプ</t>
    </rPh>
    <phoneticPr fontId="1"/>
  </si>
  <si>
    <t>X</t>
    <phoneticPr fontId="1"/>
  </si>
  <si>
    <t>P(X)</t>
    <phoneticPr fontId="1"/>
  </si>
  <si>
    <t>■例題4-8</t>
    <rPh sb="1" eb="3">
      <t>レイダイ</t>
    </rPh>
    <phoneticPr fontId="1"/>
  </si>
  <si>
    <t>点数</t>
    <rPh sb="0" eb="2">
      <t>テンスウ</t>
    </rPh>
    <phoneticPr fontId="1"/>
  </si>
  <si>
    <t>累積確率</t>
    <rPh sb="0" eb="2">
      <t>ルイセキ</t>
    </rPh>
    <rPh sb="2" eb="4">
      <t>カクリツ</t>
    </rPh>
    <phoneticPr fontId="1"/>
  </si>
  <si>
    <t>正規分布</t>
    <rPh sb="0" eb="2">
      <t>セイキ</t>
    </rPh>
    <rPh sb="2" eb="4">
      <t>ブンプ</t>
    </rPh>
    <phoneticPr fontId="1"/>
  </si>
  <si>
    <t>１）</t>
    <phoneticPr fontId="1"/>
  </si>
  <si>
    <t>２）</t>
    <phoneticPr fontId="1"/>
  </si>
  <si>
    <t>３）</t>
    <phoneticPr fontId="1"/>
  </si>
  <si>
    <t>上位50人となる累積確率</t>
    <rPh sb="0" eb="2">
      <t>ジョウイ</t>
    </rPh>
    <rPh sb="4" eb="5">
      <t>ニン</t>
    </rPh>
    <rPh sb="8" eb="10">
      <t>ルイセキ</t>
    </rPh>
    <rPh sb="10" eb="12">
      <t>カクリツ</t>
    </rPh>
    <phoneticPr fontId="1"/>
  </si>
  <si>
    <t>■例題4-9</t>
    <rPh sb="1" eb="3">
      <t>レイダイ</t>
    </rPh>
    <phoneticPr fontId="1"/>
  </si>
  <si>
    <t>統計量</t>
    <rPh sb="0" eb="3">
      <t>トウケイリョウ</t>
    </rPh>
    <phoneticPr fontId="1"/>
  </si>
  <si>
    <t>平均</t>
    <rPh sb="0" eb="2">
      <t>ヘイキン</t>
    </rPh>
    <phoneticPr fontId="1"/>
  </si>
  <si>
    <t>標準偏差</t>
    <rPh sb="0" eb="2">
      <t>ヒョウジュン</t>
    </rPh>
    <rPh sb="2" eb="4">
      <t>ヘンサ</t>
    </rPh>
    <phoneticPr fontId="1"/>
  </si>
  <si>
    <t>m+3σ</t>
    <phoneticPr fontId="1"/>
  </si>
  <si>
    <t>m-3σ</t>
    <phoneticPr fontId="1"/>
  </si>
  <si>
    <t>X</t>
    <phoneticPr fontId="1"/>
  </si>
  <si>
    <t>P(X)</t>
    <phoneticPr fontId="1"/>
  </si>
  <si>
    <t>■5.2.2</t>
    <phoneticPr fontId="1"/>
  </si>
  <si>
    <t>n</t>
    <phoneticPr fontId="1"/>
  </si>
  <si>
    <t>信頼度95%の場合</t>
    <rPh sb="0" eb="3">
      <t>シンライド</t>
    </rPh>
    <rPh sb="7" eb="9">
      <t>バアイ</t>
    </rPh>
    <phoneticPr fontId="1"/>
  </si>
  <si>
    <t>信頼度99%の場合</t>
    <rPh sb="0" eb="3">
      <t>シンライド</t>
    </rPh>
    <rPh sb="7" eb="9">
      <t>バアイ</t>
    </rPh>
    <phoneticPr fontId="1"/>
  </si>
  <si>
    <t>■例題5-1</t>
    <rPh sb="1" eb="3">
      <t>レイダイ</t>
    </rPh>
    <phoneticPr fontId="1"/>
  </si>
  <si>
    <t>標本平均</t>
    <rPh sb="0" eb="2">
      <t>ヒョウホン</t>
    </rPh>
    <rPh sb="2" eb="4">
      <t>ヘイキン</t>
    </rPh>
    <phoneticPr fontId="1"/>
  </si>
  <si>
    <t>標本標準偏差</t>
    <rPh sb="0" eb="2">
      <t>ヒョウホン</t>
    </rPh>
    <rPh sb="2" eb="4">
      <t>ヒョウジュン</t>
    </rPh>
    <rPh sb="4" eb="6">
      <t>ヘンサ</t>
    </rPh>
    <phoneticPr fontId="1"/>
  </si>
  <si>
    <t>母平均</t>
    <rPh sb="0" eb="1">
      <t>ボ</t>
    </rPh>
    <rPh sb="1" eb="3">
      <t>ヘイキン</t>
    </rPh>
    <phoneticPr fontId="1"/>
  </si>
  <si>
    <t>■例題5-2</t>
    <rPh sb="1" eb="3">
      <t>レイダイ</t>
    </rPh>
    <phoneticPr fontId="1"/>
  </si>
  <si>
    <t>信頼度定数</t>
    <rPh sb="0" eb="3">
      <t>シンライド</t>
    </rPh>
    <rPh sb="3" eb="5">
      <t>テイスウ</t>
    </rPh>
    <phoneticPr fontId="1"/>
  </si>
  <si>
    <t>母集合N</t>
    <rPh sb="0" eb="3">
      <t>ボシュウゴウ</t>
    </rPh>
    <phoneticPr fontId="1"/>
  </si>
  <si>
    <t>標本数n</t>
    <rPh sb="0" eb="2">
      <t>ヒョウホン</t>
    </rPh>
    <rPh sb="2" eb="3">
      <t>スウ</t>
    </rPh>
    <phoneticPr fontId="1"/>
  </si>
  <si>
    <t>う歯の数</t>
    <rPh sb="1" eb="2">
      <t>シ</t>
    </rPh>
    <rPh sb="3" eb="4">
      <t>カズ</t>
    </rPh>
    <phoneticPr fontId="1"/>
  </si>
  <si>
    <t>母平均（無限母集団）</t>
    <rPh sb="0" eb="1">
      <t>ボ</t>
    </rPh>
    <rPh sb="1" eb="3">
      <t>ヘイキン</t>
    </rPh>
    <rPh sb="4" eb="6">
      <t>ムゲン</t>
    </rPh>
    <rPh sb="6" eb="7">
      <t>ボ</t>
    </rPh>
    <rPh sb="7" eb="9">
      <t>シュウダン</t>
    </rPh>
    <phoneticPr fontId="1"/>
  </si>
  <si>
    <t>母平均（有限母集団）</t>
    <rPh sb="0" eb="1">
      <t>ボ</t>
    </rPh>
    <rPh sb="1" eb="3">
      <t>ヘイキン</t>
    </rPh>
    <rPh sb="4" eb="6">
      <t>ユウゲン</t>
    </rPh>
    <rPh sb="6" eb="7">
      <t>ボ</t>
    </rPh>
    <rPh sb="7" eb="9">
      <t>シュウダン</t>
    </rPh>
    <phoneticPr fontId="1"/>
  </si>
  <si>
    <t>■例題5-3</t>
    <rPh sb="1" eb="3">
      <t>レイダイ</t>
    </rPh>
    <phoneticPr fontId="1"/>
  </si>
  <si>
    <t>標本比率p</t>
    <rPh sb="0" eb="2">
      <t>ヒョウホン</t>
    </rPh>
    <rPh sb="2" eb="4">
      <t>ヒリツ</t>
    </rPh>
    <phoneticPr fontId="1"/>
  </si>
  <si>
    <t>母比率</t>
    <rPh sb="0" eb="3">
      <t>ボヒリツ</t>
    </rPh>
    <phoneticPr fontId="1"/>
  </si>
  <si>
    <t>■例題5-4</t>
    <rPh sb="1" eb="3">
      <t>レイダイ</t>
    </rPh>
    <phoneticPr fontId="1"/>
  </si>
  <si>
    <t>？？？</t>
    <phoneticPr fontId="1"/>
  </si>
  <si>
    <t>標本比率</t>
    <rPh sb="0" eb="2">
      <t>ヒョウホン</t>
    </rPh>
    <rPh sb="2" eb="4">
      <t>ヒリツ</t>
    </rPh>
    <phoneticPr fontId="1"/>
  </si>
  <si>
    <t>⇒無限集団</t>
    <rPh sb="1" eb="3">
      <t>ムゲン</t>
    </rPh>
    <rPh sb="3" eb="5">
      <t>シュウダン</t>
    </rPh>
    <phoneticPr fontId="1"/>
  </si>
  <si>
    <t>サンプルサイズ（有限集団）</t>
    <rPh sb="8" eb="10">
      <t>ユウゲン</t>
    </rPh>
    <rPh sb="10" eb="12">
      <t>シュウダン</t>
    </rPh>
    <phoneticPr fontId="1"/>
  </si>
  <si>
    <t>サンプルサイズ（無限集団）</t>
    <rPh sb="8" eb="10">
      <t>ムゲン</t>
    </rPh>
    <rPh sb="10" eb="12">
      <t>シュウダン</t>
    </rPh>
    <phoneticPr fontId="1"/>
  </si>
  <si>
    <t>■5.3.1　統計的検定（１標本：１集団）</t>
    <rPh sb="7" eb="9">
      <t>トウケイ</t>
    </rPh>
    <rPh sb="9" eb="10">
      <t>テキ</t>
    </rPh>
    <rPh sb="10" eb="12">
      <t>ケンテイ</t>
    </rPh>
    <rPh sb="14" eb="16">
      <t>ヒョウホン</t>
    </rPh>
    <rPh sb="18" eb="20">
      <t>シュウダン</t>
    </rPh>
    <phoneticPr fontId="1"/>
  </si>
  <si>
    <t>統計量T</t>
    <rPh sb="0" eb="3">
      <t>トウケイリョウ</t>
    </rPh>
    <phoneticPr fontId="1"/>
  </si>
  <si>
    <t>比較値</t>
    <rPh sb="0" eb="3">
      <t>ヒカクチ</t>
    </rPh>
    <phoneticPr fontId="1"/>
  </si>
  <si>
    <t>母集団</t>
    <rPh sb="0" eb="3">
      <t>ボシュウダン</t>
    </rPh>
    <phoneticPr fontId="1"/>
  </si>
  <si>
    <t>標本</t>
    <rPh sb="0" eb="2">
      <t>ヒョウホン</t>
    </rPh>
    <phoneticPr fontId="1"/>
  </si>
  <si>
    <t>平均値</t>
    <rPh sb="0" eb="3">
      <t>ヘイキンチ</t>
    </rPh>
    <phoneticPr fontId="1"/>
  </si>
  <si>
    <t>標本標準偏差</t>
    <rPh sb="0" eb="2">
      <t>ヒョウホン</t>
    </rPh>
    <rPh sb="2" eb="4">
      <t>ヒョウジュン</t>
    </rPh>
    <rPh sb="4" eb="6">
      <t>ヘンサ</t>
    </rPh>
    <phoneticPr fontId="1"/>
  </si>
  <si>
    <t>P値</t>
    <rPh sb="1" eb="2">
      <t>チ</t>
    </rPh>
    <phoneticPr fontId="1"/>
  </si>
  <si>
    <t>帰無仮説</t>
    <rPh sb="0" eb="2">
      <t>キム</t>
    </rPh>
    <rPh sb="2" eb="4">
      <t>カセツ</t>
    </rPh>
    <phoneticPr fontId="1"/>
  </si>
  <si>
    <t>芯の太さの平均値は0.50mmと等しい</t>
    <rPh sb="0" eb="1">
      <t>シン</t>
    </rPh>
    <rPh sb="2" eb="3">
      <t>フト</t>
    </rPh>
    <rPh sb="5" eb="7">
      <t>ヘイキン</t>
    </rPh>
    <rPh sb="7" eb="8">
      <t>チ</t>
    </rPh>
    <rPh sb="16" eb="17">
      <t>ヒト</t>
    </rPh>
    <phoneticPr fontId="1"/>
  </si>
  <si>
    <t>対立仮説</t>
    <rPh sb="0" eb="2">
      <t>タイリツ</t>
    </rPh>
    <rPh sb="2" eb="4">
      <t>カセツ</t>
    </rPh>
    <phoneticPr fontId="1"/>
  </si>
  <si>
    <t>芯の太さの平均値は0.50mmと等しくない</t>
    <rPh sb="0" eb="1">
      <t>シン</t>
    </rPh>
    <rPh sb="2" eb="3">
      <t>フト</t>
    </rPh>
    <rPh sb="5" eb="7">
      <t>ヘイキン</t>
    </rPh>
    <rPh sb="7" eb="8">
      <t>チ</t>
    </rPh>
    <rPh sb="16" eb="17">
      <t>ヒト</t>
    </rPh>
    <phoneticPr fontId="1"/>
  </si>
  <si>
    <t>標本数</t>
    <rPh sb="0" eb="2">
      <t>ヒョウホン</t>
    </rPh>
    <rPh sb="2" eb="3">
      <t>スウ</t>
    </rPh>
    <phoneticPr fontId="1"/>
  </si>
  <si>
    <t>標本平均</t>
    <rPh sb="0" eb="2">
      <t>ヒョウホン</t>
    </rPh>
    <rPh sb="2" eb="4">
      <t>ヘイキン</t>
    </rPh>
    <phoneticPr fontId="1"/>
  </si>
  <si>
    <t>両側検定</t>
    <rPh sb="0" eb="2">
      <t>リョウガワ</t>
    </rPh>
    <rPh sb="2" eb="4">
      <t>ケンテイ</t>
    </rPh>
    <phoneticPr fontId="1"/>
  </si>
  <si>
    <t>t検定値</t>
    <rPh sb="1" eb="3">
      <t>ケンテイ</t>
    </rPh>
    <rPh sb="3" eb="4">
      <t>チ</t>
    </rPh>
    <phoneticPr fontId="1"/>
  </si>
  <si>
    <t>有意水準</t>
    <rPh sb="0" eb="2">
      <t>ユウイ</t>
    </rPh>
    <rPh sb="2" eb="4">
      <t>スイジュン</t>
    </rPh>
    <phoneticPr fontId="1"/>
  </si>
  <si>
    <t>統計量Tが有意水準0.05のt検定値よりも大きい為、帰無仮説を棄却する</t>
    <rPh sb="0" eb="3">
      <t>トウケイリョウ</t>
    </rPh>
    <rPh sb="5" eb="7">
      <t>ユウイ</t>
    </rPh>
    <rPh sb="7" eb="9">
      <t>スイジュン</t>
    </rPh>
    <rPh sb="15" eb="17">
      <t>ケンテイ</t>
    </rPh>
    <rPh sb="17" eb="18">
      <t>チ</t>
    </rPh>
    <rPh sb="21" eb="22">
      <t>オオ</t>
    </rPh>
    <rPh sb="24" eb="25">
      <t>タメ</t>
    </rPh>
    <rPh sb="26" eb="28">
      <t>キム</t>
    </rPh>
    <rPh sb="28" eb="30">
      <t>カセツ</t>
    </rPh>
    <rPh sb="31" eb="33">
      <t>キキャク</t>
    </rPh>
    <phoneticPr fontId="1"/>
  </si>
  <si>
    <t>p値&lt;=有意水準0.05より帰無仮説を棄却する</t>
    <rPh sb="1" eb="2">
      <t>チ</t>
    </rPh>
    <rPh sb="4" eb="6">
      <t>ユウイ</t>
    </rPh>
    <rPh sb="6" eb="8">
      <t>スイジュン</t>
    </rPh>
    <rPh sb="14" eb="16">
      <t>キム</t>
    </rPh>
    <rPh sb="16" eb="18">
      <t>カセツ</t>
    </rPh>
    <rPh sb="19" eb="21">
      <t>キキャク</t>
    </rPh>
    <phoneticPr fontId="1"/>
  </si>
  <si>
    <t>標本数</t>
    <rPh sb="0" eb="2">
      <t>ヒョウホン</t>
    </rPh>
    <rPh sb="2" eb="3">
      <t>スウ</t>
    </rPh>
    <phoneticPr fontId="1"/>
  </si>
  <si>
    <t>標本比率</t>
    <rPh sb="0" eb="2">
      <t>ヒョウホン</t>
    </rPh>
    <rPh sb="2" eb="4">
      <t>ヒリツ</t>
    </rPh>
    <phoneticPr fontId="1"/>
  </si>
  <si>
    <t>商品知名度は30%である</t>
    <rPh sb="0" eb="2">
      <t>ショウヒン</t>
    </rPh>
    <rPh sb="2" eb="5">
      <t>チメイド</t>
    </rPh>
    <phoneticPr fontId="1"/>
  </si>
  <si>
    <t>商品知名度は30%を越えている</t>
    <rPh sb="0" eb="2">
      <t>ショウヒン</t>
    </rPh>
    <rPh sb="2" eb="5">
      <t>チメイド</t>
    </rPh>
    <rPh sb="10" eb="11">
      <t>コ</t>
    </rPh>
    <phoneticPr fontId="1"/>
  </si>
  <si>
    <t>統計量T</t>
    <rPh sb="0" eb="3">
      <t>トウケイリョウ</t>
    </rPh>
    <phoneticPr fontId="1"/>
  </si>
  <si>
    <t>比較値</t>
    <rPh sb="0" eb="3">
      <t>ヒカクチ</t>
    </rPh>
    <phoneticPr fontId="1"/>
  </si>
  <si>
    <t>Z検定値</t>
    <rPh sb="1" eb="3">
      <t>ケンテイ</t>
    </rPh>
    <rPh sb="3" eb="4">
      <t>チ</t>
    </rPh>
    <phoneticPr fontId="1"/>
  </si>
  <si>
    <t>統計量Tが有意水準5%の検定値を越えていないので、帰無仮説は棄却できない</t>
    <rPh sb="0" eb="3">
      <t>トウケイリョウ</t>
    </rPh>
    <rPh sb="5" eb="7">
      <t>ユウイ</t>
    </rPh>
    <rPh sb="7" eb="9">
      <t>スイジュン</t>
    </rPh>
    <rPh sb="12" eb="14">
      <t>ケンテイ</t>
    </rPh>
    <rPh sb="14" eb="15">
      <t>チ</t>
    </rPh>
    <rPh sb="16" eb="17">
      <t>コ</t>
    </rPh>
    <rPh sb="25" eb="27">
      <t>キム</t>
    </rPh>
    <rPh sb="27" eb="29">
      <t>カセツ</t>
    </rPh>
    <rPh sb="30" eb="32">
      <t>キキャク</t>
    </rPh>
    <phoneticPr fontId="1"/>
  </si>
  <si>
    <t>p値&gt;有意水準0.05より、帰無仮説は棄却できない</t>
    <rPh sb="1" eb="2">
      <t>チ</t>
    </rPh>
    <rPh sb="3" eb="5">
      <t>ユウイ</t>
    </rPh>
    <rPh sb="5" eb="7">
      <t>スイジュン</t>
    </rPh>
    <rPh sb="14" eb="16">
      <t>キム</t>
    </rPh>
    <rPh sb="16" eb="18">
      <t>カセツ</t>
    </rPh>
    <rPh sb="19" eb="21">
      <t>キキャク</t>
    </rPh>
    <phoneticPr fontId="1"/>
  </si>
  <si>
    <t>■例題5-5　母平均の検定</t>
    <rPh sb="1" eb="3">
      <t>レイダイ</t>
    </rPh>
    <rPh sb="7" eb="8">
      <t>ボ</t>
    </rPh>
    <rPh sb="8" eb="10">
      <t>ヘイキン</t>
    </rPh>
    <rPh sb="11" eb="13">
      <t>ケンテイ</t>
    </rPh>
    <phoneticPr fontId="1"/>
  </si>
  <si>
    <t>■例題5-6　母比率の検定</t>
    <rPh sb="1" eb="3">
      <t>レイダイ</t>
    </rPh>
    <rPh sb="7" eb="10">
      <t>ボヒリツ</t>
    </rPh>
    <rPh sb="11" eb="13">
      <t>ケンテイ</t>
    </rPh>
    <phoneticPr fontId="1"/>
  </si>
  <si>
    <t>■ 例題5-7　母分散の検定</t>
    <rPh sb="2" eb="4">
      <t>レイダイ</t>
    </rPh>
    <rPh sb="8" eb="9">
      <t>ボ</t>
    </rPh>
    <rPh sb="9" eb="11">
      <t>ブンサン</t>
    </rPh>
    <rPh sb="12" eb="14">
      <t>ケンテイ</t>
    </rPh>
    <phoneticPr fontId="1"/>
  </si>
  <si>
    <t>帰無仮説</t>
    <rPh sb="0" eb="2">
      <t>キム</t>
    </rPh>
    <rPh sb="2" eb="4">
      <t>カセツ</t>
    </rPh>
    <phoneticPr fontId="1"/>
  </si>
  <si>
    <t>対立仮説</t>
    <rPh sb="0" eb="2">
      <t>タイリツ</t>
    </rPh>
    <rPh sb="2" eb="4">
      <t>カセツ</t>
    </rPh>
    <phoneticPr fontId="1"/>
  </si>
  <si>
    <t>標本標準偏差</t>
    <rPh sb="0" eb="2">
      <t>ヒョウホン</t>
    </rPh>
    <rPh sb="2" eb="4">
      <t>ヒョウジュン</t>
    </rPh>
    <rPh sb="4" eb="6">
      <t>ヘンサ</t>
    </rPh>
    <phoneticPr fontId="1"/>
  </si>
  <si>
    <t>母分散は30^2に等しい</t>
    <rPh sb="0" eb="1">
      <t>ボ</t>
    </rPh>
    <rPh sb="1" eb="3">
      <t>ブンサン</t>
    </rPh>
    <rPh sb="9" eb="10">
      <t>ヒト</t>
    </rPh>
    <phoneticPr fontId="1"/>
  </si>
  <si>
    <t>母分散は30^2より小さい</t>
    <rPh sb="0" eb="1">
      <t>ボ</t>
    </rPh>
    <rPh sb="1" eb="3">
      <t>ブンサン</t>
    </rPh>
    <rPh sb="10" eb="11">
      <t>チイ</t>
    </rPh>
    <phoneticPr fontId="1"/>
  </si>
  <si>
    <t>カイ二乗検定</t>
    <rPh sb="2" eb="4">
      <t>ジジョウ</t>
    </rPh>
    <rPh sb="4" eb="6">
      <t>ケンテイ</t>
    </rPh>
    <phoneticPr fontId="1"/>
  </si>
  <si>
    <t>片側（左側）検定</t>
    <rPh sb="0" eb="2">
      <t>カタガワ</t>
    </rPh>
    <rPh sb="3" eb="5">
      <t>ヒダリガワ</t>
    </rPh>
    <rPh sb="6" eb="8">
      <t>ケンテイ</t>
    </rPh>
    <phoneticPr fontId="1"/>
  </si>
  <si>
    <t>片側（右側）検定</t>
    <rPh sb="0" eb="2">
      <t>カタガワ</t>
    </rPh>
    <rPh sb="3" eb="5">
      <t>ミギガワ</t>
    </rPh>
    <rPh sb="6" eb="8">
      <t>ケンテイ</t>
    </rPh>
    <phoneticPr fontId="1"/>
  </si>
  <si>
    <t>統計量Tが有意水準5%の検定値を越えていないので、帰無仮説は棄却される</t>
    <rPh sb="0" eb="3">
      <t>トウケイリョウ</t>
    </rPh>
    <rPh sb="5" eb="7">
      <t>ユウイ</t>
    </rPh>
    <rPh sb="7" eb="9">
      <t>スイジュン</t>
    </rPh>
    <rPh sb="12" eb="14">
      <t>ケンテイ</t>
    </rPh>
    <rPh sb="14" eb="15">
      <t>チ</t>
    </rPh>
    <rPh sb="16" eb="17">
      <t>コ</t>
    </rPh>
    <rPh sb="25" eb="27">
      <t>キム</t>
    </rPh>
    <rPh sb="27" eb="29">
      <t>カセツ</t>
    </rPh>
    <rPh sb="30" eb="32">
      <t>キキャク</t>
    </rPh>
    <phoneticPr fontId="1"/>
  </si>
  <si>
    <t>p値&lt;=有意水準0.05の為、帰無仮説は棄却される</t>
    <rPh sb="1" eb="2">
      <t>チ</t>
    </rPh>
    <rPh sb="4" eb="6">
      <t>ユウイ</t>
    </rPh>
    <rPh sb="6" eb="8">
      <t>スイジュン</t>
    </rPh>
    <rPh sb="13" eb="14">
      <t>タメ</t>
    </rPh>
    <rPh sb="15" eb="17">
      <t>キム</t>
    </rPh>
    <rPh sb="17" eb="19">
      <t>カセツ</t>
    </rPh>
    <rPh sb="20" eb="22">
      <t>キキャク</t>
    </rPh>
    <phoneticPr fontId="1"/>
  </si>
  <si>
    <t>2県のラーメンの平均価格は等しい</t>
    <rPh sb="1" eb="2">
      <t>ケン</t>
    </rPh>
    <rPh sb="8" eb="10">
      <t>ヘイキン</t>
    </rPh>
    <rPh sb="10" eb="12">
      <t>カカク</t>
    </rPh>
    <rPh sb="13" eb="14">
      <t>ヒト</t>
    </rPh>
    <phoneticPr fontId="1"/>
  </si>
  <si>
    <t>自分の県</t>
    <rPh sb="0" eb="2">
      <t>ジブン</t>
    </rPh>
    <rPh sb="3" eb="4">
      <t>ケン</t>
    </rPh>
    <phoneticPr fontId="1"/>
  </si>
  <si>
    <t>隣の県</t>
    <rPh sb="0" eb="1">
      <t>トナリ</t>
    </rPh>
    <rPh sb="2" eb="3">
      <t>ケン</t>
    </rPh>
    <phoneticPr fontId="1"/>
  </si>
  <si>
    <t>標本平均</t>
    <rPh sb="0" eb="2">
      <t>ヒョウホン</t>
    </rPh>
    <rPh sb="2" eb="4">
      <t>ヘイキン</t>
    </rPh>
    <phoneticPr fontId="1"/>
  </si>
  <si>
    <t>■　例題5-8 母平均の差の検定</t>
    <rPh sb="2" eb="4">
      <t>レイダイ</t>
    </rPh>
    <rPh sb="8" eb="9">
      <t>ボ</t>
    </rPh>
    <rPh sb="9" eb="11">
      <t>ヘイキン</t>
    </rPh>
    <rPh sb="12" eb="13">
      <t>サ</t>
    </rPh>
    <rPh sb="14" eb="16">
      <t>ケンテイ</t>
    </rPh>
    <phoneticPr fontId="1"/>
  </si>
  <si>
    <t>⇒標本数合計&lt;100なので、t検定</t>
    <rPh sb="1" eb="3">
      <t>ヒョウホン</t>
    </rPh>
    <rPh sb="3" eb="4">
      <t>スウ</t>
    </rPh>
    <rPh sb="4" eb="6">
      <t>ゴウケイ</t>
    </rPh>
    <rPh sb="15" eb="17">
      <t>ケンテイ</t>
    </rPh>
    <phoneticPr fontId="1"/>
  </si>
  <si>
    <t>有意点</t>
    <rPh sb="0" eb="2">
      <t>ユウイ</t>
    </rPh>
    <rPh sb="2" eb="3">
      <t>テン</t>
    </rPh>
    <phoneticPr fontId="1"/>
  </si>
  <si>
    <t>統計量T&lt;有意点により帰無仮説を棄却できない</t>
    <rPh sb="0" eb="3">
      <t>トウケイリョウ</t>
    </rPh>
    <rPh sb="5" eb="7">
      <t>ユウイ</t>
    </rPh>
    <rPh sb="7" eb="8">
      <t>テン</t>
    </rPh>
    <rPh sb="11" eb="13">
      <t>キム</t>
    </rPh>
    <rPh sb="13" eb="15">
      <t>カセツ</t>
    </rPh>
    <rPh sb="16" eb="18">
      <t>キキャク</t>
    </rPh>
    <phoneticPr fontId="1"/>
  </si>
  <si>
    <t>p値</t>
    <rPh sb="1" eb="2">
      <t>チ</t>
    </rPh>
    <phoneticPr fontId="1"/>
  </si>
  <si>
    <t>p値&gt;有意水準0.05による、帰無仮説は棄却できない</t>
    <rPh sb="1" eb="2">
      <t>チ</t>
    </rPh>
    <rPh sb="3" eb="5">
      <t>ユウイ</t>
    </rPh>
    <rPh sb="5" eb="7">
      <t>スイジュン</t>
    </rPh>
    <rPh sb="15" eb="17">
      <t>キム</t>
    </rPh>
    <rPh sb="17" eb="19">
      <t>カセツ</t>
    </rPh>
    <rPh sb="20" eb="22">
      <t>キキャク</t>
    </rPh>
    <phoneticPr fontId="1"/>
  </si>
  <si>
    <t>■　例題5-9 母平均の差の検定</t>
    <rPh sb="2" eb="4">
      <t>レイダイ</t>
    </rPh>
    <rPh sb="8" eb="9">
      <t>ボ</t>
    </rPh>
    <rPh sb="9" eb="11">
      <t>ヘイキン</t>
    </rPh>
    <rPh sb="12" eb="13">
      <t>サ</t>
    </rPh>
    <rPh sb="14" eb="16">
      <t>ケンテイ</t>
    </rPh>
    <phoneticPr fontId="1"/>
  </si>
  <si>
    <t>2県のラーメンの平均価格は等しいくない</t>
    <rPh sb="1" eb="2">
      <t>ケン</t>
    </rPh>
    <rPh sb="8" eb="10">
      <t>ヘイキン</t>
    </rPh>
    <rPh sb="10" eb="12">
      <t>カカク</t>
    </rPh>
    <rPh sb="13" eb="14">
      <t>ヒト</t>
    </rPh>
    <phoneticPr fontId="1"/>
  </si>
  <si>
    <t>『自分の県』の方が『隣の県』より高い</t>
    <rPh sb="1" eb="3">
      <t>ジブン</t>
    </rPh>
    <rPh sb="4" eb="5">
      <t>ケン</t>
    </rPh>
    <rPh sb="7" eb="8">
      <t>ホウ</t>
    </rPh>
    <rPh sb="10" eb="11">
      <t>トナリ</t>
    </rPh>
    <rPh sb="12" eb="13">
      <t>ケン</t>
    </rPh>
    <rPh sb="16" eb="17">
      <t>タカ</t>
    </rPh>
    <phoneticPr fontId="1"/>
  </si>
  <si>
    <t>合併分散</t>
    <rPh sb="0" eb="2">
      <t>ガッペイ</t>
    </rPh>
    <rPh sb="2" eb="4">
      <t>ブンサン</t>
    </rPh>
    <phoneticPr fontId="1"/>
  </si>
  <si>
    <t>自由度</t>
    <rPh sb="0" eb="3">
      <t>ジユウド</t>
    </rPh>
    <phoneticPr fontId="1"/>
  </si>
  <si>
    <t>■　例題5-10 母平均の差の検定</t>
    <rPh sb="2" eb="4">
      <t>レイダイ</t>
    </rPh>
    <rPh sb="9" eb="10">
      <t>ボ</t>
    </rPh>
    <rPh sb="10" eb="12">
      <t>ヘイキン</t>
    </rPh>
    <rPh sb="13" eb="14">
      <t>サ</t>
    </rPh>
    <rPh sb="15" eb="17">
      <t>ケンテイ</t>
    </rPh>
    <phoneticPr fontId="1"/>
  </si>
  <si>
    <t>サンプル</t>
    <phoneticPr fontId="1"/>
  </si>
  <si>
    <t>投与前</t>
    <rPh sb="0" eb="2">
      <t>トウヨ</t>
    </rPh>
    <rPh sb="2" eb="3">
      <t>マエ</t>
    </rPh>
    <phoneticPr fontId="1"/>
  </si>
  <si>
    <t>投与後</t>
    <rPh sb="0" eb="2">
      <t>トウヨ</t>
    </rPh>
    <rPh sb="2" eb="3">
      <t>ゴ</t>
    </rPh>
    <phoneticPr fontId="1"/>
  </si>
  <si>
    <t>差</t>
    <rPh sb="0" eb="1">
      <t>サ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</si>
  <si>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</si>
  <si>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</si>
  <si>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</si>
  <si>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</si>
  <si>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</si>
  <si>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</si>
  <si>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</si>
  <si>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</si>
  <si>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</si>
  <si>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</si>
  <si>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投与前後の平均体温の差がない</t>
    <rPh sb="0" eb="2">
      <t>トウヨ</t>
    </rPh>
    <rPh sb="2" eb="4">
      <t>ゼンゴ</t>
    </rPh>
    <rPh sb="5" eb="7">
      <t>ヘイキン</t>
    </rPh>
    <rPh sb="7" eb="9">
      <t>タイオン</t>
    </rPh>
    <rPh sb="10" eb="11">
      <t>サ</t>
    </rPh>
    <phoneticPr fontId="1"/>
  </si>
  <si>
    <t>投与前後の平均体温の差がないとはいえない（差がある）</t>
    <rPh sb="0" eb="2">
      <t>トウヨ</t>
    </rPh>
    <rPh sb="2" eb="4">
      <t>ゼンゴ</t>
    </rPh>
    <rPh sb="5" eb="7">
      <t>ヘイキン</t>
    </rPh>
    <rPh sb="7" eb="9">
      <t>タイオン</t>
    </rPh>
    <rPh sb="10" eb="11">
      <t>サ</t>
    </rPh>
    <rPh sb="21" eb="22">
      <t>サ</t>
    </rPh>
    <phoneticPr fontId="1"/>
  </si>
  <si>
    <t>差の偏差</t>
    <rPh sb="0" eb="1">
      <t>サ</t>
    </rPh>
    <rPh sb="2" eb="4">
      <t>ヘンサ</t>
    </rPh>
    <phoneticPr fontId="1"/>
  </si>
  <si>
    <t>偏差平方</t>
    <rPh sb="0" eb="2">
      <t>ヘンサ</t>
    </rPh>
    <rPh sb="2" eb="4">
      <t>ヘイホウ</t>
    </rPh>
    <phoneticPr fontId="1"/>
  </si>
  <si>
    <t>両側検定・「対応有り」⇒t検定</t>
    <rPh sb="0" eb="2">
      <t>リョウガワ</t>
    </rPh>
    <rPh sb="2" eb="4">
      <t>ケンテイ</t>
    </rPh>
    <rPh sb="6" eb="8">
      <t>タイオウ</t>
    </rPh>
    <rPh sb="8" eb="9">
      <t>ア</t>
    </rPh>
    <rPh sb="13" eb="15">
      <t>ケンテイ</t>
    </rPh>
    <phoneticPr fontId="1"/>
  </si>
  <si>
    <t>t検定 有意点</t>
    <rPh sb="1" eb="3">
      <t>ケンテイ</t>
    </rPh>
    <rPh sb="4" eb="6">
      <t>ユウイ</t>
    </rPh>
    <rPh sb="6" eb="7">
      <t>テン</t>
    </rPh>
    <phoneticPr fontId="1"/>
  </si>
  <si>
    <t>統計量T&gt;有意点のため、帰無仮説は棄却される⇒『平均体温に差がある』</t>
    <rPh sb="0" eb="3">
      <t>トウケイリョウ</t>
    </rPh>
    <rPh sb="5" eb="7">
      <t>ユウイ</t>
    </rPh>
    <rPh sb="7" eb="8">
      <t>テン</t>
    </rPh>
    <rPh sb="12" eb="14">
      <t>キム</t>
    </rPh>
    <rPh sb="14" eb="16">
      <t>カセツ</t>
    </rPh>
    <rPh sb="17" eb="19">
      <t>キキャク</t>
    </rPh>
    <rPh sb="24" eb="26">
      <t>ヘイキン</t>
    </rPh>
    <rPh sb="26" eb="28">
      <t>タイオン</t>
    </rPh>
    <rPh sb="29" eb="30">
      <t>サ</t>
    </rPh>
    <phoneticPr fontId="1"/>
  </si>
  <si>
    <t>p値&lt;0.05のため、帰無仮説は棄却される</t>
    <rPh sb="1" eb="2">
      <t>チ</t>
    </rPh>
    <rPh sb="11" eb="13">
      <t>キム</t>
    </rPh>
    <rPh sb="13" eb="15">
      <t>カセツ</t>
    </rPh>
    <rPh sb="16" eb="18">
      <t>キキャク</t>
    </rPh>
    <phoneticPr fontId="1"/>
  </si>
  <si>
    <t>患者</t>
    <rPh sb="0" eb="2">
      <t>カンジャ</t>
    </rPh>
    <phoneticPr fontId="1"/>
  </si>
  <si>
    <t>非患者</t>
    <rPh sb="0" eb="1">
      <t>ヒ</t>
    </rPh>
    <rPh sb="1" eb="3">
      <t>カンジャ</t>
    </rPh>
    <phoneticPr fontId="1"/>
  </si>
  <si>
    <t>肺がん患者と非患者で、重喫煙者の割合は同じ</t>
    <rPh sb="0" eb="1">
      <t>ハイ</t>
    </rPh>
    <rPh sb="3" eb="5">
      <t>カンジャ</t>
    </rPh>
    <rPh sb="6" eb="9">
      <t>ヒカンジャ</t>
    </rPh>
    <rPh sb="11" eb="12">
      <t>ジュウ</t>
    </rPh>
    <rPh sb="12" eb="15">
      <t>キツエンシャ</t>
    </rPh>
    <rPh sb="16" eb="18">
      <t>ワリアイ</t>
    </rPh>
    <rPh sb="19" eb="20">
      <t>オナ</t>
    </rPh>
    <phoneticPr fontId="1"/>
  </si>
  <si>
    <t>肺がん患者の方が非患者よりも、重喫煙者の割合が高い</t>
    <rPh sb="0" eb="1">
      <t>ハイ</t>
    </rPh>
    <rPh sb="3" eb="5">
      <t>カンジャ</t>
    </rPh>
    <rPh sb="6" eb="7">
      <t>ホウ</t>
    </rPh>
    <rPh sb="8" eb="11">
      <t>ヒカンジャ</t>
    </rPh>
    <rPh sb="15" eb="16">
      <t>ジュウ</t>
    </rPh>
    <rPh sb="16" eb="19">
      <t>キツエンシャ</t>
    </rPh>
    <rPh sb="20" eb="22">
      <t>ワリアイ</t>
    </rPh>
    <rPh sb="23" eb="24">
      <t>タカ</t>
    </rPh>
    <phoneticPr fontId="1"/>
  </si>
  <si>
    <t>確率</t>
    <rPh sb="0" eb="2">
      <t>カクリツ</t>
    </rPh>
    <phoneticPr fontId="1"/>
  </si>
  <si>
    <t>Z検定 有意点</t>
    <rPh sb="1" eb="3">
      <t>ケンテイ</t>
    </rPh>
    <rPh sb="4" eb="6">
      <t>ユウイ</t>
    </rPh>
    <rPh sb="6" eb="7">
      <t>テン</t>
    </rPh>
    <phoneticPr fontId="1"/>
  </si>
  <si>
    <t>p値&lt;0.01により、帰無仮説は棄却される</t>
    <rPh sb="1" eb="2">
      <t>チ</t>
    </rPh>
    <rPh sb="11" eb="13">
      <t>キム</t>
    </rPh>
    <rPh sb="13" eb="15">
      <t>カセツ</t>
    </rPh>
    <rPh sb="16" eb="18">
      <t>キキャク</t>
    </rPh>
    <phoneticPr fontId="1"/>
  </si>
  <si>
    <r>
      <t>統計量T&gt;有意点より帰無仮説は棄却される⇒有意水準0.01において</t>
    </r>
    <r>
      <rPr>
        <sz val="9"/>
        <color rgb="FFFF0000"/>
        <rFont val="ＭＳ Ｐゴシック"/>
        <family val="3"/>
        <charset val="128"/>
      </rPr>
      <t>重喫煙者の方が肺がん患者になる確率が高いといえる</t>
    </r>
    <rPh sb="0" eb="3">
      <t>トウケイリョウ</t>
    </rPh>
    <rPh sb="5" eb="7">
      <t>ユウイ</t>
    </rPh>
    <rPh sb="7" eb="8">
      <t>テン</t>
    </rPh>
    <rPh sb="10" eb="12">
      <t>キム</t>
    </rPh>
    <rPh sb="12" eb="14">
      <t>カセツ</t>
    </rPh>
    <rPh sb="15" eb="17">
      <t>キキャク</t>
    </rPh>
    <rPh sb="21" eb="23">
      <t>ユウイ</t>
    </rPh>
    <rPh sb="23" eb="25">
      <t>スイジュン</t>
    </rPh>
    <rPh sb="33" eb="34">
      <t>ジュウ</t>
    </rPh>
    <rPh sb="34" eb="37">
      <t>キツエンシャ</t>
    </rPh>
    <rPh sb="38" eb="39">
      <t>ホウ</t>
    </rPh>
    <rPh sb="40" eb="41">
      <t>ハイ</t>
    </rPh>
    <rPh sb="43" eb="45">
      <t>カンジャ</t>
    </rPh>
    <rPh sb="48" eb="50">
      <t>カクリツ</t>
    </rPh>
    <rPh sb="51" eb="52">
      <t>タカ</t>
    </rPh>
    <phoneticPr fontId="1"/>
  </si>
  <si>
    <t>■　例題5-11 母比率の差の検定（対応ない場合）</t>
    <rPh sb="2" eb="4">
      <t>レイダイ</t>
    </rPh>
    <rPh sb="9" eb="10">
      <t>ボ</t>
    </rPh>
    <rPh sb="10" eb="12">
      <t>ヒリツ</t>
    </rPh>
    <rPh sb="13" eb="14">
      <t>サ</t>
    </rPh>
    <rPh sb="15" eb="17">
      <t>ケンテイ</t>
    </rPh>
    <rPh sb="18" eb="20">
      <t>タイオウ</t>
    </rPh>
    <rPh sb="22" eb="24">
      <t>バアイ</t>
    </rPh>
    <phoneticPr fontId="1"/>
  </si>
  <si>
    <t>■　例題5-12 母比率の差の検定（対応ある場合）</t>
    <rPh sb="2" eb="4">
      <t>レイダイ</t>
    </rPh>
    <rPh sb="9" eb="10">
      <t>ボ</t>
    </rPh>
    <rPh sb="10" eb="12">
      <t>ヒリツ</t>
    </rPh>
    <rPh sb="13" eb="14">
      <t>サ</t>
    </rPh>
    <rPh sb="15" eb="17">
      <t>ケンテイ</t>
    </rPh>
    <rPh sb="18" eb="20">
      <t>タイオウ</t>
    </rPh>
    <rPh sb="22" eb="24">
      <t>バアイ</t>
    </rPh>
    <phoneticPr fontId="1"/>
  </si>
</sst>
</file>

<file path=xl/styles.xml><?xml version="1.0" encoding="utf-8"?>
<styleSheet xmlns="http://schemas.openxmlformats.org/spreadsheetml/2006/main">
  <numFmts count="9">
    <numFmt numFmtId="176" formatCode="0.0"/>
    <numFmt numFmtId="177" formatCode="0.00_ "/>
    <numFmt numFmtId="178" formatCode="0.0000"/>
    <numFmt numFmtId="179" formatCode="0.000_ "/>
    <numFmt numFmtId="180" formatCode="0_ "/>
    <numFmt numFmtId="181" formatCode="0.0000%"/>
    <numFmt numFmtId="187" formatCode="0.00000_ "/>
    <numFmt numFmtId="188" formatCode="0.0000_ "/>
    <numFmt numFmtId="189" formatCode="0.0_ "/>
  </numFmts>
  <fonts count="9"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9"/>
      <color theme="10"/>
      <name val="ＭＳ Ｐゴシック"/>
      <family val="2"/>
      <charset val="128"/>
    </font>
    <font>
      <u/>
      <sz val="9"/>
      <color theme="11"/>
      <name val="ＭＳ Ｐゴシック"/>
      <family val="2"/>
      <charset val="128"/>
    </font>
    <font>
      <sz val="9"/>
      <color theme="1"/>
      <name val="ＭＳ Ｐゴシック"/>
      <family val="2"/>
      <charset val="128"/>
    </font>
    <font>
      <sz val="9"/>
      <color rgb="FFFF0000"/>
      <name val="ＭＳ Ｐゴシック"/>
      <family val="2"/>
      <charset val="128"/>
    </font>
    <font>
      <b/>
      <sz val="9"/>
      <color indexed="81"/>
      <name val="ＭＳ Ｐゴシック"/>
      <family val="3"/>
      <charset val="128"/>
    </font>
    <font>
      <sz val="9"/>
      <color theme="0"/>
      <name val="ＭＳ Ｐゴシック"/>
      <family val="2"/>
      <charset val="128"/>
    </font>
    <font>
      <sz val="9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0" xfId="0" applyFill="1" applyBorder="1"/>
    <xf numFmtId="0" fontId="0" fillId="4" borderId="1" xfId="0" applyFill="1" applyBorder="1"/>
    <xf numFmtId="0" fontId="0" fillId="4" borderId="4" xfId="0" applyFill="1" applyBorder="1"/>
    <xf numFmtId="176" fontId="0" fillId="0" borderId="1" xfId="0" applyNumberFormat="1" applyBorder="1"/>
    <xf numFmtId="176" fontId="0" fillId="0" borderId="0" xfId="0" applyNumberFormat="1"/>
    <xf numFmtId="177" fontId="0" fillId="0" borderId="1" xfId="0" applyNumberFormat="1" applyBorder="1"/>
    <xf numFmtId="0" fontId="0" fillId="4" borderId="0" xfId="0" applyFill="1"/>
    <xf numFmtId="177" fontId="0" fillId="4" borderId="0" xfId="0" applyNumberFormat="1" applyFill="1"/>
    <xf numFmtId="178" fontId="0" fillId="0" borderId="1" xfId="0" applyNumberFormat="1" applyBorder="1"/>
    <xf numFmtId="179" fontId="0" fillId="0" borderId="0" xfId="0" applyNumberFormat="1"/>
    <xf numFmtId="177" fontId="0" fillId="0" borderId="0" xfId="0" applyNumberFormat="1"/>
    <xf numFmtId="180" fontId="0" fillId="0" borderId="1" xfId="0" applyNumberFormat="1" applyBorder="1"/>
    <xf numFmtId="0" fontId="0" fillId="0" borderId="1" xfId="5" applyNumberFormat="1" applyFont="1" applyBorder="1" applyAlignment="1"/>
    <xf numFmtId="0" fontId="5" fillId="0" borderId="0" xfId="0" applyFont="1"/>
    <xf numFmtId="188" fontId="0" fillId="0" borderId="0" xfId="0" applyNumberFormat="1"/>
    <xf numFmtId="181" fontId="0" fillId="0" borderId="1" xfId="5" applyNumberFormat="1" applyFont="1" applyBorder="1" applyAlignment="1"/>
    <xf numFmtId="0" fontId="5" fillId="0" borderId="1" xfId="0" applyFont="1" applyBorder="1"/>
    <xf numFmtId="0" fontId="5" fillId="0" borderId="0" xfId="0" applyFont="1" applyFill="1" applyBorder="1"/>
    <xf numFmtId="0" fontId="7" fillId="5" borderId="1" xfId="0" applyFont="1" applyFill="1" applyBorder="1"/>
    <xf numFmtId="189" fontId="0" fillId="0" borderId="1" xfId="0" applyNumberFormat="1" applyBorder="1"/>
    <xf numFmtId="187" fontId="0" fillId="0" borderId="1" xfId="0" applyNumberFormat="1" applyBorder="1"/>
  </cellXfs>
  <cellStyles count="6">
    <cellStyle name="パーセント" xfId="5" builtinId="5"/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style val="18"/>
  <c:chart>
    <c:title>
      <c:tx>
        <c:rich>
          <a:bodyPr/>
          <a:lstStyle/>
          <a:p>
            <a:pPr>
              <a:defRPr sz="1200"/>
            </a:pPr>
            <a:r>
              <a:rPr lang="ja-JP" altLang="en-US" sz="1200"/>
              <a:t>二項分布</a:t>
            </a:r>
            <a:endParaRPr lang="en-US" altLang="ja-JP" sz="1200"/>
          </a:p>
        </c:rich>
      </c:tx>
    </c:title>
    <c:plotArea>
      <c:layout/>
      <c:lineChart>
        <c:grouping val="standard"/>
        <c:ser>
          <c:idx val="1"/>
          <c:order val="0"/>
          <c:tx>
            <c:strRef>
              <c:f>第4章!$B$10</c:f>
              <c:strCache>
                <c:ptCount val="1"/>
                <c:pt idx="0">
                  <c:v>P(X)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第4章!$B$11:$B$31</c:f>
              <c:numCache>
                <c:formatCode>0.00_ </c:formatCode>
                <c:ptCount val="21"/>
                <c:pt idx="0">
                  <c:v>2.6063193989594613E-2</c:v>
                </c:pt>
                <c:pt idx="1">
                  <c:v>0.10427779762547511</c:v>
                </c:pt>
                <c:pt idx="2">
                  <c:v>0.19817536806622296</c:v>
                </c:pt>
                <c:pt idx="3">
                  <c:v>0.23786751846854212</c:v>
                </c:pt>
                <c:pt idx="4">
                  <c:v>0.202235917613105</c:v>
                </c:pt>
                <c:pt idx="5">
                  <c:v>0.12946205195191973</c:v>
                </c:pt>
                <c:pt idx="6">
                  <c:v>6.474656204363681E-2</c:v>
                </c:pt>
                <c:pt idx="7">
                  <c:v>2.5904840736047666E-2</c:v>
                </c:pt>
                <c:pt idx="8">
                  <c:v>8.4210938976192282E-3</c:v>
                </c:pt>
                <c:pt idx="9">
                  <c:v>2.2461640109334396E-3</c:v>
                </c:pt>
                <c:pt idx="10">
                  <c:v>4.942746846092218E-4</c:v>
                </c:pt>
                <c:pt idx="11">
                  <c:v>8.9889693687046437E-5</c:v>
                </c:pt>
                <c:pt idx="12">
                  <c:v>1.3486690211475984E-5</c:v>
                </c:pt>
                <c:pt idx="13">
                  <c:v>1.6602987257358956E-6</c:v>
                </c:pt>
                <c:pt idx="14">
                  <c:v>1.6606972133695831E-7</c:v>
                </c:pt>
                <c:pt idx="15">
                  <c:v>1.3288766373152932E-8</c:v>
                </c:pt>
                <c:pt idx="16">
                  <c:v>8.3074723779123592E-10</c:v>
                </c:pt>
                <c:pt idx="17">
                  <c:v>3.9103370593119977E-11</c:v>
                </c:pt>
                <c:pt idx="18">
                  <c:v>1.3037585259156508E-12</c:v>
                </c:pt>
                <c:pt idx="19">
                  <c:v>2.7454135589020075E-14</c:v>
                </c:pt>
                <c:pt idx="20">
                  <c:v>2.7460724845131709E-16</c:v>
                </c:pt>
              </c:numCache>
            </c:numRef>
          </c:val>
        </c:ser>
        <c:marker val="1"/>
        <c:axId val="86252928"/>
        <c:axId val="86668416"/>
      </c:lineChart>
      <c:catAx>
        <c:axId val="86252928"/>
        <c:scaling>
          <c:orientation val="minMax"/>
        </c:scaling>
        <c:axPos val="b"/>
        <c:tickLblPos val="nextTo"/>
        <c:crossAx val="86668416"/>
        <c:crosses val="autoZero"/>
        <c:auto val="1"/>
        <c:lblAlgn val="ctr"/>
        <c:lblOffset val="100"/>
      </c:catAx>
      <c:valAx>
        <c:axId val="86668416"/>
        <c:scaling>
          <c:orientation val="minMax"/>
        </c:scaling>
        <c:axPos val="l"/>
        <c:majorGridlines/>
        <c:numFmt formatCode="0.00_ " sourceLinked="1"/>
        <c:tickLblPos val="nextTo"/>
        <c:crossAx val="8625292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style val="18"/>
  <c:chart>
    <c:title>
      <c:tx>
        <c:rich>
          <a:bodyPr/>
          <a:lstStyle/>
          <a:p>
            <a:pPr>
              <a:defRPr sz="1200"/>
            </a:pPr>
            <a:r>
              <a:rPr lang="ja-JP" altLang="en-US" sz="1200"/>
              <a:t>ポアソン分布</a:t>
            </a:r>
            <a:endParaRPr lang="en-US" altLang="ja-JP" sz="1200"/>
          </a:p>
        </c:rich>
      </c:tx>
    </c:title>
    <c:plotArea>
      <c:layout/>
      <c:lineChart>
        <c:grouping val="standard"/>
        <c:ser>
          <c:idx val="1"/>
          <c:order val="0"/>
          <c:tx>
            <c:strRef>
              <c:f>第4章!$B$47</c:f>
              <c:strCache>
                <c:ptCount val="1"/>
                <c:pt idx="0">
                  <c:v>P(X)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第4章!$A$48:$A$56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第4章!$B$48:$B$56</c:f>
              <c:numCache>
                <c:formatCode>0.0000</c:formatCode>
                <c:ptCount val="9"/>
                <c:pt idx="0">
                  <c:v>0.30119421191220214</c:v>
                </c:pt>
                <c:pt idx="1">
                  <c:v>0.36143305429464251</c:v>
                </c:pt>
                <c:pt idx="2">
                  <c:v>0.21685983257678554</c:v>
                </c:pt>
                <c:pt idx="3">
                  <c:v>8.6743933030714204E-2</c:v>
                </c:pt>
                <c:pt idx="4">
                  <c:v>2.6023179909214253E-2</c:v>
                </c:pt>
                <c:pt idx="5">
                  <c:v>6.2455631782114196E-3</c:v>
                </c:pt>
                <c:pt idx="6">
                  <c:v>1.249112635642285E-3</c:v>
                </c:pt>
                <c:pt idx="7">
                  <c:v>2.1413359468153433E-4</c:v>
                </c:pt>
                <c:pt idx="8">
                  <c:v>3.2120039202230205E-5</c:v>
                </c:pt>
              </c:numCache>
            </c:numRef>
          </c:val>
        </c:ser>
        <c:marker val="1"/>
        <c:axId val="86672512"/>
        <c:axId val="88344832"/>
      </c:lineChart>
      <c:catAx>
        <c:axId val="86672512"/>
        <c:scaling>
          <c:orientation val="minMax"/>
        </c:scaling>
        <c:axPos val="b"/>
        <c:numFmt formatCode="General" sourceLinked="1"/>
        <c:tickLblPos val="nextTo"/>
        <c:crossAx val="88344832"/>
        <c:crosses val="autoZero"/>
        <c:auto val="1"/>
        <c:lblAlgn val="ctr"/>
        <c:lblOffset val="100"/>
      </c:catAx>
      <c:valAx>
        <c:axId val="88344832"/>
        <c:scaling>
          <c:orientation val="minMax"/>
        </c:scaling>
        <c:axPos val="l"/>
        <c:majorGridlines/>
        <c:numFmt formatCode="0.00_ " sourceLinked="0"/>
        <c:tickLblPos val="nextTo"/>
        <c:crossAx val="866725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style val="18"/>
  <c:chart>
    <c:title/>
    <c:plotArea>
      <c:layout/>
      <c:lineChart>
        <c:grouping val="standard"/>
        <c:ser>
          <c:idx val="1"/>
          <c:order val="0"/>
          <c:tx>
            <c:strRef>
              <c:f>第4章!$C$68</c:f>
              <c:strCache>
                <c:ptCount val="1"/>
                <c:pt idx="0">
                  <c:v>正規分布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第4章!$A$69:$A$79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第4章!$C$69:$C$79</c:f>
              <c:numCache>
                <c:formatCode>0.000_ </c:formatCode>
                <c:ptCount val="11"/>
                <c:pt idx="0">
                  <c:v>3.0360194822220021E-8</c:v>
                </c:pt>
                <c:pt idx="1">
                  <c:v>2.2577480921359013E-6</c:v>
                </c:pt>
                <c:pt idx="2">
                  <c:v>8.6129176913845635E-5</c:v>
                </c:pt>
                <c:pt idx="3">
                  <c:v>1.6805509539102479E-3</c:v>
                </c:pt>
                <c:pt idx="4">
                  <c:v>1.6841456950775276E-2</c:v>
                </c:pt>
                <c:pt idx="5">
                  <c:v>8.7039348476968925E-2</c:v>
                </c:pt>
                <c:pt idx="6">
                  <c:v>0.23281134584383439</c:v>
                </c:pt>
                <c:pt idx="7">
                  <c:v>0.32307776097862068</c:v>
                </c:pt>
                <c:pt idx="8">
                  <c:v>0.23281134584383445</c:v>
                </c:pt>
                <c:pt idx="9">
                  <c:v>8.7039348476968925E-2</c:v>
                </c:pt>
                <c:pt idx="10">
                  <c:v>1.6841456950775213E-2</c:v>
                </c:pt>
              </c:numCache>
            </c:numRef>
          </c:val>
        </c:ser>
        <c:marker val="1"/>
        <c:axId val="88381312"/>
        <c:axId val="88382848"/>
      </c:lineChart>
      <c:catAx>
        <c:axId val="88381312"/>
        <c:scaling>
          <c:orientation val="minMax"/>
        </c:scaling>
        <c:axPos val="b"/>
        <c:numFmt formatCode="General" sourceLinked="1"/>
        <c:tickLblPos val="nextTo"/>
        <c:crossAx val="88382848"/>
        <c:crosses val="autoZero"/>
        <c:auto val="1"/>
        <c:lblAlgn val="ctr"/>
        <c:lblOffset val="100"/>
      </c:catAx>
      <c:valAx>
        <c:axId val="88382848"/>
        <c:scaling>
          <c:orientation val="minMax"/>
        </c:scaling>
        <c:axPos val="l"/>
        <c:majorGridlines/>
        <c:numFmt formatCode="0.000_ " sourceLinked="1"/>
        <c:tickLblPos val="nextTo"/>
        <c:crossAx val="88381312"/>
        <c:crosses val="autoZero"/>
        <c:crossBetween val="between"/>
      </c:valAx>
    </c:plotArea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style val="18"/>
  <c:chart>
    <c:title/>
    <c:plotArea>
      <c:layout/>
      <c:lineChart>
        <c:grouping val="standard"/>
        <c:ser>
          <c:idx val="1"/>
          <c:order val="0"/>
          <c:tx>
            <c:v>分布</c:v>
          </c:tx>
          <c:marker>
            <c:symbol val="none"/>
          </c:marker>
          <c:cat>
            <c:numRef>
              <c:f>第4章!$A$103:$A$121</c:f>
              <c:numCache>
                <c:formatCode>General</c:formatCode>
                <c:ptCount val="19"/>
                <c:pt idx="0">
                  <c:v>-0.5</c:v>
                </c:pt>
                <c:pt idx="1">
                  <c:v>0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</c:numCache>
            </c:numRef>
          </c:cat>
          <c:val>
            <c:numRef>
              <c:f>第4章!$C$103:$C$121</c:f>
              <c:numCache>
                <c:formatCode>General</c:formatCode>
                <c:ptCount val="19"/>
                <c:pt idx="0">
                  <c:v>1.3498980316300933E-3</c:v>
                </c:pt>
                <c:pt idx="1">
                  <c:v>2.4804825359596421E-3</c:v>
                </c:pt>
                <c:pt idx="2">
                  <c:v>5.9849480610556002E-3</c:v>
                </c:pt>
                <c:pt idx="3">
                  <c:v>1.2934803319533856E-2</c:v>
                </c:pt>
                <c:pt idx="4">
                  <c:v>2.5040220324635511E-2</c:v>
                </c:pt>
                <c:pt idx="5">
                  <c:v>4.3420867453053173E-2</c:v>
                </c:pt>
                <c:pt idx="6">
                  <c:v>6.7444034205589115E-2</c:v>
                </c:pt>
                <c:pt idx="7">
                  <c:v>9.3837283615465922E-2</c:v>
                </c:pt>
                <c:pt idx="8">
                  <c:v>0.1169488026348407</c:v>
                </c:pt>
                <c:pt idx="9">
                  <c:v>0.13055865981823639</c:v>
                </c:pt>
                <c:pt idx="10">
                  <c:v>0.13055865981823644</c:v>
                </c:pt>
                <c:pt idx="11">
                  <c:v>0.11694880263484064</c:v>
                </c:pt>
                <c:pt idx="12">
                  <c:v>9.383728361546595E-2</c:v>
                </c:pt>
                <c:pt idx="13">
                  <c:v>6.7444034205589087E-2</c:v>
                </c:pt>
                <c:pt idx="14">
                  <c:v>4.342086745305318E-2</c:v>
                </c:pt>
                <c:pt idx="15">
                  <c:v>2.5040220324635487E-2</c:v>
                </c:pt>
                <c:pt idx="16">
                  <c:v>1.2934803319533894E-2</c:v>
                </c:pt>
                <c:pt idx="17">
                  <c:v>5.9849480610555394E-3</c:v>
                </c:pt>
                <c:pt idx="18">
                  <c:v>2.4804825359596716E-3</c:v>
                </c:pt>
              </c:numCache>
            </c:numRef>
          </c:val>
        </c:ser>
        <c:marker val="1"/>
        <c:axId val="88390272"/>
        <c:axId val="87753088"/>
      </c:lineChart>
      <c:catAx>
        <c:axId val="88390272"/>
        <c:scaling>
          <c:orientation val="minMax"/>
        </c:scaling>
        <c:axPos val="b"/>
        <c:numFmt formatCode="General" sourceLinked="1"/>
        <c:tickLblPos val="nextTo"/>
        <c:crossAx val="87753088"/>
        <c:crosses val="autoZero"/>
        <c:auto val="1"/>
        <c:lblAlgn val="ctr"/>
        <c:lblOffset val="100"/>
      </c:catAx>
      <c:valAx>
        <c:axId val="87753088"/>
        <c:scaling>
          <c:orientation val="minMax"/>
        </c:scaling>
        <c:axPos val="l"/>
        <c:majorGridlines/>
        <c:numFmt formatCode="General" sourceLinked="1"/>
        <c:tickLblPos val="nextTo"/>
        <c:crossAx val="88390272"/>
        <c:crosses val="autoZero"/>
        <c:crossBetween val="between"/>
      </c:valAx>
    </c:plotArea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524932</xdr:colOff>
      <xdr:row>14</xdr:row>
      <xdr:rowOff>105833</xdr:rowOff>
    </xdr:from>
    <xdr:to>
      <xdr:col>8</xdr:col>
      <xdr:colOff>118532</xdr:colOff>
      <xdr:row>30</xdr:row>
      <xdr:rowOff>139700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46</xdr:row>
      <xdr:rowOff>12700</xdr:rowOff>
    </xdr:from>
    <xdr:to>
      <xdr:col>8</xdr:col>
      <xdr:colOff>423333</xdr:colOff>
      <xdr:row>62</xdr:row>
      <xdr:rowOff>46566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287866</xdr:colOff>
      <xdr:row>67</xdr:row>
      <xdr:rowOff>12701</xdr:rowOff>
    </xdr:from>
    <xdr:to>
      <xdr:col>8</xdr:col>
      <xdr:colOff>711199</xdr:colOff>
      <xdr:row>83</xdr:row>
      <xdr:rowOff>46567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491066</xdr:colOff>
      <xdr:row>102</xdr:row>
      <xdr:rowOff>38100</xdr:rowOff>
    </xdr:from>
    <xdr:to>
      <xdr:col>9</xdr:col>
      <xdr:colOff>84666</xdr:colOff>
      <xdr:row>118</xdr:row>
      <xdr:rowOff>71967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zoomScaleNormal="100" zoomScalePageLayoutView="150" workbookViewId="0">
      <selection activeCell="C21" sqref="C21"/>
    </sheetView>
  </sheetViews>
  <sheetFormatPr defaultColWidth="13.33203125" defaultRowHeight="11.25"/>
  <cols>
    <col min="1" max="1" width="16.33203125" bestFit="1" customWidth="1"/>
    <col min="3" max="3" width="16.33203125" bestFit="1" customWidth="1"/>
    <col min="6" max="6" width="12.83203125" bestFit="1" customWidth="1"/>
    <col min="12" max="12" width="14" bestFit="1" customWidth="1"/>
  </cols>
  <sheetData>
    <row r="1" spans="1:8">
      <c r="A1" t="s">
        <v>26</v>
      </c>
    </row>
    <row r="3" spans="1:8" s="6" customFormat="1">
      <c r="A3" s="4"/>
      <c r="B3" s="5" t="s">
        <v>0</v>
      </c>
      <c r="C3" s="5" t="s">
        <v>12</v>
      </c>
      <c r="D3" s="5" t="s">
        <v>13</v>
      </c>
      <c r="E3" s="5" t="s">
        <v>16</v>
      </c>
      <c r="F3" s="5" t="s">
        <v>17</v>
      </c>
      <c r="G3" s="5" t="s">
        <v>18</v>
      </c>
      <c r="H3" s="5" t="s">
        <v>19</v>
      </c>
    </row>
    <row r="4" spans="1:8">
      <c r="A4" s="5" t="s">
        <v>3</v>
      </c>
      <c r="B4" s="1">
        <v>146</v>
      </c>
      <c r="C4" s="1">
        <v>45</v>
      </c>
      <c r="D4" s="1">
        <f>B4-$B$17</f>
        <v>-4</v>
      </c>
      <c r="E4" s="1">
        <f>C4-$B$18</f>
        <v>-5</v>
      </c>
      <c r="F4" s="1">
        <f>D4^2</f>
        <v>16</v>
      </c>
      <c r="G4" s="1">
        <f>E4^2</f>
        <v>25</v>
      </c>
      <c r="H4" s="1">
        <f>D4*E4</f>
        <v>20</v>
      </c>
    </row>
    <row r="5" spans="1:8">
      <c r="A5" s="5" t="s">
        <v>1</v>
      </c>
      <c r="B5" s="1">
        <v>145</v>
      </c>
      <c r="C5" s="1">
        <v>46</v>
      </c>
      <c r="D5" s="1">
        <f t="shared" ref="D5:D13" si="0">B5-$B$17</f>
        <v>-5</v>
      </c>
      <c r="E5" s="1">
        <f t="shared" ref="E5:E13" si="1">C5-$B$18</f>
        <v>-4</v>
      </c>
      <c r="F5" s="1">
        <f t="shared" ref="F5:F13" si="2">D5^2</f>
        <v>25</v>
      </c>
      <c r="G5" s="1">
        <f t="shared" ref="G5:G13" si="3">E5^2</f>
        <v>16</v>
      </c>
      <c r="H5" s="1">
        <f t="shared" ref="H5:H13" si="4">D5*E5</f>
        <v>20</v>
      </c>
    </row>
    <row r="6" spans="1:8">
      <c r="A6" s="5" t="s">
        <v>2</v>
      </c>
      <c r="B6" s="1">
        <v>147</v>
      </c>
      <c r="C6" s="1">
        <v>47</v>
      </c>
      <c r="D6" s="1">
        <f t="shared" si="0"/>
        <v>-3</v>
      </c>
      <c r="E6" s="1">
        <f t="shared" si="1"/>
        <v>-3</v>
      </c>
      <c r="F6" s="1">
        <f t="shared" si="2"/>
        <v>9</v>
      </c>
      <c r="G6" s="1">
        <f t="shared" si="3"/>
        <v>9</v>
      </c>
      <c r="H6" s="1">
        <f t="shared" si="4"/>
        <v>9</v>
      </c>
    </row>
    <row r="7" spans="1:8">
      <c r="A7" s="5" t="s">
        <v>4</v>
      </c>
      <c r="B7" s="1">
        <v>149</v>
      </c>
      <c r="C7" s="1">
        <v>49</v>
      </c>
      <c r="D7" s="1">
        <f t="shared" si="0"/>
        <v>-1</v>
      </c>
      <c r="E7" s="1">
        <f t="shared" si="1"/>
        <v>-1</v>
      </c>
      <c r="F7" s="1">
        <f t="shared" si="2"/>
        <v>1</v>
      </c>
      <c r="G7" s="1">
        <f t="shared" si="3"/>
        <v>1</v>
      </c>
      <c r="H7" s="1">
        <f t="shared" si="4"/>
        <v>1</v>
      </c>
    </row>
    <row r="8" spans="1:8">
      <c r="A8" s="5" t="s">
        <v>5</v>
      </c>
      <c r="B8" s="1">
        <v>151</v>
      </c>
      <c r="C8" s="1">
        <v>48</v>
      </c>
      <c r="D8" s="1">
        <f t="shared" si="0"/>
        <v>1</v>
      </c>
      <c r="E8" s="1">
        <f t="shared" si="1"/>
        <v>-2</v>
      </c>
      <c r="F8" s="1">
        <f t="shared" si="2"/>
        <v>1</v>
      </c>
      <c r="G8" s="1">
        <f t="shared" si="3"/>
        <v>4</v>
      </c>
      <c r="H8" s="1">
        <f t="shared" si="4"/>
        <v>-2</v>
      </c>
    </row>
    <row r="9" spans="1:8">
      <c r="A9" s="5" t="s">
        <v>6</v>
      </c>
      <c r="B9" s="1">
        <v>149</v>
      </c>
      <c r="C9" s="1">
        <v>51</v>
      </c>
      <c r="D9" s="1">
        <f t="shared" si="0"/>
        <v>-1</v>
      </c>
      <c r="E9" s="1">
        <f t="shared" si="1"/>
        <v>1</v>
      </c>
      <c r="F9" s="1">
        <f t="shared" si="2"/>
        <v>1</v>
      </c>
      <c r="G9" s="1">
        <f t="shared" si="3"/>
        <v>1</v>
      </c>
      <c r="H9" s="1">
        <f t="shared" si="4"/>
        <v>-1</v>
      </c>
    </row>
    <row r="10" spans="1:8">
      <c r="A10" s="5" t="s">
        <v>7</v>
      </c>
      <c r="B10" s="1">
        <v>151</v>
      </c>
      <c r="C10" s="1">
        <v>52</v>
      </c>
      <c r="D10" s="1">
        <f t="shared" si="0"/>
        <v>1</v>
      </c>
      <c r="E10" s="1">
        <f t="shared" si="1"/>
        <v>2</v>
      </c>
      <c r="F10" s="1">
        <f t="shared" si="2"/>
        <v>1</v>
      </c>
      <c r="G10" s="1">
        <f t="shared" si="3"/>
        <v>4</v>
      </c>
      <c r="H10" s="1">
        <f t="shared" si="4"/>
        <v>2</v>
      </c>
    </row>
    <row r="11" spans="1:8">
      <c r="A11" s="5" t="s">
        <v>8</v>
      </c>
      <c r="B11" s="1">
        <v>154</v>
      </c>
      <c r="C11" s="1">
        <v>53</v>
      </c>
      <c r="D11" s="1">
        <f t="shared" si="0"/>
        <v>4</v>
      </c>
      <c r="E11" s="1">
        <f t="shared" si="1"/>
        <v>3</v>
      </c>
      <c r="F11" s="1">
        <f t="shared" si="2"/>
        <v>16</v>
      </c>
      <c r="G11" s="1">
        <f t="shared" si="3"/>
        <v>9</v>
      </c>
      <c r="H11" s="1">
        <f t="shared" si="4"/>
        <v>12</v>
      </c>
    </row>
    <row r="12" spans="1:8">
      <c r="A12" s="5" t="s">
        <v>9</v>
      </c>
      <c r="B12" s="1">
        <v>153</v>
      </c>
      <c r="C12" s="1">
        <v>54</v>
      </c>
      <c r="D12" s="1">
        <f t="shared" si="0"/>
        <v>3</v>
      </c>
      <c r="E12" s="1">
        <f t="shared" si="1"/>
        <v>4</v>
      </c>
      <c r="F12" s="1">
        <f t="shared" si="2"/>
        <v>9</v>
      </c>
      <c r="G12" s="1">
        <f t="shared" si="3"/>
        <v>16</v>
      </c>
      <c r="H12" s="1">
        <f t="shared" si="4"/>
        <v>12</v>
      </c>
    </row>
    <row r="13" spans="1:8" ht="12" thickBot="1">
      <c r="A13" s="7" t="s">
        <v>10</v>
      </c>
      <c r="B13" s="3">
        <v>155</v>
      </c>
      <c r="C13" s="3">
        <v>55</v>
      </c>
      <c r="D13" s="3">
        <f t="shared" si="0"/>
        <v>5</v>
      </c>
      <c r="E13" s="3">
        <f t="shared" si="1"/>
        <v>5</v>
      </c>
      <c r="F13" s="3">
        <f t="shared" si="2"/>
        <v>25</v>
      </c>
      <c r="G13" s="3">
        <f t="shared" si="3"/>
        <v>25</v>
      </c>
      <c r="H13" s="3">
        <f t="shared" si="4"/>
        <v>25</v>
      </c>
    </row>
    <row r="14" spans="1:8" ht="12" thickTop="1">
      <c r="A14" s="8" t="s">
        <v>11</v>
      </c>
      <c r="B14" s="2">
        <f t="shared" ref="B14:H14" si="5">SUM(B4:B13)</f>
        <v>1500</v>
      </c>
      <c r="C14" s="2">
        <f t="shared" si="5"/>
        <v>500</v>
      </c>
      <c r="D14" s="2">
        <f t="shared" si="5"/>
        <v>0</v>
      </c>
      <c r="E14" s="2">
        <f t="shared" si="5"/>
        <v>0</v>
      </c>
      <c r="F14" s="2">
        <f t="shared" si="5"/>
        <v>104</v>
      </c>
      <c r="G14" s="2">
        <f t="shared" si="5"/>
        <v>110</v>
      </c>
      <c r="H14" s="2">
        <f t="shared" si="5"/>
        <v>98</v>
      </c>
    </row>
    <row r="15" spans="1:8">
      <c r="A15" s="9"/>
      <c r="B15" s="10"/>
      <c r="C15" s="10"/>
      <c r="D15" s="10"/>
      <c r="E15" s="10"/>
      <c r="F15" s="10"/>
      <c r="G15" s="10"/>
      <c r="H15" s="10"/>
    </row>
    <row r="16" spans="1:8">
      <c r="A16" s="13" t="s">
        <v>21</v>
      </c>
      <c r="B16" s="1">
        <f>COUNTA(B4:B13)</f>
        <v>10</v>
      </c>
    </row>
    <row r="17" spans="1:9">
      <c r="A17" s="13" t="s">
        <v>14</v>
      </c>
      <c r="B17" s="1">
        <f>B14/B16</f>
        <v>150</v>
      </c>
    </row>
    <row r="18" spans="1:9">
      <c r="A18" s="13" t="s">
        <v>15</v>
      </c>
      <c r="B18" s="1">
        <f>C14/B16</f>
        <v>50</v>
      </c>
    </row>
    <row r="19" spans="1:9">
      <c r="A19" s="13" t="s">
        <v>20</v>
      </c>
      <c r="B19" s="1">
        <f>F14/B16</f>
        <v>10.4</v>
      </c>
      <c r="C19" s="12" t="s">
        <v>22</v>
      </c>
      <c r="D19" s="1">
        <f>B19^(1/2)</f>
        <v>3.2249030993194201</v>
      </c>
    </row>
    <row r="20" spans="1:9">
      <c r="A20" s="13" t="s">
        <v>23</v>
      </c>
      <c r="B20" s="1">
        <f>G14/B16</f>
        <v>11</v>
      </c>
      <c r="C20" s="12" t="s">
        <v>24</v>
      </c>
      <c r="D20" s="1">
        <f>B20^(1/2)</f>
        <v>3.3166247903553998</v>
      </c>
    </row>
    <row r="21" spans="1:9">
      <c r="A21" s="13" t="s">
        <v>25</v>
      </c>
      <c r="B21" s="1">
        <f>H14/B16</f>
        <v>9.8000000000000007</v>
      </c>
    </row>
    <row r="24" spans="1:9">
      <c r="A24" t="s">
        <v>27</v>
      </c>
    </row>
    <row r="26" spans="1:9">
      <c r="A26" s="11" t="s">
        <v>28</v>
      </c>
      <c r="B26" s="11" t="s">
        <v>34</v>
      </c>
      <c r="C26" s="11" t="s">
        <v>35</v>
      </c>
      <c r="E26" s="11" t="s">
        <v>39</v>
      </c>
      <c r="F26" s="11" t="s">
        <v>40</v>
      </c>
      <c r="G26" s="11" t="s">
        <v>41</v>
      </c>
      <c r="H26" s="11" t="s">
        <v>42</v>
      </c>
      <c r="I26" s="11" t="s">
        <v>43</v>
      </c>
    </row>
    <row r="27" spans="1:9">
      <c r="A27" s="1" t="s">
        <v>29</v>
      </c>
      <c r="B27" s="1">
        <v>1</v>
      </c>
      <c r="C27" s="1">
        <v>10</v>
      </c>
      <c r="E27" s="1">
        <f>B27-$B$34</f>
        <v>-2</v>
      </c>
      <c r="F27" s="1">
        <f>C27-$B$35</f>
        <v>0</v>
      </c>
      <c r="G27" s="1">
        <f t="shared" ref="G27:H31" si="6">E27^2</f>
        <v>4</v>
      </c>
      <c r="H27" s="1">
        <f t="shared" si="6"/>
        <v>0</v>
      </c>
      <c r="I27" s="1">
        <f>E27*F27</f>
        <v>0</v>
      </c>
    </row>
    <row r="28" spans="1:9">
      <c r="A28" s="1" t="s">
        <v>30</v>
      </c>
      <c r="B28" s="1">
        <v>2</v>
      </c>
      <c r="C28" s="1">
        <v>0</v>
      </c>
      <c r="E28" s="1">
        <f>B28-$B$34</f>
        <v>-1</v>
      </c>
      <c r="F28" s="1">
        <f>C28-$B$35</f>
        <v>-10</v>
      </c>
      <c r="G28" s="1">
        <f t="shared" si="6"/>
        <v>1</v>
      </c>
      <c r="H28" s="1">
        <f t="shared" si="6"/>
        <v>100</v>
      </c>
      <c r="I28" s="1">
        <f>E28*F28</f>
        <v>10</v>
      </c>
    </row>
    <row r="29" spans="1:9">
      <c r="A29" s="1" t="s">
        <v>31</v>
      </c>
      <c r="B29" s="1">
        <v>5</v>
      </c>
      <c r="C29" s="1">
        <v>20</v>
      </c>
      <c r="E29" s="1">
        <f>B29-$B$34</f>
        <v>2</v>
      </c>
      <c r="F29" s="1">
        <f>C29-$B$35</f>
        <v>10</v>
      </c>
      <c r="G29" s="1">
        <f t="shared" si="6"/>
        <v>4</v>
      </c>
      <c r="H29" s="1">
        <f t="shared" si="6"/>
        <v>100</v>
      </c>
      <c r="I29" s="1">
        <f>E29*F29</f>
        <v>20</v>
      </c>
    </row>
    <row r="30" spans="1:9">
      <c r="A30" s="1" t="s">
        <v>32</v>
      </c>
      <c r="B30" s="1">
        <v>7</v>
      </c>
      <c r="C30" s="1">
        <v>20</v>
      </c>
      <c r="E30" s="1">
        <f>B30-$B$34</f>
        <v>4</v>
      </c>
      <c r="F30" s="1">
        <f>C30-$B$35</f>
        <v>10</v>
      </c>
      <c r="G30" s="1">
        <f t="shared" si="6"/>
        <v>16</v>
      </c>
      <c r="H30" s="1">
        <f t="shared" si="6"/>
        <v>100</v>
      </c>
      <c r="I30" s="1">
        <f>E30*F30</f>
        <v>40</v>
      </c>
    </row>
    <row r="31" spans="1:9">
      <c r="A31" s="1" t="s">
        <v>33</v>
      </c>
      <c r="B31" s="1">
        <v>0</v>
      </c>
      <c r="C31" s="1">
        <v>0</v>
      </c>
      <c r="E31" s="1">
        <f>B31-$B$34</f>
        <v>-3</v>
      </c>
      <c r="F31" s="1">
        <f>C31-$B$35</f>
        <v>-10</v>
      </c>
      <c r="G31" s="1">
        <f t="shared" si="6"/>
        <v>9</v>
      </c>
      <c r="H31" s="1">
        <f t="shared" si="6"/>
        <v>100</v>
      </c>
      <c r="I31" s="1">
        <f>E31*F31</f>
        <v>30</v>
      </c>
    </row>
    <row r="32" spans="1:9">
      <c r="E32" s="1">
        <f>SUM(E27:E31)</f>
        <v>0</v>
      </c>
      <c r="F32" s="1">
        <f>SUM(F27:F31)</f>
        <v>0</v>
      </c>
      <c r="G32" s="16">
        <f>SUM(G27:G31)</f>
        <v>34</v>
      </c>
      <c r="H32" s="16">
        <f>SUM(H27:H31)</f>
        <v>400</v>
      </c>
      <c r="I32" s="16">
        <f>SUM(I27:I31)</f>
        <v>100</v>
      </c>
    </row>
    <row r="33" spans="1:13">
      <c r="A33" s="12" t="s">
        <v>36</v>
      </c>
      <c r="B33" s="1">
        <f>COUNTA(A27:A31)</f>
        <v>5</v>
      </c>
    </row>
    <row r="34" spans="1:13">
      <c r="A34" s="12" t="s">
        <v>37</v>
      </c>
      <c r="B34" s="1">
        <f>SUM(B27:B31)/B33</f>
        <v>3</v>
      </c>
      <c r="E34" s="12" t="s">
        <v>44</v>
      </c>
      <c r="F34" s="1">
        <f>I32/((G32*H32)^(1/2))</f>
        <v>0.85749292571254421</v>
      </c>
    </row>
    <row r="35" spans="1:13">
      <c r="A35" s="12" t="s">
        <v>38</v>
      </c>
      <c r="B35" s="1">
        <f>SUM(C27:C31)/B33</f>
        <v>10</v>
      </c>
    </row>
    <row r="37" spans="1:13">
      <c r="A37" s="12" t="s">
        <v>44</v>
      </c>
      <c r="B37" s="1">
        <f>CORREL(B27:B31,C27:C31)</f>
        <v>0.8574929257125441</v>
      </c>
    </row>
    <row r="40" spans="1:13">
      <c r="B40" t="s">
        <v>60</v>
      </c>
      <c r="C40" t="s">
        <v>59</v>
      </c>
    </row>
    <row r="41" spans="1:13">
      <c r="A41" s="12" t="s">
        <v>45</v>
      </c>
      <c r="B41" s="12" t="s">
        <v>46</v>
      </c>
      <c r="C41" s="12" t="s">
        <v>47</v>
      </c>
      <c r="E41" s="11" t="s">
        <v>39</v>
      </c>
      <c r="F41" s="11" t="s">
        <v>40</v>
      </c>
      <c r="G41" s="11" t="s">
        <v>41</v>
      </c>
      <c r="H41" s="11" t="s">
        <v>42</v>
      </c>
      <c r="I41" s="11" t="s">
        <v>43</v>
      </c>
      <c r="K41" s="14" t="s">
        <v>61</v>
      </c>
      <c r="L41" s="14" t="s">
        <v>62</v>
      </c>
      <c r="M41" s="14" t="s">
        <v>63</v>
      </c>
    </row>
    <row r="42" spans="1:13">
      <c r="A42" s="1" t="s">
        <v>48</v>
      </c>
      <c r="B42" s="1">
        <v>3</v>
      </c>
      <c r="C42" s="1">
        <v>1</v>
      </c>
      <c r="E42" s="1">
        <f>B42-$B$49</f>
        <v>-1</v>
      </c>
      <c r="F42" s="1">
        <f>C42-$B$50</f>
        <v>-2</v>
      </c>
      <c r="G42" s="1">
        <f t="shared" ref="G42:H46" si="7">E42^2</f>
        <v>1</v>
      </c>
      <c r="H42" s="1">
        <f t="shared" si="7"/>
        <v>4</v>
      </c>
      <c r="I42" s="1">
        <f>E42*F42</f>
        <v>2</v>
      </c>
      <c r="K42">
        <f>C42*$F$49+$F$50</f>
        <v>2.8000000000000003</v>
      </c>
      <c r="L42" s="19">
        <f>B42-K42</f>
        <v>0.19999999999999973</v>
      </c>
      <c r="M42">
        <f>L42^2</f>
        <v>3.9999999999999897E-2</v>
      </c>
    </row>
    <row r="43" spans="1:13">
      <c r="A43" s="1" t="s">
        <v>49</v>
      </c>
      <c r="B43" s="1">
        <v>3</v>
      </c>
      <c r="C43" s="1">
        <v>2</v>
      </c>
      <c r="E43" s="1">
        <f>B43-$B$49</f>
        <v>-1</v>
      </c>
      <c r="F43" s="1">
        <f>C43-$B$50</f>
        <v>-1</v>
      </c>
      <c r="G43" s="1">
        <f t="shared" si="7"/>
        <v>1</v>
      </c>
      <c r="H43" s="1">
        <f t="shared" si="7"/>
        <v>1</v>
      </c>
      <c r="I43" s="1">
        <f>E43*F43</f>
        <v>1</v>
      </c>
      <c r="K43">
        <f>C43*$F$49+$F$50</f>
        <v>3.4000000000000004</v>
      </c>
      <c r="L43" s="19">
        <f>B43-K43</f>
        <v>-0.40000000000000036</v>
      </c>
      <c r="M43">
        <f>L43^2</f>
        <v>0.16000000000000028</v>
      </c>
    </row>
    <row r="44" spans="1:13">
      <c r="A44" s="1" t="s">
        <v>50</v>
      </c>
      <c r="B44" s="1">
        <v>4</v>
      </c>
      <c r="C44" s="1">
        <v>3</v>
      </c>
      <c r="E44" s="1">
        <f>B44-$B$49</f>
        <v>0</v>
      </c>
      <c r="F44" s="1">
        <f>C44-$B$50</f>
        <v>0</v>
      </c>
      <c r="G44" s="1">
        <f t="shared" si="7"/>
        <v>0</v>
      </c>
      <c r="H44" s="1">
        <f t="shared" si="7"/>
        <v>0</v>
      </c>
      <c r="I44" s="1">
        <f>E44*F44</f>
        <v>0</v>
      </c>
      <c r="K44">
        <f>C44*$F$49+$F$50</f>
        <v>4</v>
      </c>
      <c r="L44" s="19">
        <f>B44-K44</f>
        <v>0</v>
      </c>
      <c r="M44">
        <f>L44^2</f>
        <v>0</v>
      </c>
    </row>
    <row r="45" spans="1:13">
      <c r="A45" s="1" t="s">
        <v>51</v>
      </c>
      <c r="B45" s="1">
        <v>5</v>
      </c>
      <c r="C45" s="1">
        <v>4</v>
      </c>
      <c r="E45" s="1">
        <f>B45-$B$49</f>
        <v>1</v>
      </c>
      <c r="F45" s="1">
        <f>C45-$B$50</f>
        <v>1</v>
      </c>
      <c r="G45" s="1">
        <f t="shared" si="7"/>
        <v>1</v>
      </c>
      <c r="H45" s="1">
        <f t="shared" si="7"/>
        <v>1</v>
      </c>
      <c r="I45" s="1">
        <f>E45*F45</f>
        <v>1</v>
      </c>
      <c r="K45">
        <f>C45*$F$49+$F$50</f>
        <v>4.5999999999999996</v>
      </c>
      <c r="L45" s="19">
        <f>B45-K45</f>
        <v>0.40000000000000036</v>
      </c>
      <c r="M45">
        <f>L45^2</f>
        <v>0.16000000000000028</v>
      </c>
    </row>
    <row r="46" spans="1:13">
      <c r="A46" s="1" t="s">
        <v>52</v>
      </c>
      <c r="B46" s="1">
        <v>5</v>
      </c>
      <c r="C46" s="1">
        <v>5</v>
      </c>
      <c r="E46" s="1">
        <f>B46-$B$49</f>
        <v>1</v>
      </c>
      <c r="F46" s="1">
        <f>C46-$B$50</f>
        <v>2</v>
      </c>
      <c r="G46" s="1">
        <f t="shared" si="7"/>
        <v>1</v>
      </c>
      <c r="H46" s="1">
        <f t="shared" si="7"/>
        <v>4</v>
      </c>
      <c r="I46" s="1">
        <f>E46*F46</f>
        <v>2</v>
      </c>
      <c r="K46">
        <f>C46*$F$49+$F$50</f>
        <v>5.2</v>
      </c>
      <c r="L46" s="19">
        <f>B46-K46</f>
        <v>-0.20000000000000018</v>
      </c>
      <c r="M46">
        <f>L46^2</f>
        <v>4.000000000000007E-2</v>
      </c>
    </row>
    <row r="47" spans="1:13">
      <c r="E47" s="1">
        <f>SUM(E42:E46)</f>
        <v>0</v>
      </c>
      <c r="F47" s="1">
        <f>SUM(F42:F46)</f>
        <v>0</v>
      </c>
      <c r="G47" s="16">
        <f>SUM(G42:G46)</f>
        <v>4</v>
      </c>
      <c r="H47" s="16">
        <f>SUM(H42:H46)</f>
        <v>10</v>
      </c>
      <c r="I47" s="16">
        <f>SUM(I42:I46)</f>
        <v>6</v>
      </c>
      <c r="K47" s="17">
        <f>SUM(K42:K46)</f>
        <v>20</v>
      </c>
      <c r="L47" s="17">
        <f>SUM(L42:L46)</f>
        <v>-4.4408920985006262E-16</v>
      </c>
      <c r="M47">
        <f>SUM(M42:M46)</f>
        <v>0.40000000000000052</v>
      </c>
    </row>
    <row r="48" spans="1:13">
      <c r="A48" s="12" t="s">
        <v>36</v>
      </c>
      <c r="B48" s="1">
        <f>COUNTA(B42:B46)</f>
        <v>5</v>
      </c>
    </row>
    <row r="49" spans="1:6">
      <c r="A49" s="12" t="s">
        <v>53</v>
      </c>
      <c r="B49" s="1">
        <f>SUM(B42:B46)/B48</f>
        <v>4</v>
      </c>
      <c r="E49" s="12" t="s">
        <v>55</v>
      </c>
      <c r="F49" s="18">
        <f>I47/H47</f>
        <v>0.6</v>
      </c>
    </row>
    <row r="50" spans="1:6">
      <c r="A50" s="12" t="s">
        <v>54</v>
      </c>
      <c r="B50" s="1">
        <f>SUM(C42:C46)/B48</f>
        <v>3</v>
      </c>
      <c r="E50" s="12" t="s">
        <v>56</v>
      </c>
      <c r="F50" s="1">
        <f>B49-F49*B50</f>
        <v>2.2000000000000002</v>
      </c>
    </row>
    <row r="51" spans="1:6">
      <c r="E51" s="12" t="s">
        <v>58</v>
      </c>
      <c r="F51" s="1">
        <f>1-(M47/G47)</f>
        <v>0.89999999999999991</v>
      </c>
    </row>
    <row r="52" spans="1:6">
      <c r="A52" s="15" t="s">
        <v>55</v>
      </c>
      <c r="B52">
        <f>SLOPE(B42:B46,C42:C46)</f>
        <v>0.6</v>
      </c>
    </row>
    <row r="53" spans="1:6">
      <c r="A53" s="15" t="s">
        <v>57</v>
      </c>
      <c r="B53">
        <f>INTERCEPT(B42:B46,C42:C46)</f>
        <v>2.2000000000000002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zoomScaleNormal="100" zoomScalePageLayoutView="150" workbookViewId="0">
      <selection activeCell="B27" sqref="B27"/>
    </sheetView>
  </sheetViews>
  <sheetFormatPr defaultColWidth="13.33203125" defaultRowHeight="11.25"/>
  <cols>
    <col min="1" max="1" width="10.1640625" bestFit="1" customWidth="1"/>
    <col min="2" max="2" width="13" bestFit="1" customWidth="1"/>
  </cols>
  <sheetData>
    <row r="1" spans="1:4">
      <c r="A1" s="12" t="s">
        <v>64</v>
      </c>
      <c r="B1" s="12" t="s">
        <v>65</v>
      </c>
    </row>
    <row r="2" spans="1:4">
      <c r="A2" s="1">
        <v>0</v>
      </c>
      <c r="B2" s="1">
        <f>BINOMDIST(A2,3,0.5,0)</f>
        <v>0.12500000000000003</v>
      </c>
    </row>
    <row r="3" spans="1:4">
      <c r="A3" s="1">
        <v>1</v>
      </c>
      <c r="B3" s="1">
        <f>BINOMDIST(A3,3,0.5,0)</f>
        <v>0.375</v>
      </c>
    </row>
    <row r="4" spans="1:4">
      <c r="A4" s="1">
        <v>2</v>
      </c>
      <c r="B4" s="1">
        <f>BINOMDIST(A4,3,0.5,0)</f>
        <v>0.375</v>
      </c>
    </row>
    <row r="5" spans="1:4">
      <c r="A5" s="1">
        <v>3</v>
      </c>
      <c r="B5" s="1">
        <f>BINOMDIST(A5,3,0.5,0)</f>
        <v>0.12500000000000003</v>
      </c>
    </row>
    <row r="8" spans="1:4">
      <c r="A8" t="s">
        <v>66</v>
      </c>
    </row>
    <row r="10" spans="1:4">
      <c r="A10" s="12" t="s">
        <v>64</v>
      </c>
      <c r="B10" s="12" t="s">
        <v>67</v>
      </c>
    </row>
    <row r="11" spans="1:4">
      <c r="A11" s="1">
        <v>0</v>
      </c>
      <c r="B11" s="20">
        <f>_xlfn.BINOM.DIST(A11,20,0.1667,0)</f>
        <v>2.6063193989594613E-2</v>
      </c>
      <c r="D11" t="s">
        <v>68</v>
      </c>
    </row>
    <row r="12" spans="1:4">
      <c r="A12" s="1">
        <v>1</v>
      </c>
      <c r="B12" s="20">
        <f t="shared" ref="B12:B31" si="0">_xlfn.BINOM.DIST(A12,20,0.1667,0)</f>
        <v>0.10427779762547511</v>
      </c>
      <c r="D12" s="22">
        <f>SUM(B15:B31)</f>
        <v>0.43361612185016518</v>
      </c>
    </row>
    <row r="13" spans="1:4">
      <c r="A13" s="1">
        <v>2</v>
      </c>
      <c r="B13" s="20">
        <f t="shared" si="0"/>
        <v>0.19817536806622296</v>
      </c>
    </row>
    <row r="14" spans="1:4">
      <c r="A14" s="1">
        <v>3</v>
      </c>
      <c r="B14" s="20">
        <f t="shared" si="0"/>
        <v>0.23786751846854212</v>
      </c>
    </row>
    <row r="15" spans="1:4">
      <c r="A15" s="1">
        <v>4</v>
      </c>
      <c r="B15" s="20">
        <f t="shared" si="0"/>
        <v>0.202235917613105</v>
      </c>
    </row>
    <row r="16" spans="1:4">
      <c r="A16" s="1">
        <v>5</v>
      </c>
      <c r="B16" s="20">
        <f t="shared" si="0"/>
        <v>0.12946205195191973</v>
      </c>
    </row>
    <row r="17" spans="1:2">
      <c r="A17" s="1">
        <v>6</v>
      </c>
      <c r="B17" s="20">
        <f t="shared" si="0"/>
        <v>6.474656204363681E-2</v>
      </c>
    </row>
    <row r="18" spans="1:2">
      <c r="A18" s="1">
        <v>7</v>
      </c>
      <c r="B18" s="20">
        <f t="shared" si="0"/>
        <v>2.5904840736047666E-2</v>
      </c>
    </row>
    <row r="19" spans="1:2">
      <c r="A19" s="1">
        <v>8</v>
      </c>
      <c r="B19" s="20">
        <f t="shared" si="0"/>
        <v>8.4210938976192282E-3</v>
      </c>
    </row>
    <row r="20" spans="1:2">
      <c r="A20" s="1">
        <v>9</v>
      </c>
      <c r="B20" s="20">
        <f t="shared" si="0"/>
        <v>2.2461640109334396E-3</v>
      </c>
    </row>
    <row r="21" spans="1:2">
      <c r="A21" s="1">
        <v>10</v>
      </c>
      <c r="B21" s="20">
        <f t="shared" si="0"/>
        <v>4.942746846092218E-4</v>
      </c>
    </row>
    <row r="22" spans="1:2">
      <c r="A22" s="1">
        <v>11</v>
      </c>
      <c r="B22" s="20">
        <f t="shared" si="0"/>
        <v>8.9889693687046437E-5</v>
      </c>
    </row>
    <row r="23" spans="1:2">
      <c r="A23" s="1">
        <v>12</v>
      </c>
      <c r="B23" s="20">
        <f t="shared" si="0"/>
        <v>1.3486690211475984E-5</v>
      </c>
    </row>
    <row r="24" spans="1:2">
      <c r="A24" s="1">
        <v>13</v>
      </c>
      <c r="B24" s="20">
        <f t="shared" si="0"/>
        <v>1.6602987257358956E-6</v>
      </c>
    </row>
    <row r="25" spans="1:2">
      <c r="A25" s="1">
        <v>14</v>
      </c>
      <c r="B25" s="20">
        <f t="shared" si="0"/>
        <v>1.6606972133695831E-7</v>
      </c>
    </row>
    <row r="26" spans="1:2">
      <c r="A26" s="1">
        <v>15</v>
      </c>
      <c r="B26" s="20">
        <f t="shared" si="0"/>
        <v>1.3288766373152932E-8</v>
      </c>
    </row>
    <row r="27" spans="1:2">
      <c r="A27" s="1">
        <v>16</v>
      </c>
      <c r="B27" s="20">
        <f t="shared" si="0"/>
        <v>8.3074723779123592E-10</v>
      </c>
    </row>
    <row r="28" spans="1:2">
      <c r="A28" s="1">
        <v>17</v>
      </c>
      <c r="B28" s="20">
        <f t="shared" si="0"/>
        <v>3.9103370593119977E-11</v>
      </c>
    </row>
    <row r="29" spans="1:2">
      <c r="A29" s="1">
        <v>18</v>
      </c>
      <c r="B29" s="20">
        <f t="shared" si="0"/>
        <v>1.3037585259156508E-12</v>
      </c>
    </row>
    <row r="30" spans="1:2">
      <c r="A30" s="1">
        <v>19</v>
      </c>
      <c r="B30" s="20">
        <f t="shared" si="0"/>
        <v>2.7454135589020075E-14</v>
      </c>
    </row>
    <row r="31" spans="1:2">
      <c r="A31" s="1">
        <v>20</v>
      </c>
      <c r="B31" s="20">
        <f t="shared" si="0"/>
        <v>2.7460724845131709E-16</v>
      </c>
    </row>
    <row r="34" spans="1:4">
      <c r="A34" t="s">
        <v>69</v>
      </c>
    </row>
    <row r="36" spans="1:4">
      <c r="A36" s="12" t="s">
        <v>70</v>
      </c>
      <c r="B36" s="12" t="s">
        <v>71</v>
      </c>
      <c r="D36" t="s">
        <v>72</v>
      </c>
    </row>
    <row r="37" spans="1:4">
      <c r="A37" s="1">
        <v>0</v>
      </c>
      <c r="B37" s="1">
        <f t="shared" ref="B37:B42" si="1">_xlfn.BINOM.DIST(A37,5,0.6,0)</f>
        <v>1.0240000000000008E-2</v>
      </c>
      <c r="D37" s="21">
        <f>SUM(B37:B39)</f>
        <v>0.31744</v>
      </c>
    </row>
    <row r="38" spans="1:4">
      <c r="A38" s="1">
        <v>1</v>
      </c>
      <c r="B38" s="1">
        <f t="shared" si="1"/>
        <v>7.6800000000000007E-2</v>
      </c>
    </row>
    <row r="39" spans="1:4">
      <c r="A39" s="1">
        <v>2</v>
      </c>
      <c r="B39" s="1">
        <f t="shared" si="1"/>
        <v>0.23039999999999999</v>
      </c>
    </row>
    <row r="40" spans="1:4">
      <c r="A40" s="1">
        <v>3</v>
      </c>
      <c r="B40" s="1">
        <f t="shared" si="1"/>
        <v>0.34559999999999996</v>
      </c>
    </row>
    <row r="41" spans="1:4">
      <c r="A41" s="1">
        <v>4</v>
      </c>
      <c r="B41" s="1">
        <f t="shared" si="1"/>
        <v>0.25919999999999999</v>
      </c>
    </row>
    <row r="42" spans="1:4">
      <c r="A42" s="1">
        <v>5</v>
      </c>
      <c r="B42" s="1">
        <f t="shared" si="1"/>
        <v>7.7759999999999996E-2</v>
      </c>
    </row>
    <row r="45" spans="1:4">
      <c r="A45" t="s">
        <v>73</v>
      </c>
    </row>
    <row r="47" spans="1:4">
      <c r="A47" s="12" t="s">
        <v>74</v>
      </c>
      <c r="B47" s="12" t="s">
        <v>75</v>
      </c>
    </row>
    <row r="48" spans="1:4">
      <c r="A48" s="1">
        <v>0</v>
      </c>
      <c r="B48" s="23">
        <f>_xlfn.POISSON.DIST(A48,1.2,0)</f>
        <v>0.30119421191220214</v>
      </c>
    </row>
    <row r="49" spans="1:2">
      <c r="A49" s="1">
        <v>1</v>
      </c>
      <c r="B49" s="23">
        <f t="shared" ref="B49:B56" si="2">_xlfn.POISSON.DIST(A49,1.2,0)</f>
        <v>0.36143305429464251</v>
      </c>
    </row>
    <row r="50" spans="1:2">
      <c r="A50" s="1">
        <v>2</v>
      </c>
      <c r="B50" s="23">
        <f t="shared" si="2"/>
        <v>0.21685983257678554</v>
      </c>
    </row>
    <row r="51" spans="1:2">
      <c r="A51" s="1">
        <v>3</v>
      </c>
      <c r="B51" s="23">
        <f t="shared" si="2"/>
        <v>8.6743933030714204E-2</v>
      </c>
    </row>
    <row r="52" spans="1:2">
      <c r="A52" s="1">
        <v>4</v>
      </c>
      <c r="B52" s="23">
        <f t="shared" si="2"/>
        <v>2.6023179909214253E-2</v>
      </c>
    </row>
    <row r="53" spans="1:2">
      <c r="A53" s="1">
        <v>5</v>
      </c>
      <c r="B53" s="23">
        <f t="shared" si="2"/>
        <v>6.2455631782114196E-3</v>
      </c>
    </row>
    <row r="54" spans="1:2">
      <c r="A54" s="1">
        <v>6</v>
      </c>
      <c r="B54" s="23">
        <f t="shared" si="2"/>
        <v>1.249112635642285E-3</v>
      </c>
    </row>
    <row r="55" spans="1:2">
      <c r="A55" s="1">
        <v>7</v>
      </c>
      <c r="B55" s="23">
        <f t="shared" si="2"/>
        <v>2.1413359468153433E-4</v>
      </c>
    </row>
    <row r="56" spans="1:2">
      <c r="A56" s="1">
        <v>8</v>
      </c>
      <c r="B56" s="23">
        <f t="shared" si="2"/>
        <v>3.2120039202230205E-5</v>
      </c>
    </row>
    <row r="66" spans="1:3">
      <c r="A66" t="s">
        <v>76</v>
      </c>
    </row>
    <row r="68" spans="1:3">
      <c r="A68" t="s">
        <v>77</v>
      </c>
      <c r="B68" t="s">
        <v>78</v>
      </c>
      <c r="C68" t="s">
        <v>79</v>
      </c>
    </row>
    <row r="69" spans="1:3">
      <c r="A69">
        <v>0</v>
      </c>
      <c r="B69" s="24">
        <f>_xlfn.NORM.DIST(A69,65,12,1)</f>
        <v>3.0360194822220021E-8</v>
      </c>
      <c r="C69" s="24">
        <f>B69</f>
        <v>3.0360194822220021E-8</v>
      </c>
    </row>
    <row r="70" spans="1:3">
      <c r="A70">
        <v>10</v>
      </c>
      <c r="B70" s="24">
        <f t="shared" ref="B70:B79" si="3">_xlfn.NORM.DIST(A70,65,12,1)</f>
        <v>2.2881082869581213E-6</v>
      </c>
      <c r="C70" s="24">
        <f>B70-B69</f>
        <v>2.2577480921359013E-6</v>
      </c>
    </row>
    <row r="71" spans="1:3">
      <c r="A71">
        <v>20</v>
      </c>
      <c r="B71" s="24">
        <f t="shared" si="3"/>
        <v>8.841728520080376E-5</v>
      </c>
      <c r="C71" s="24">
        <f t="shared" ref="C71:C79" si="4">B71-B70</f>
        <v>8.6129176913845635E-5</v>
      </c>
    </row>
    <row r="72" spans="1:3">
      <c r="A72">
        <v>30</v>
      </c>
      <c r="B72" s="24">
        <f t="shared" si="3"/>
        <v>1.7689682391110516E-3</v>
      </c>
      <c r="C72" s="24">
        <f t="shared" si="4"/>
        <v>1.6805509539102479E-3</v>
      </c>
    </row>
    <row r="73" spans="1:3">
      <c r="A73">
        <v>40</v>
      </c>
      <c r="B73" s="24">
        <f t="shared" si="3"/>
        <v>1.8610425189886329E-2</v>
      </c>
      <c r="C73" s="24">
        <f t="shared" si="4"/>
        <v>1.6841456950775276E-2</v>
      </c>
    </row>
    <row r="74" spans="1:3">
      <c r="A74">
        <v>50</v>
      </c>
      <c r="B74" s="24">
        <f t="shared" si="3"/>
        <v>0.10564977366685525</v>
      </c>
      <c r="C74" s="24">
        <f t="shared" si="4"/>
        <v>8.7039348476968925E-2</v>
      </c>
    </row>
    <row r="75" spans="1:3">
      <c r="A75">
        <v>60</v>
      </c>
      <c r="B75" s="24">
        <f t="shared" si="3"/>
        <v>0.33846111951068963</v>
      </c>
      <c r="C75" s="24">
        <f t="shared" si="4"/>
        <v>0.23281134584383439</v>
      </c>
    </row>
    <row r="76" spans="1:3">
      <c r="A76">
        <v>70</v>
      </c>
      <c r="B76" s="24">
        <f t="shared" si="3"/>
        <v>0.66153888048931031</v>
      </c>
      <c r="C76" s="24">
        <f t="shared" si="4"/>
        <v>0.32307776097862068</v>
      </c>
    </row>
    <row r="77" spans="1:3">
      <c r="A77">
        <v>80</v>
      </c>
      <c r="B77" s="24">
        <f t="shared" si="3"/>
        <v>0.89435022633314476</v>
      </c>
      <c r="C77" s="24">
        <f t="shared" si="4"/>
        <v>0.23281134584383445</v>
      </c>
    </row>
    <row r="78" spans="1:3">
      <c r="A78">
        <v>90</v>
      </c>
      <c r="B78" s="24">
        <f t="shared" si="3"/>
        <v>0.98138957481011369</v>
      </c>
      <c r="C78" s="24">
        <f t="shared" si="4"/>
        <v>8.7039348476968925E-2</v>
      </c>
    </row>
    <row r="79" spans="1:3">
      <c r="A79">
        <v>100</v>
      </c>
      <c r="B79" s="24">
        <f t="shared" si="3"/>
        <v>0.9982310317608889</v>
      </c>
      <c r="C79" s="24">
        <f t="shared" si="4"/>
        <v>1.6841456950775213E-2</v>
      </c>
    </row>
    <row r="85" spans="1:3">
      <c r="A85" t="s">
        <v>80</v>
      </c>
      <c r="B85">
        <f>300*(B76-B74)</f>
        <v>166.76673204673651</v>
      </c>
    </row>
    <row r="86" spans="1:3">
      <c r="A86" t="s">
        <v>81</v>
      </c>
      <c r="B86">
        <f>300*(1-B77)</f>
        <v>31.694932100056572</v>
      </c>
    </row>
    <row r="87" spans="1:3">
      <c r="A87" t="s">
        <v>82</v>
      </c>
    </row>
    <row r="88" spans="1:3">
      <c r="A88" t="s">
        <v>83</v>
      </c>
      <c r="C88">
        <f>1-50/300</f>
        <v>0.83333333333333337</v>
      </c>
    </row>
    <row r="89" spans="1:3">
      <c r="B89">
        <f>_xlfn.NORM.INV(C88,65,12)</f>
        <v>76.609058793220413</v>
      </c>
    </row>
    <row r="93" spans="1:3">
      <c r="A93" t="s">
        <v>84</v>
      </c>
    </row>
    <row r="95" spans="1:3">
      <c r="A95" t="s">
        <v>85</v>
      </c>
    </row>
    <row r="96" spans="1:3">
      <c r="A96" t="s">
        <v>86</v>
      </c>
      <c r="B96">
        <v>4</v>
      </c>
    </row>
    <row r="97" spans="1:3">
      <c r="A97" t="s">
        <v>87</v>
      </c>
      <c r="B97">
        <v>1.5</v>
      </c>
    </row>
    <row r="99" spans="1:3">
      <c r="A99" t="s">
        <v>88</v>
      </c>
      <c r="B99">
        <f>B96+3*B97</f>
        <v>8.5</v>
      </c>
    </row>
    <row r="100" spans="1:3">
      <c r="A100" t="s">
        <v>89</v>
      </c>
      <c r="B100">
        <f>B96-(3*B97)</f>
        <v>-0.5</v>
      </c>
    </row>
    <row r="102" spans="1:3">
      <c r="A102" s="11" t="s">
        <v>90</v>
      </c>
      <c r="B102" s="11" t="s">
        <v>91</v>
      </c>
      <c r="C102" s="11"/>
    </row>
    <row r="103" spans="1:3">
      <c r="A103" s="1">
        <v>-0.5</v>
      </c>
      <c r="B103" s="1">
        <f>_xlfn.NORM.DIST(A103,$B$96,$B$97,1)</f>
        <v>1.3498980316300933E-3</v>
      </c>
      <c r="C103" s="1">
        <f>B103</f>
        <v>1.3498980316300933E-3</v>
      </c>
    </row>
    <row r="104" spans="1:3">
      <c r="A104" s="1">
        <v>0</v>
      </c>
      <c r="B104" s="1">
        <f t="shared" ref="B104:B121" si="5">_xlfn.NORM.DIST(A104,$B$96,$B$97,1)</f>
        <v>3.8303805675897356E-3</v>
      </c>
      <c r="C104" s="1">
        <f>B104-B103</f>
        <v>2.4804825359596421E-3</v>
      </c>
    </row>
    <row r="105" spans="1:3">
      <c r="A105" s="1">
        <v>0.5</v>
      </c>
      <c r="B105" s="1">
        <f t="shared" si="5"/>
        <v>9.8153286286453353E-3</v>
      </c>
      <c r="C105" s="1">
        <f t="shared" ref="C105:C121" si="6">B105-B104</f>
        <v>5.9849480610556002E-3</v>
      </c>
    </row>
    <row r="106" spans="1:3">
      <c r="A106" s="1">
        <v>1</v>
      </c>
      <c r="B106" s="1">
        <f t="shared" si="5"/>
        <v>2.2750131948179191E-2</v>
      </c>
      <c r="C106" s="1">
        <f t="shared" si="6"/>
        <v>1.2934803319533856E-2</v>
      </c>
    </row>
    <row r="107" spans="1:3">
      <c r="A107" s="1">
        <v>1.5</v>
      </c>
      <c r="B107" s="1">
        <f t="shared" si="5"/>
        <v>4.7790352272814703E-2</v>
      </c>
      <c r="C107" s="1">
        <f t="shared" si="6"/>
        <v>2.5040220324635511E-2</v>
      </c>
    </row>
    <row r="108" spans="1:3">
      <c r="A108" s="1">
        <v>2</v>
      </c>
      <c r="B108" s="1">
        <f t="shared" si="5"/>
        <v>9.1211219725867876E-2</v>
      </c>
      <c r="C108" s="1">
        <f t="shared" si="6"/>
        <v>4.3420867453053173E-2</v>
      </c>
    </row>
    <row r="109" spans="1:3">
      <c r="A109" s="1">
        <v>2.5</v>
      </c>
      <c r="B109" s="1">
        <f t="shared" si="5"/>
        <v>0.15865525393145699</v>
      </c>
      <c r="C109" s="1">
        <f t="shared" si="6"/>
        <v>6.7444034205589115E-2</v>
      </c>
    </row>
    <row r="110" spans="1:3">
      <c r="A110" s="1">
        <v>3</v>
      </c>
      <c r="B110" s="1">
        <f t="shared" si="5"/>
        <v>0.25249253754692291</v>
      </c>
      <c r="C110" s="1">
        <f t="shared" si="6"/>
        <v>9.3837283615465922E-2</v>
      </c>
    </row>
    <row r="111" spans="1:3">
      <c r="A111" s="1">
        <v>3.5</v>
      </c>
      <c r="B111" s="1">
        <f t="shared" si="5"/>
        <v>0.36944134018176361</v>
      </c>
      <c r="C111" s="1">
        <f t="shared" si="6"/>
        <v>0.1169488026348407</v>
      </c>
    </row>
    <row r="112" spans="1:3">
      <c r="A112" s="1">
        <v>4</v>
      </c>
      <c r="B112" s="1">
        <f t="shared" si="5"/>
        <v>0.5</v>
      </c>
      <c r="C112" s="1">
        <f t="shared" si="6"/>
        <v>0.13055865981823639</v>
      </c>
    </row>
    <row r="113" spans="1:3">
      <c r="A113" s="1">
        <v>4.5</v>
      </c>
      <c r="B113" s="1">
        <f t="shared" si="5"/>
        <v>0.63055865981823644</v>
      </c>
      <c r="C113" s="1">
        <f t="shared" si="6"/>
        <v>0.13055865981823644</v>
      </c>
    </row>
    <row r="114" spans="1:3">
      <c r="A114" s="1">
        <v>5</v>
      </c>
      <c r="B114" s="1">
        <f t="shared" si="5"/>
        <v>0.74750746245307709</v>
      </c>
      <c r="C114" s="1">
        <f t="shared" si="6"/>
        <v>0.11694880263484064</v>
      </c>
    </row>
    <row r="115" spans="1:3">
      <c r="A115" s="1">
        <v>5.5</v>
      </c>
      <c r="B115" s="1">
        <f t="shared" si="5"/>
        <v>0.84134474606854304</v>
      </c>
      <c r="C115" s="1">
        <f t="shared" si="6"/>
        <v>9.383728361546595E-2</v>
      </c>
    </row>
    <row r="116" spans="1:3">
      <c r="A116" s="1">
        <v>6</v>
      </c>
      <c r="B116" s="1">
        <f t="shared" si="5"/>
        <v>0.90878878027413212</v>
      </c>
      <c r="C116" s="1">
        <f t="shared" si="6"/>
        <v>6.7444034205589087E-2</v>
      </c>
    </row>
    <row r="117" spans="1:3">
      <c r="A117" s="1">
        <v>6.5</v>
      </c>
      <c r="B117" s="1">
        <f t="shared" si="5"/>
        <v>0.9522096477271853</v>
      </c>
      <c r="C117" s="1">
        <f t="shared" si="6"/>
        <v>4.342086745305318E-2</v>
      </c>
    </row>
    <row r="118" spans="1:3">
      <c r="A118" s="1">
        <v>7</v>
      </c>
      <c r="B118" s="1">
        <f t="shared" si="5"/>
        <v>0.97724986805182079</v>
      </c>
      <c r="C118" s="1">
        <f t="shared" si="6"/>
        <v>2.5040220324635487E-2</v>
      </c>
    </row>
    <row r="119" spans="1:3">
      <c r="A119" s="1">
        <v>7.5</v>
      </c>
      <c r="B119" s="1">
        <f t="shared" si="5"/>
        <v>0.99018467137135469</v>
      </c>
      <c r="C119" s="1">
        <f t="shared" si="6"/>
        <v>1.2934803319533894E-2</v>
      </c>
    </row>
    <row r="120" spans="1:3">
      <c r="A120" s="1">
        <v>8</v>
      </c>
      <c r="B120" s="1">
        <f t="shared" si="5"/>
        <v>0.99616961943241022</v>
      </c>
      <c r="C120" s="1">
        <f t="shared" si="6"/>
        <v>5.9849480610555394E-3</v>
      </c>
    </row>
    <row r="121" spans="1:3">
      <c r="A121" s="1">
        <v>8.5</v>
      </c>
      <c r="B121" s="1">
        <f t="shared" si="5"/>
        <v>0.9986501019683699</v>
      </c>
      <c r="C121" s="1">
        <f t="shared" si="6"/>
        <v>2.4804825359596716E-3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5"/>
  <sheetViews>
    <sheetView showGridLines="0" tabSelected="1" topLeftCell="A238" zoomScale="115" zoomScaleNormal="115" workbookViewId="0">
      <selection activeCell="C248" sqref="C248"/>
    </sheetView>
  </sheetViews>
  <sheetFormatPr defaultRowHeight="11.25"/>
  <cols>
    <col min="1" max="1" width="15.33203125" customWidth="1"/>
    <col min="2" max="2" width="13.33203125" bestFit="1" customWidth="1"/>
    <col min="3" max="3" width="25" customWidth="1"/>
    <col min="4" max="4" width="18" bestFit="1" customWidth="1"/>
    <col min="5" max="5" width="13.33203125" bestFit="1" customWidth="1"/>
    <col min="6" max="6" width="11" customWidth="1"/>
    <col min="7" max="7" width="10" bestFit="1" customWidth="1"/>
    <col min="8" max="8" width="21.33203125" bestFit="1" customWidth="1"/>
  </cols>
  <sheetData>
    <row r="1" spans="1:5">
      <c r="A1" t="s">
        <v>92</v>
      </c>
    </row>
    <row r="3" spans="1:5">
      <c r="A3" t="s">
        <v>94</v>
      </c>
      <c r="D3" t="s">
        <v>95</v>
      </c>
    </row>
    <row r="4" spans="1:5">
      <c r="A4" s="12" t="s">
        <v>93</v>
      </c>
      <c r="B4" s="12" t="s">
        <v>101</v>
      </c>
      <c r="D4" s="12" t="s">
        <v>93</v>
      </c>
      <c r="E4" s="12" t="s">
        <v>101</v>
      </c>
    </row>
    <row r="5" spans="1:5">
      <c r="A5" s="1">
        <v>80</v>
      </c>
      <c r="B5" s="1">
        <f>TINV(0.05,A5-1)</f>
        <v>1.9904501765003122</v>
      </c>
      <c r="D5" s="1">
        <v>80</v>
      </c>
      <c r="E5" s="1">
        <f>TINV(0.01,D5-1)</f>
        <v>2.6395046225150347</v>
      </c>
    </row>
    <row r="6" spans="1:5">
      <c r="A6" s="1">
        <v>50</v>
      </c>
      <c r="B6" s="1">
        <f>TINV(0.05,A6-1)</f>
        <v>2.009575199320242</v>
      </c>
      <c r="D6" s="1">
        <v>50</v>
      </c>
      <c r="E6" s="1">
        <f>TINV(0.01,D6-1)</f>
        <v>2.6799519643366612</v>
      </c>
    </row>
    <row r="7" spans="1:5">
      <c r="A7" s="1">
        <v>40</v>
      </c>
      <c r="B7" s="1">
        <f>TINV(0.05,A7-1)</f>
        <v>2.0226909012420426</v>
      </c>
      <c r="D7" s="1">
        <v>40</v>
      </c>
      <c r="E7" s="1">
        <f>TINV(0.01,D7-1)</f>
        <v>2.7079131787675221</v>
      </c>
    </row>
    <row r="8" spans="1:5">
      <c r="A8" s="1">
        <v>30</v>
      </c>
      <c r="B8" s="1">
        <f>TINV(0.05,A8-1)</f>
        <v>2.0452296111085477</v>
      </c>
      <c r="D8" s="1">
        <v>30</v>
      </c>
      <c r="E8" s="1">
        <f>TINV(0.01,D8-1)</f>
        <v>2.7563859020980566</v>
      </c>
    </row>
    <row r="9" spans="1:5">
      <c r="A9" s="1">
        <v>20</v>
      </c>
      <c r="B9" s="1">
        <f>TINV(0.05,A9-1)</f>
        <v>2.0930240498548649</v>
      </c>
      <c r="D9" s="1">
        <v>20</v>
      </c>
      <c r="E9" s="1">
        <f>TINV(0.01,D9-1)</f>
        <v>2.8609346040387695</v>
      </c>
    </row>
    <row r="12" spans="1:5">
      <c r="A12" t="s">
        <v>96</v>
      </c>
    </row>
    <row r="14" spans="1:5">
      <c r="A14" s="12" t="s">
        <v>93</v>
      </c>
      <c r="B14" s="12" t="s">
        <v>101</v>
      </c>
    </row>
    <row r="15" spans="1:5">
      <c r="A15" s="1">
        <v>100</v>
      </c>
      <c r="B15" s="1">
        <f>TINV(0.05,A15-1)</f>
        <v>1.9842169002249928</v>
      </c>
    </row>
    <row r="17" spans="1:5">
      <c r="A17" s="12" t="s">
        <v>97</v>
      </c>
      <c r="B17" s="1">
        <v>68.3</v>
      </c>
    </row>
    <row r="18" spans="1:5">
      <c r="A18" s="12" t="s">
        <v>98</v>
      </c>
      <c r="B18" s="1">
        <v>18.7</v>
      </c>
    </row>
    <row r="19" spans="1:5">
      <c r="A19" s="12" t="s">
        <v>99</v>
      </c>
      <c r="B19" s="1">
        <f>B17-B15*B18/(A15^(1/2))</f>
        <v>64.589514396579261</v>
      </c>
      <c r="C19" s="1">
        <f>B17+B18*B15/(A15^(1/2))</f>
        <v>72.010485603420733</v>
      </c>
    </row>
    <row r="22" spans="1:5">
      <c r="A22" t="s">
        <v>100</v>
      </c>
    </row>
    <row r="24" spans="1:5">
      <c r="A24" s="12" t="s">
        <v>104</v>
      </c>
    </row>
    <row r="25" spans="1:5">
      <c r="A25" s="1">
        <v>3</v>
      </c>
      <c r="C25" s="12" t="s">
        <v>102</v>
      </c>
      <c r="D25" s="1">
        <v>1000</v>
      </c>
    </row>
    <row r="26" spans="1:5">
      <c r="A26" s="1">
        <v>5</v>
      </c>
      <c r="C26" s="12" t="s">
        <v>103</v>
      </c>
      <c r="D26" s="1">
        <v>10</v>
      </c>
    </row>
    <row r="27" spans="1:5">
      <c r="A27" s="1">
        <v>4</v>
      </c>
      <c r="C27" s="12" t="s">
        <v>101</v>
      </c>
      <c r="D27" s="20">
        <f>TINV(0.05,D26-1)</f>
        <v>2.2621571581735829</v>
      </c>
    </row>
    <row r="28" spans="1:5">
      <c r="A28" s="1">
        <v>6</v>
      </c>
      <c r="D28" s="25"/>
    </row>
    <row r="29" spans="1:5">
      <c r="A29" s="1">
        <v>5</v>
      </c>
      <c r="C29" s="12" t="s">
        <v>97</v>
      </c>
      <c r="D29" s="26">
        <f>AVERAGE(A25:A34)</f>
        <v>4</v>
      </c>
    </row>
    <row r="30" spans="1:5">
      <c r="A30" s="1">
        <v>4</v>
      </c>
      <c r="C30" s="12" t="s">
        <v>98</v>
      </c>
      <c r="D30" s="20">
        <f>STDEV(A25:A34)</f>
        <v>2.1602468994692869</v>
      </c>
    </row>
    <row r="31" spans="1:5">
      <c r="A31" s="1">
        <v>0</v>
      </c>
    </row>
    <row r="32" spans="1:5">
      <c r="A32" s="1">
        <v>1</v>
      </c>
      <c r="C32" s="12" t="s">
        <v>105</v>
      </c>
      <c r="D32" s="20">
        <f>D29-D27*D30/(D26^(1/2))</f>
        <v>2.4546524650221477</v>
      </c>
      <c r="E32" s="20">
        <f>D29+D30*D27/(D26^(1/2))</f>
        <v>5.5453475349778518</v>
      </c>
    </row>
    <row r="33" spans="1:5">
      <c r="A33" s="1">
        <v>7</v>
      </c>
      <c r="C33" s="12" t="s">
        <v>106</v>
      </c>
      <c r="D33" s="20">
        <f>D32*((D25-D26)/(D25-1))^(1/2)</f>
        <v>2.4435704559869529</v>
      </c>
      <c r="E33" s="20">
        <f>E32*((D25-D26)/(D25-1))^(1/2)</f>
        <v>5.520311978066391</v>
      </c>
    </row>
    <row r="34" spans="1:5">
      <c r="A34" s="1">
        <v>5</v>
      </c>
    </row>
    <row r="37" spans="1:5">
      <c r="A37" t="s">
        <v>107</v>
      </c>
    </row>
    <row r="39" spans="1:5">
      <c r="C39" s="12" t="s">
        <v>103</v>
      </c>
      <c r="D39" s="1">
        <v>160</v>
      </c>
    </row>
    <row r="40" spans="1:5">
      <c r="C40" s="12" t="s">
        <v>108</v>
      </c>
      <c r="D40" s="27">
        <f>40/D39</f>
        <v>0.25</v>
      </c>
    </row>
    <row r="41" spans="1:5">
      <c r="C41" s="12" t="s">
        <v>101</v>
      </c>
      <c r="D41" s="20">
        <f>TINV(0.05,160)</f>
        <v>1.9749015239697845</v>
      </c>
    </row>
    <row r="44" spans="1:5">
      <c r="C44" s="12" t="s">
        <v>109</v>
      </c>
      <c r="D44" s="1">
        <f>D40-D41*(D40*(1-D40))^(1/2)/(D39^(1/2))</f>
        <v>0.18239386790440124</v>
      </c>
      <c r="E44" s="1">
        <f>D40+D41*(D40*(1-D40))^(1/2)/(D39^(1/2))</f>
        <v>0.31760613209559874</v>
      </c>
    </row>
    <row r="48" spans="1:5">
      <c r="A48" t="s">
        <v>110</v>
      </c>
    </row>
    <row r="50" spans="1:5">
      <c r="C50" s="12" t="s">
        <v>102</v>
      </c>
      <c r="D50" s="1">
        <v>1000000</v>
      </c>
      <c r="E50" t="s">
        <v>113</v>
      </c>
    </row>
    <row r="51" spans="1:5">
      <c r="C51" s="12" t="s">
        <v>103</v>
      </c>
      <c r="D51" s="1" t="s">
        <v>111</v>
      </c>
    </row>
    <row r="52" spans="1:5">
      <c r="C52" s="12" t="s">
        <v>112</v>
      </c>
      <c r="D52" s="1">
        <v>0.55000000000000004</v>
      </c>
    </row>
    <row r="53" spans="1:5">
      <c r="C53" s="12" t="s">
        <v>101</v>
      </c>
      <c r="D53" s="1">
        <v>1.96</v>
      </c>
    </row>
    <row r="56" spans="1:5">
      <c r="C56" s="12" t="s">
        <v>114</v>
      </c>
      <c r="D56" s="1">
        <f>D50/((0.03/1.96)^2*((D50-1)/(D52*(1-D52)))+1)</f>
        <v>1055.3261665507757</v>
      </c>
    </row>
    <row r="57" spans="1:5">
      <c r="C57" s="12" t="s">
        <v>115</v>
      </c>
      <c r="D57" s="1">
        <f>D52*(1-D52)/((0.03/D53)^2)</f>
        <v>1056.44</v>
      </c>
    </row>
    <row r="62" spans="1:5">
      <c r="A62" t="s">
        <v>116</v>
      </c>
    </row>
    <row r="64" spans="1:5">
      <c r="B64" s="12" t="s">
        <v>119</v>
      </c>
      <c r="C64" s="1">
        <v>5000</v>
      </c>
    </row>
    <row r="65" spans="2:8">
      <c r="B65" s="12" t="s">
        <v>120</v>
      </c>
      <c r="C65" s="1">
        <v>100</v>
      </c>
    </row>
    <row r="66" spans="2:8">
      <c r="B66" s="12" t="s">
        <v>121</v>
      </c>
      <c r="C66" s="1">
        <v>620</v>
      </c>
    </row>
    <row r="67" spans="2:8">
      <c r="B67" s="12" t="s">
        <v>122</v>
      </c>
      <c r="C67" s="1">
        <v>50</v>
      </c>
    </row>
    <row r="69" spans="2:8">
      <c r="B69" s="12" t="s">
        <v>117</v>
      </c>
      <c r="C69" s="20">
        <f>($C$66-E69)/($C$67/$C$65^(1/2))</f>
        <v>4</v>
      </c>
      <c r="D69" s="12" t="s">
        <v>118</v>
      </c>
      <c r="E69" s="1">
        <v>600</v>
      </c>
      <c r="F69" s="1"/>
      <c r="G69" s="12" t="s">
        <v>123</v>
      </c>
      <c r="H69" s="30">
        <f>1-NORMSDIST(C69)</f>
        <v>3.1671241836783715E-5</v>
      </c>
    </row>
    <row r="70" spans="2:8">
      <c r="B70" s="12" t="s">
        <v>117</v>
      </c>
      <c r="C70" s="20">
        <f t="shared" ref="C70:C79" si="0">($C$66-E70)/($C$67/$C$65^(1/2))</f>
        <v>3.8</v>
      </c>
      <c r="D70" s="12" t="s">
        <v>118</v>
      </c>
      <c r="E70" s="1">
        <v>601</v>
      </c>
      <c r="F70" s="1"/>
      <c r="G70" s="12" t="s">
        <v>123</v>
      </c>
      <c r="H70" s="30">
        <f t="shared" ref="H70:H79" si="1">1-NORMSDIST(C70)</f>
        <v>7.2348043924419514E-5</v>
      </c>
    </row>
    <row r="71" spans="2:8">
      <c r="B71" s="12" t="s">
        <v>117</v>
      </c>
      <c r="C71" s="20">
        <f t="shared" si="0"/>
        <v>3.6</v>
      </c>
      <c r="D71" s="12" t="s">
        <v>118</v>
      </c>
      <c r="E71" s="1">
        <v>602</v>
      </c>
      <c r="F71" s="1"/>
      <c r="G71" s="12" t="s">
        <v>123</v>
      </c>
      <c r="H71" s="30">
        <f t="shared" si="1"/>
        <v>1.591085901577749E-4</v>
      </c>
    </row>
    <row r="72" spans="2:8">
      <c r="B72" s="12" t="s">
        <v>117</v>
      </c>
      <c r="C72" s="20">
        <f t="shared" si="0"/>
        <v>3.4</v>
      </c>
      <c r="D72" s="12" t="s">
        <v>118</v>
      </c>
      <c r="E72" s="1">
        <v>603</v>
      </c>
      <c r="F72" s="1"/>
      <c r="G72" s="12" t="s">
        <v>123</v>
      </c>
      <c r="H72" s="30">
        <f t="shared" si="1"/>
        <v>3.3692926567652215E-4</v>
      </c>
    </row>
    <row r="73" spans="2:8">
      <c r="B73" s="12" t="s">
        <v>117</v>
      </c>
      <c r="C73" s="20">
        <f t="shared" si="0"/>
        <v>3.2</v>
      </c>
      <c r="D73" s="12" t="s">
        <v>118</v>
      </c>
      <c r="E73" s="1">
        <v>604</v>
      </c>
      <c r="F73" s="1"/>
      <c r="G73" s="12" t="s">
        <v>123</v>
      </c>
      <c r="H73" s="30">
        <f t="shared" si="1"/>
        <v>6.8713793791586042E-4</v>
      </c>
    </row>
    <row r="74" spans="2:8">
      <c r="B74" s="12" t="s">
        <v>117</v>
      </c>
      <c r="C74" s="20">
        <f t="shared" si="0"/>
        <v>3</v>
      </c>
      <c r="D74" s="12" t="s">
        <v>118</v>
      </c>
      <c r="E74" s="1">
        <v>605</v>
      </c>
      <c r="F74" s="1"/>
      <c r="G74" s="12" t="s">
        <v>123</v>
      </c>
      <c r="H74" s="30">
        <f t="shared" si="1"/>
        <v>1.3498980316301035E-3</v>
      </c>
    </row>
    <row r="75" spans="2:8">
      <c r="B75" s="12" t="s">
        <v>117</v>
      </c>
      <c r="C75" s="20">
        <f t="shared" si="0"/>
        <v>2.8</v>
      </c>
      <c r="D75" s="12" t="s">
        <v>118</v>
      </c>
      <c r="E75" s="16">
        <v>606</v>
      </c>
      <c r="F75" s="1"/>
      <c r="G75" s="12" t="s">
        <v>123</v>
      </c>
      <c r="H75" s="30">
        <f t="shared" si="1"/>
        <v>2.5551303304278683E-3</v>
      </c>
    </row>
    <row r="76" spans="2:8">
      <c r="B76" s="12" t="s">
        <v>117</v>
      </c>
      <c r="C76" s="20">
        <f t="shared" si="0"/>
        <v>2.6</v>
      </c>
      <c r="D76" s="12" t="s">
        <v>118</v>
      </c>
      <c r="E76" s="16">
        <v>607</v>
      </c>
      <c r="F76" s="1"/>
      <c r="G76" s="12" t="s">
        <v>123</v>
      </c>
      <c r="H76" s="30">
        <f t="shared" si="1"/>
        <v>4.661188023718732E-3</v>
      </c>
    </row>
    <row r="77" spans="2:8">
      <c r="B77" s="12" t="s">
        <v>117</v>
      </c>
      <c r="C77" s="20">
        <f t="shared" si="0"/>
        <v>2.4</v>
      </c>
      <c r="D77" s="12" t="s">
        <v>118</v>
      </c>
      <c r="E77" s="16">
        <v>608</v>
      </c>
      <c r="F77" s="1"/>
      <c r="G77" s="12" t="s">
        <v>123</v>
      </c>
      <c r="H77" s="30">
        <f t="shared" si="1"/>
        <v>8.1975359245960444E-3</v>
      </c>
    </row>
    <row r="78" spans="2:8">
      <c r="B78" s="12" t="s">
        <v>117</v>
      </c>
      <c r="C78" s="20">
        <f t="shared" si="0"/>
        <v>2.2000000000000002</v>
      </c>
      <c r="D78" s="12" t="s">
        <v>118</v>
      </c>
      <c r="E78" s="16">
        <v>609</v>
      </c>
      <c r="F78" s="1"/>
      <c r="G78" s="12" t="s">
        <v>123</v>
      </c>
      <c r="H78" s="30">
        <f t="shared" si="1"/>
        <v>1.390344751349859E-2</v>
      </c>
    </row>
    <row r="79" spans="2:8">
      <c r="B79" s="12" t="s">
        <v>117</v>
      </c>
      <c r="C79" s="20">
        <f t="shared" si="0"/>
        <v>2</v>
      </c>
      <c r="D79" s="12" t="s">
        <v>118</v>
      </c>
      <c r="E79" s="16">
        <v>610</v>
      </c>
      <c r="F79" s="1"/>
      <c r="G79" s="12" t="s">
        <v>123</v>
      </c>
      <c r="H79" s="30">
        <f t="shared" si="1"/>
        <v>2.275013194817932E-2</v>
      </c>
    </row>
    <row r="80" spans="2:8">
      <c r="B80" s="12" t="s">
        <v>117</v>
      </c>
      <c r="C80" s="20">
        <f t="shared" ref="C80:C102" si="2">($C$66-E80)/($C$67/$C$65^(1/2))</f>
        <v>1.8</v>
      </c>
      <c r="D80" s="12" t="s">
        <v>118</v>
      </c>
      <c r="E80" s="16">
        <v>611</v>
      </c>
      <c r="F80" s="1"/>
      <c r="G80" s="12" t="s">
        <v>123</v>
      </c>
      <c r="H80" s="30">
        <f t="shared" ref="H80:H102" si="3">1-NORMSDIST(C80)</f>
        <v>3.5930319112925879E-2</v>
      </c>
    </row>
    <row r="81" spans="2:8">
      <c r="B81" s="12" t="s">
        <v>117</v>
      </c>
      <c r="C81" s="20">
        <f t="shared" si="2"/>
        <v>1.6</v>
      </c>
      <c r="D81" s="12" t="s">
        <v>118</v>
      </c>
      <c r="E81" s="16">
        <v>612</v>
      </c>
      <c r="F81" s="1"/>
      <c r="G81" s="12" t="s">
        <v>123</v>
      </c>
      <c r="H81" s="30">
        <f t="shared" si="3"/>
        <v>5.4799291699557995E-2</v>
      </c>
    </row>
    <row r="82" spans="2:8">
      <c r="B82" s="12" t="s">
        <v>117</v>
      </c>
      <c r="C82" s="20">
        <f t="shared" si="2"/>
        <v>1.4</v>
      </c>
      <c r="D82" s="12" t="s">
        <v>118</v>
      </c>
      <c r="E82" s="16">
        <v>613</v>
      </c>
      <c r="F82" s="1"/>
      <c r="G82" s="12" t="s">
        <v>123</v>
      </c>
      <c r="H82" s="30">
        <f t="shared" si="3"/>
        <v>8.0756659233771177E-2</v>
      </c>
    </row>
    <row r="83" spans="2:8">
      <c r="B83" s="12" t="s">
        <v>117</v>
      </c>
      <c r="C83" s="20">
        <f t="shared" si="2"/>
        <v>1.2</v>
      </c>
      <c r="D83" s="12" t="s">
        <v>118</v>
      </c>
      <c r="E83" s="16">
        <v>614</v>
      </c>
      <c r="F83" s="1"/>
      <c r="G83" s="12" t="s">
        <v>123</v>
      </c>
      <c r="H83" s="30">
        <f t="shared" si="3"/>
        <v>0.11506967022170822</v>
      </c>
    </row>
    <row r="84" spans="2:8">
      <c r="B84" s="12" t="s">
        <v>117</v>
      </c>
      <c r="C84" s="20">
        <f t="shared" si="2"/>
        <v>1</v>
      </c>
      <c r="D84" s="12" t="s">
        <v>118</v>
      </c>
      <c r="E84" s="16">
        <v>615</v>
      </c>
      <c r="F84" s="1"/>
      <c r="G84" s="12" t="s">
        <v>123</v>
      </c>
      <c r="H84" s="30">
        <f t="shared" si="3"/>
        <v>0.15865525393145707</v>
      </c>
    </row>
    <row r="85" spans="2:8">
      <c r="B85" s="12" t="s">
        <v>117</v>
      </c>
      <c r="C85" s="20">
        <f t="shared" si="2"/>
        <v>0.8</v>
      </c>
      <c r="D85" s="12" t="s">
        <v>118</v>
      </c>
      <c r="E85" s="16">
        <v>616</v>
      </c>
      <c r="F85" s="1"/>
      <c r="G85" s="12" t="s">
        <v>123</v>
      </c>
      <c r="H85" s="30">
        <f t="shared" si="3"/>
        <v>0.21185539858339675</v>
      </c>
    </row>
    <row r="86" spans="2:8">
      <c r="B86" s="12" t="s">
        <v>117</v>
      </c>
      <c r="C86" s="20">
        <f t="shared" si="2"/>
        <v>0.6</v>
      </c>
      <c r="D86" s="12" t="s">
        <v>118</v>
      </c>
      <c r="E86" s="16">
        <v>617</v>
      </c>
      <c r="F86" s="1"/>
      <c r="G86" s="12" t="s">
        <v>123</v>
      </c>
      <c r="H86" s="30">
        <f t="shared" si="3"/>
        <v>0.27425311775007366</v>
      </c>
    </row>
    <row r="87" spans="2:8">
      <c r="B87" s="12" t="s">
        <v>117</v>
      </c>
      <c r="C87" s="20">
        <f t="shared" si="2"/>
        <v>0.4</v>
      </c>
      <c r="D87" s="12" t="s">
        <v>118</v>
      </c>
      <c r="E87" s="16">
        <v>618</v>
      </c>
      <c r="F87" s="1"/>
      <c r="G87" s="12" t="s">
        <v>123</v>
      </c>
      <c r="H87" s="30">
        <f t="shared" si="3"/>
        <v>0.34457825838967582</v>
      </c>
    </row>
    <row r="88" spans="2:8">
      <c r="B88" s="12" t="s">
        <v>117</v>
      </c>
      <c r="C88" s="20">
        <f t="shared" si="2"/>
        <v>0.2</v>
      </c>
      <c r="D88" s="12" t="s">
        <v>118</v>
      </c>
      <c r="E88" s="16">
        <v>619</v>
      </c>
      <c r="F88" s="1"/>
      <c r="G88" s="12" t="s">
        <v>123</v>
      </c>
      <c r="H88" s="30">
        <f t="shared" si="3"/>
        <v>0.42074029056089701</v>
      </c>
    </row>
    <row r="89" spans="2:8">
      <c r="B89" s="12" t="s">
        <v>117</v>
      </c>
      <c r="C89" s="20">
        <f t="shared" si="2"/>
        <v>0</v>
      </c>
      <c r="D89" s="12" t="s">
        <v>118</v>
      </c>
      <c r="E89" s="16">
        <v>620</v>
      </c>
      <c r="F89" s="1"/>
      <c r="G89" s="12" t="s">
        <v>123</v>
      </c>
      <c r="H89" s="30">
        <f t="shared" si="3"/>
        <v>0.5</v>
      </c>
    </row>
    <row r="90" spans="2:8">
      <c r="B90" s="12" t="s">
        <v>117</v>
      </c>
      <c r="C90" s="20">
        <f t="shared" si="2"/>
        <v>-0.2</v>
      </c>
      <c r="D90" s="12" t="s">
        <v>118</v>
      </c>
      <c r="E90" s="16">
        <v>621</v>
      </c>
      <c r="F90" s="1"/>
      <c r="G90" s="12" t="s">
        <v>123</v>
      </c>
      <c r="H90" s="30">
        <f t="shared" si="3"/>
        <v>0.57925970943910299</v>
      </c>
    </row>
    <row r="91" spans="2:8">
      <c r="B91" s="12" t="s">
        <v>117</v>
      </c>
      <c r="C91" s="20">
        <f t="shared" si="2"/>
        <v>-0.4</v>
      </c>
      <c r="D91" s="12" t="s">
        <v>118</v>
      </c>
      <c r="E91" s="16">
        <v>622</v>
      </c>
      <c r="F91" s="1"/>
      <c r="G91" s="12" t="s">
        <v>123</v>
      </c>
      <c r="H91" s="30">
        <f t="shared" si="3"/>
        <v>0.65542174161032418</v>
      </c>
    </row>
    <row r="92" spans="2:8">
      <c r="B92" s="12" t="s">
        <v>117</v>
      </c>
      <c r="C92" s="20">
        <f t="shared" si="2"/>
        <v>-0.6</v>
      </c>
      <c r="D92" s="12" t="s">
        <v>118</v>
      </c>
      <c r="E92" s="16">
        <v>623</v>
      </c>
      <c r="F92" s="1"/>
      <c r="G92" s="12" t="s">
        <v>123</v>
      </c>
      <c r="H92" s="30">
        <f t="shared" si="3"/>
        <v>0.72574688224992634</v>
      </c>
    </row>
    <row r="93" spans="2:8">
      <c r="B93" s="12" t="s">
        <v>117</v>
      </c>
      <c r="C93" s="20">
        <f t="shared" si="2"/>
        <v>-0.8</v>
      </c>
      <c r="D93" s="12" t="s">
        <v>118</v>
      </c>
      <c r="E93" s="16">
        <v>624</v>
      </c>
      <c r="F93" s="1"/>
      <c r="G93" s="12" t="s">
        <v>123</v>
      </c>
      <c r="H93" s="30">
        <f t="shared" si="3"/>
        <v>0.78814460141660325</v>
      </c>
    </row>
    <row r="94" spans="2:8">
      <c r="B94" s="12" t="s">
        <v>117</v>
      </c>
      <c r="C94" s="20">
        <f t="shared" si="2"/>
        <v>-1</v>
      </c>
      <c r="D94" s="12" t="s">
        <v>118</v>
      </c>
      <c r="E94" s="16">
        <v>625</v>
      </c>
      <c r="F94" s="1"/>
      <c r="G94" s="12" t="s">
        <v>123</v>
      </c>
      <c r="H94" s="30">
        <f t="shared" si="3"/>
        <v>0.84134474606854293</v>
      </c>
    </row>
    <row r="95" spans="2:8">
      <c r="B95" s="12" t="s">
        <v>117</v>
      </c>
      <c r="C95" s="20">
        <f t="shared" si="2"/>
        <v>-1.2</v>
      </c>
      <c r="D95" s="12" t="s">
        <v>118</v>
      </c>
      <c r="E95" s="16">
        <v>626</v>
      </c>
      <c r="F95" s="1"/>
      <c r="G95" s="12" t="s">
        <v>123</v>
      </c>
      <c r="H95" s="30">
        <f t="shared" si="3"/>
        <v>0.88493032977829178</v>
      </c>
    </row>
    <row r="96" spans="2:8">
      <c r="B96" s="12" t="s">
        <v>117</v>
      </c>
      <c r="C96" s="20">
        <f t="shared" si="2"/>
        <v>-1.4</v>
      </c>
      <c r="D96" s="12" t="s">
        <v>118</v>
      </c>
      <c r="E96" s="16">
        <v>627</v>
      </c>
      <c r="F96" s="1"/>
      <c r="G96" s="12" t="s">
        <v>123</v>
      </c>
      <c r="H96" s="30">
        <f t="shared" si="3"/>
        <v>0.91924334076622882</v>
      </c>
    </row>
    <row r="97" spans="1:8">
      <c r="B97" s="12" t="s">
        <v>117</v>
      </c>
      <c r="C97" s="20">
        <f t="shared" si="2"/>
        <v>-1.6</v>
      </c>
      <c r="D97" s="12" t="s">
        <v>118</v>
      </c>
      <c r="E97" s="16">
        <v>628</v>
      </c>
      <c r="F97" s="1"/>
      <c r="G97" s="12" t="s">
        <v>123</v>
      </c>
      <c r="H97" s="30">
        <f t="shared" si="3"/>
        <v>0.94520070830044201</v>
      </c>
    </row>
    <row r="98" spans="1:8">
      <c r="B98" s="12" t="s">
        <v>117</v>
      </c>
      <c r="C98" s="20">
        <f t="shared" si="2"/>
        <v>-1.8</v>
      </c>
      <c r="D98" s="12" t="s">
        <v>118</v>
      </c>
      <c r="E98" s="16">
        <v>629</v>
      </c>
      <c r="F98" s="1"/>
      <c r="G98" s="12" t="s">
        <v>123</v>
      </c>
      <c r="H98" s="30">
        <f t="shared" si="3"/>
        <v>0.96406968088707412</v>
      </c>
    </row>
    <row r="99" spans="1:8">
      <c r="B99" s="12" t="s">
        <v>117</v>
      </c>
      <c r="C99" s="20">
        <f t="shared" si="2"/>
        <v>-2</v>
      </c>
      <c r="D99" s="12" t="s">
        <v>118</v>
      </c>
      <c r="E99" s="16">
        <v>630</v>
      </c>
      <c r="F99" s="1"/>
      <c r="G99" s="12" t="s">
        <v>123</v>
      </c>
      <c r="H99" s="30">
        <f t="shared" si="3"/>
        <v>0.97724986805182068</v>
      </c>
    </row>
    <row r="100" spans="1:8">
      <c r="B100" s="12" t="s">
        <v>117</v>
      </c>
      <c r="C100" s="20">
        <f t="shared" si="2"/>
        <v>-2.2000000000000002</v>
      </c>
      <c r="D100" s="12" t="s">
        <v>118</v>
      </c>
      <c r="E100" s="1">
        <v>631</v>
      </c>
      <c r="F100" s="1"/>
      <c r="G100" s="12" t="s">
        <v>123</v>
      </c>
      <c r="H100" s="30">
        <f t="shared" si="3"/>
        <v>0.98609655248650141</v>
      </c>
    </row>
    <row r="101" spans="1:8">
      <c r="B101" s="12" t="s">
        <v>117</v>
      </c>
      <c r="C101" s="20">
        <f t="shared" si="2"/>
        <v>-2.4</v>
      </c>
      <c r="D101" s="12" t="s">
        <v>118</v>
      </c>
      <c r="E101" s="1">
        <v>632</v>
      </c>
      <c r="F101" s="1"/>
      <c r="G101" s="12" t="s">
        <v>123</v>
      </c>
      <c r="H101" s="30">
        <f t="shared" si="3"/>
        <v>0.99180246407540396</v>
      </c>
    </row>
    <row r="102" spans="1:8">
      <c r="B102" s="12" t="s">
        <v>117</v>
      </c>
      <c r="C102" s="20">
        <f t="shared" si="2"/>
        <v>-2.6</v>
      </c>
      <c r="D102" s="12" t="s">
        <v>118</v>
      </c>
      <c r="E102" s="1">
        <v>633</v>
      </c>
      <c r="F102" s="1"/>
      <c r="G102" s="12" t="s">
        <v>123</v>
      </c>
      <c r="H102" s="30">
        <f t="shared" si="3"/>
        <v>0.99533881197628127</v>
      </c>
    </row>
    <row r="106" spans="1:8">
      <c r="A106" t="s">
        <v>144</v>
      </c>
    </row>
    <row r="108" spans="1:8">
      <c r="B108" s="12" t="s">
        <v>124</v>
      </c>
      <c r="C108" s="1" t="s">
        <v>125</v>
      </c>
      <c r="D108" s="1"/>
      <c r="E108" s="1"/>
    </row>
    <row r="109" spans="1:8">
      <c r="B109" s="12" t="s">
        <v>126</v>
      </c>
      <c r="C109" s="1" t="s">
        <v>127</v>
      </c>
      <c r="D109" s="1"/>
      <c r="E109" s="31" t="s">
        <v>130</v>
      </c>
    </row>
    <row r="111" spans="1:8">
      <c r="B111" s="12" t="s">
        <v>128</v>
      </c>
      <c r="C111" s="1">
        <v>50</v>
      </c>
    </row>
    <row r="112" spans="1:8">
      <c r="B112" s="12" t="s">
        <v>129</v>
      </c>
      <c r="C112" s="1">
        <v>0.52</v>
      </c>
    </row>
    <row r="113" spans="1:8">
      <c r="B113" s="12" t="s">
        <v>122</v>
      </c>
      <c r="C113" s="1">
        <v>7.0000000000000007E-2</v>
      </c>
    </row>
    <row r="114" spans="1:8">
      <c r="B114" s="12" t="s">
        <v>132</v>
      </c>
      <c r="C114" s="1">
        <v>0.05</v>
      </c>
    </row>
    <row r="116" spans="1:8">
      <c r="B116" s="12" t="s">
        <v>117</v>
      </c>
      <c r="C116" s="20">
        <f>(C112-E116)/(C113/(C111^(1/2)))</f>
        <v>2.020305089104423</v>
      </c>
      <c r="D116" s="12" t="s">
        <v>118</v>
      </c>
      <c r="E116" s="1">
        <v>0.5</v>
      </c>
      <c r="F116" s="1"/>
      <c r="G116" s="12" t="s">
        <v>123</v>
      </c>
      <c r="H116" s="27">
        <f>TDIST(C116,C111-1,2)</f>
        <v>4.8835741118906414E-2</v>
      </c>
    </row>
    <row r="117" spans="1:8">
      <c r="B117" s="12" t="s">
        <v>131</v>
      </c>
      <c r="C117" s="20">
        <f>TINV(C114,C111-1)</f>
        <v>2.009575199320242</v>
      </c>
    </row>
    <row r="119" spans="1:8">
      <c r="B119" s="28" t="s">
        <v>133</v>
      </c>
    </row>
    <row r="120" spans="1:8">
      <c r="B120" s="28" t="s">
        <v>134</v>
      </c>
    </row>
    <row r="123" spans="1:8">
      <c r="A123" t="s">
        <v>145</v>
      </c>
    </row>
    <row r="125" spans="1:8">
      <c r="B125" t="s">
        <v>124</v>
      </c>
      <c r="C125" t="s">
        <v>137</v>
      </c>
    </row>
    <row r="126" spans="1:8">
      <c r="B126" t="s">
        <v>126</v>
      </c>
      <c r="C126" t="s">
        <v>138</v>
      </c>
      <c r="E126" s="28" t="s">
        <v>154</v>
      </c>
    </row>
    <row r="128" spans="1:8">
      <c r="B128" t="s">
        <v>135</v>
      </c>
      <c r="C128">
        <v>50</v>
      </c>
    </row>
    <row r="129" spans="1:8">
      <c r="B129" t="s">
        <v>136</v>
      </c>
      <c r="C129">
        <f>20/C128</f>
        <v>0.4</v>
      </c>
    </row>
    <row r="130" spans="1:8">
      <c r="B130" t="s">
        <v>132</v>
      </c>
      <c r="C130">
        <v>0.05</v>
      </c>
    </row>
    <row r="132" spans="1:8">
      <c r="B132" t="s">
        <v>139</v>
      </c>
      <c r="C132">
        <f>($C$129-E132)/(((E132*(1-E132))^(1/2))/(50^(1/2)))</f>
        <v>1.5430334996209198</v>
      </c>
      <c r="D132" t="s">
        <v>140</v>
      </c>
      <c r="E132">
        <v>0.3</v>
      </c>
      <c r="G132" t="s">
        <v>123</v>
      </c>
      <c r="H132">
        <f>1-NORMSDIST(C132)</f>
        <v>6.1411324050696159E-2</v>
      </c>
    </row>
    <row r="133" spans="1:8">
      <c r="B133" t="s">
        <v>141</v>
      </c>
      <c r="C133">
        <v>1.64</v>
      </c>
    </row>
    <row r="135" spans="1:8">
      <c r="B135" s="28" t="s">
        <v>142</v>
      </c>
    </row>
    <row r="136" spans="1:8">
      <c r="B136" s="28" t="s">
        <v>143</v>
      </c>
    </row>
    <row r="139" spans="1:8">
      <c r="A139" t="s">
        <v>146</v>
      </c>
    </row>
    <row r="141" spans="1:8">
      <c r="B141" t="s">
        <v>147</v>
      </c>
      <c r="C141" t="s">
        <v>150</v>
      </c>
      <c r="E141" s="28" t="s">
        <v>153</v>
      </c>
    </row>
    <row r="142" spans="1:8">
      <c r="B142" t="s">
        <v>148</v>
      </c>
      <c r="C142" t="s">
        <v>151</v>
      </c>
    </row>
    <row r="144" spans="1:8">
      <c r="B144" t="s">
        <v>135</v>
      </c>
      <c r="C144">
        <v>40</v>
      </c>
    </row>
    <row r="145" spans="1:8">
      <c r="B145" t="s">
        <v>149</v>
      </c>
      <c r="C145">
        <v>22</v>
      </c>
    </row>
    <row r="146" spans="1:8">
      <c r="B146" t="s">
        <v>132</v>
      </c>
      <c r="C146">
        <v>0.05</v>
      </c>
    </row>
    <row r="148" spans="1:8">
      <c r="B148" t="s">
        <v>139</v>
      </c>
      <c r="C148">
        <f>(C144-1)*C145^2/(E148^2)</f>
        <v>20.973333333333333</v>
      </c>
      <c r="D148" t="s">
        <v>140</v>
      </c>
      <c r="E148">
        <v>30</v>
      </c>
      <c r="G148" t="s">
        <v>123</v>
      </c>
      <c r="H148">
        <f>1-CHIDIST(C148,C144-1)</f>
        <v>8.1076447996938361E-3</v>
      </c>
    </row>
    <row r="149" spans="1:8">
      <c r="B149" t="s">
        <v>152</v>
      </c>
      <c r="C149">
        <f>CHIINV(1-0.05,C144-1)</f>
        <v>25.695390775798231</v>
      </c>
    </row>
    <row r="151" spans="1:8">
      <c r="B151" s="28" t="s">
        <v>155</v>
      </c>
    </row>
    <row r="152" spans="1:8">
      <c r="B152" s="28" t="s">
        <v>156</v>
      </c>
    </row>
    <row r="156" spans="1:8">
      <c r="A156" t="s">
        <v>161</v>
      </c>
    </row>
    <row r="158" spans="1:8">
      <c r="B158" t="s">
        <v>147</v>
      </c>
      <c r="C158" t="s">
        <v>157</v>
      </c>
    </row>
    <row r="159" spans="1:8">
      <c r="B159" t="s">
        <v>148</v>
      </c>
      <c r="C159" t="s">
        <v>169</v>
      </c>
      <c r="E159" s="28" t="s">
        <v>153</v>
      </c>
    </row>
    <row r="161" spans="2:5">
      <c r="B161" s="12"/>
      <c r="C161" s="12" t="s">
        <v>158</v>
      </c>
      <c r="D161" s="12" t="s">
        <v>159</v>
      </c>
    </row>
    <row r="162" spans="2:5">
      <c r="B162" s="12" t="s">
        <v>135</v>
      </c>
      <c r="C162" s="1">
        <v>50</v>
      </c>
      <c r="D162" s="1">
        <v>25</v>
      </c>
      <c r="E162" s="28" t="s">
        <v>162</v>
      </c>
    </row>
    <row r="163" spans="2:5">
      <c r="B163" s="12" t="s">
        <v>160</v>
      </c>
      <c r="C163" s="1">
        <v>620</v>
      </c>
      <c r="D163" s="1">
        <v>610</v>
      </c>
    </row>
    <row r="164" spans="2:5">
      <c r="B164" s="12" t="s">
        <v>149</v>
      </c>
      <c r="C164" s="1">
        <v>50</v>
      </c>
      <c r="D164" s="1">
        <v>50</v>
      </c>
    </row>
    <row r="166" spans="2:5">
      <c r="B166" s="12" t="s">
        <v>132</v>
      </c>
      <c r="C166" s="1">
        <v>0.05</v>
      </c>
    </row>
    <row r="167" spans="2:5">
      <c r="B167" s="12" t="s">
        <v>170</v>
      </c>
      <c r="C167" s="1">
        <f>((C162-1)*C164^2+(D162-1)*D164^2)/(C162+D162-2)</f>
        <v>2500</v>
      </c>
    </row>
    <row r="168" spans="2:5">
      <c r="B168" s="12" t="s">
        <v>139</v>
      </c>
      <c r="C168" s="1">
        <f>(C163-D163)/((C167/C162+C167/D162)^(1/2))</f>
        <v>0.81649658092772603</v>
      </c>
    </row>
    <row r="169" spans="2:5">
      <c r="B169" s="12" t="s">
        <v>163</v>
      </c>
      <c r="C169" s="1">
        <f>TINV(2*C166,C162+D162-2)</f>
        <v>1.6659962242581603</v>
      </c>
    </row>
    <row r="170" spans="2:5">
      <c r="B170" s="12" t="s">
        <v>171</v>
      </c>
      <c r="C170" s="1">
        <f>C162+D162-2</f>
        <v>73</v>
      </c>
    </row>
    <row r="171" spans="2:5">
      <c r="B171" s="12" t="s">
        <v>165</v>
      </c>
      <c r="C171" s="1">
        <f>TDIST(C168,C170,1)</f>
        <v>0.20843635482000483</v>
      </c>
    </row>
    <row r="173" spans="2:5">
      <c r="B173" s="32" t="s">
        <v>164</v>
      </c>
    </row>
    <row r="174" spans="2:5">
      <c r="B174" s="32" t="s">
        <v>166</v>
      </c>
    </row>
    <row r="178" spans="1:5">
      <c r="A178" t="s">
        <v>167</v>
      </c>
    </row>
    <row r="180" spans="1:5">
      <c r="B180" t="s">
        <v>147</v>
      </c>
      <c r="C180" t="s">
        <v>168</v>
      </c>
    </row>
    <row r="181" spans="1:5">
      <c r="B181" t="s">
        <v>148</v>
      </c>
      <c r="C181" t="s">
        <v>157</v>
      </c>
      <c r="E181" s="28" t="s">
        <v>130</v>
      </c>
    </row>
    <row r="184" spans="1:5">
      <c r="B184" s="12"/>
      <c r="C184" s="12" t="s">
        <v>158</v>
      </c>
      <c r="D184" s="12" t="s">
        <v>159</v>
      </c>
    </row>
    <row r="185" spans="1:5">
      <c r="B185" s="12" t="s">
        <v>135</v>
      </c>
      <c r="C185" s="1">
        <v>50</v>
      </c>
      <c r="D185" s="1">
        <v>25</v>
      </c>
      <c r="E185" s="28" t="s">
        <v>162</v>
      </c>
    </row>
    <row r="186" spans="1:5">
      <c r="B186" s="12" t="s">
        <v>160</v>
      </c>
      <c r="C186" s="1">
        <v>620</v>
      </c>
      <c r="D186" s="1">
        <v>610</v>
      </c>
    </row>
    <row r="187" spans="1:5">
      <c r="B187" s="12" t="s">
        <v>149</v>
      </c>
      <c r="C187" s="1">
        <v>50</v>
      </c>
      <c r="D187" s="33">
        <v>35</v>
      </c>
    </row>
    <row r="189" spans="1:5">
      <c r="B189" s="12" t="s">
        <v>132</v>
      </c>
      <c r="C189" s="1">
        <v>0.05</v>
      </c>
    </row>
    <row r="190" spans="1:5">
      <c r="B190" s="12" t="s">
        <v>139</v>
      </c>
      <c r="C190" s="1">
        <f>(C186-D186)/((C187^2/C185+D187^2/D185)^(1/2))</f>
        <v>1.0050378152592121</v>
      </c>
    </row>
    <row r="191" spans="1:5">
      <c r="B191" s="12" t="s">
        <v>163</v>
      </c>
      <c r="C191" s="1">
        <f>TINV(C189,C192)</f>
        <v>1.9954689072249159</v>
      </c>
    </row>
    <row r="192" spans="1:5">
      <c r="B192" s="12" t="s">
        <v>171</v>
      </c>
      <c r="C192" s="1">
        <f>(C187^2/C185+D187^2/D185)^2/((C187^4/C185^2/C185-1)+(D187^4/D185^2/D185-1))</f>
        <v>68.043599000277695</v>
      </c>
    </row>
    <row r="193" spans="1:7">
      <c r="B193" s="12" t="s">
        <v>165</v>
      </c>
      <c r="C193" s="1">
        <f>TDIST(C190,C192,2)</f>
        <v>0.318441692112438</v>
      </c>
    </row>
    <row r="197" spans="1:7">
      <c r="A197" t="s">
        <v>172</v>
      </c>
    </row>
    <row r="200" spans="1:7">
      <c r="A200" s="12" t="s">
        <v>173</v>
      </c>
      <c r="B200" s="12" t="s">
        <v>174</v>
      </c>
      <c r="C200" s="12" t="s">
        <v>175</v>
      </c>
      <c r="D200" s="12" t="s">
        <v>176</v>
      </c>
      <c r="F200" s="12" t="s">
        <v>189</v>
      </c>
      <c r="G200" s="12" t="s">
        <v>190</v>
      </c>
    </row>
    <row r="201" spans="1:7">
      <c r="A201" s="12" t="s">
        <v>177</v>
      </c>
      <c r="B201" s="34">
        <v>38.5</v>
      </c>
      <c r="C201" s="34">
        <v>37.9</v>
      </c>
      <c r="D201" s="34">
        <f>B201-C201</f>
        <v>0.60000000000000142</v>
      </c>
      <c r="F201" s="20">
        <f>D201-$D$212</f>
        <v>0.16000000000000225</v>
      </c>
      <c r="G201" s="35">
        <f>F201^2</f>
        <v>2.5600000000000719E-2</v>
      </c>
    </row>
    <row r="202" spans="1:7">
      <c r="A202" s="12" t="s">
        <v>178</v>
      </c>
      <c r="B202" s="34">
        <v>39.299999999999997</v>
      </c>
      <c r="C202" s="34">
        <v>38.1</v>
      </c>
      <c r="D202" s="34">
        <f t="shared" ref="D202:D210" si="4">B202-C202</f>
        <v>1.1999999999999957</v>
      </c>
      <c r="F202" s="20">
        <f t="shared" ref="F202:F210" si="5">D202-$D$212</f>
        <v>0.75999999999999657</v>
      </c>
      <c r="G202" s="35">
        <f t="shared" ref="G202:G210" si="6">F202^2</f>
        <v>0.57759999999999478</v>
      </c>
    </row>
    <row r="203" spans="1:7">
      <c r="A203" s="12" t="s">
        <v>179</v>
      </c>
      <c r="B203" s="34">
        <v>37.1</v>
      </c>
      <c r="C203" s="34">
        <v>37</v>
      </c>
      <c r="D203" s="34">
        <f t="shared" si="4"/>
        <v>0.10000000000000142</v>
      </c>
      <c r="F203" s="20">
        <f t="shared" si="5"/>
        <v>-0.33999999999999775</v>
      </c>
      <c r="G203" s="35">
        <f t="shared" si="6"/>
        <v>0.11559999999999847</v>
      </c>
    </row>
    <row r="204" spans="1:7">
      <c r="A204" s="12" t="s">
        <v>180</v>
      </c>
      <c r="B204" s="34">
        <v>37.5</v>
      </c>
      <c r="C204" s="34">
        <v>36.6</v>
      </c>
      <c r="D204" s="34">
        <f t="shared" si="4"/>
        <v>0.89999999999999858</v>
      </c>
      <c r="F204" s="20">
        <f t="shared" si="5"/>
        <v>0.45999999999999941</v>
      </c>
      <c r="G204" s="35">
        <f t="shared" si="6"/>
        <v>0.21159999999999946</v>
      </c>
    </row>
    <row r="205" spans="1:7">
      <c r="A205" s="12" t="s">
        <v>181</v>
      </c>
      <c r="B205" s="34">
        <v>39.6</v>
      </c>
      <c r="C205" s="34">
        <v>38.6</v>
      </c>
      <c r="D205" s="34">
        <f t="shared" si="4"/>
        <v>1</v>
      </c>
      <c r="F205" s="20">
        <f t="shared" si="5"/>
        <v>0.56000000000000083</v>
      </c>
      <c r="G205" s="35">
        <f t="shared" si="6"/>
        <v>0.31360000000000093</v>
      </c>
    </row>
    <row r="206" spans="1:7">
      <c r="A206" s="12" t="s">
        <v>182</v>
      </c>
      <c r="B206" s="34">
        <v>35.4</v>
      </c>
      <c r="C206" s="34">
        <v>36</v>
      </c>
      <c r="D206" s="34">
        <f t="shared" si="4"/>
        <v>-0.60000000000000142</v>
      </c>
      <c r="F206" s="20">
        <f t="shared" si="5"/>
        <v>-1.0400000000000005</v>
      </c>
      <c r="G206" s="35">
        <f t="shared" si="6"/>
        <v>1.081600000000001</v>
      </c>
    </row>
    <row r="207" spans="1:7">
      <c r="A207" s="12" t="s">
        <v>183</v>
      </c>
      <c r="B207" s="34">
        <v>39.700000000000003</v>
      </c>
      <c r="C207" s="34">
        <v>39.200000000000003</v>
      </c>
      <c r="D207" s="34">
        <f t="shared" si="4"/>
        <v>0.5</v>
      </c>
      <c r="F207" s="20">
        <f t="shared" si="5"/>
        <v>6.000000000000083E-2</v>
      </c>
      <c r="G207" s="35">
        <f t="shared" si="6"/>
        <v>3.6000000000000996E-3</v>
      </c>
    </row>
    <row r="208" spans="1:7">
      <c r="A208" s="12" t="s">
        <v>184</v>
      </c>
      <c r="B208" s="34">
        <v>34.5</v>
      </c>
      <c r="C208" s="34">
        <v>34.9</v>
      </c>
      <c r="D208" s="34">
        <f t="shared" si="4"/>
        <v>-0.39999999999999858</v>
      </c>
      <c r="F208" s="20">
        <f t="shared" si="5"/>
        <v>-0.83999999999999775</v>
      </c>
      <c r="G208" s="35">
        <f t="shared" si="6"/>
        <v>0.70559999999999623</v>
      </c>
    </row>
    <row r="209" spans="1:7">
      <c r="A209" s="12" t="s">
        <v>185</v>
      </c>
      <c r="B209" s="34">
        <v>36.5</v>
      </c>
      <c r="C209" s="34">
        <v>36.200000000000003</v>
      </c>
      <c r="D209" s="34">
        <f t="shared" si="4"/>
        <v>0.29999999999999716</v>
      </c>
      <c r="F209" s="20">
        <f t="shared" si="5"/>
        <v>-0.14000000000000201</v>
      </c>
      <c r="G209" s="35">
        <f t="shared" si="6"/>
        <v>1.9600000000000565E-2</v>
      </c>
    </row>
    <row r="210" spans="1:7">
      <c r="A210" s="12" t="s">
        <v>186</v>
      </c>
      <c r="B210" s="34">
        <v>36.299999999999997</v>
      </c>
      <c r="C210" s="34">
        <v>35.5</v>
      </c>
      <c r="D210" s="34">
        <f t="shared" si="4"/>
        <v>0.79999999999999716</v>
      </c>
      <c r="F210" s="20">
        <f t="shared" si="5"/>
        <v>0.35999999999999799</v>
      </c>
      <c r="G210" s="35">
        <f t="shared" si="6"/>
        <v>0.12959999999999855</v>
      </c>
    </row>
    <row r="211" spans="1:7">
      <c r="D211" s="34">
        <f>SUM(D201:D210)</f>
        <v>4.3999999999999915</v>
      </c>
      <c r="F211" s="20">
        <f>SUM(F201:F210)</f>
        <v>0</v>
      </c>
      <c r="G211" s="35">
        <f>SUM(G201:G210)</f>
        <v>3.1839999999999908</v>
      </c>
    </row>
    <row r="212" spans="1:7">
      <c r="D212" s="20">
        <f>AVERAGE(D201:D210)</f>
        <v>0.43999999999999917</v>
      </c>
    </row>
    <row r="214" spans="1:7">
      <c r="B214" t="s">
        <v>147</v>
      </c>
      <c r="C214" t="s">
        <v>187</v>
      </c>
    </row>
    <row r="215" spans="1:7">
      <c r="B215" t="s">
        <v>148</v>
      </c>
      <c r="C215" t="s">
        <v>188</v>
      </c>
      <c r="F215" s="28" t="s">
        <v>191</v>
      </c>
    </row>
    <row r="217" spans="1:7">
      <c r="B217" t="s">
        <v>135</v>
      </c>
      <c r="C217">
        <v>10</v>
      </c>
    </row>
    <row r="218" spans="1:7">
      <c r="B218" t="s">
        <v>160</v>
      </c>
      <c r="C218" s="25">
        <f>D212</f>
        <v>0.43999999999999917</v>
      </c>
    </row>
    <row r="219" spans="1:7">
      <c r="B219" t="s">
        <v>149</v>
      </c>
      <c r="C219" s="29">
        <f>STDEV(D201:D210)</f>
        <v>0.59479221395187809</v>
      </c>
    </row>
    <row r="221" spans="1:7">
      <c r="B221" t="s">
        <v>132</v>
      </c>
      <c r="C221">
        <v>0.05</v>
      </c>
    </row>
    <row r="222" spans="1:7">
      <c r="B222" t="s">
        <v>139</v>
      </c>
      <c r="C222" s="25">
        <f>C218/(C219/(C217^(1/2)))</f>
        <v>2.3393079765275075</v>
      </c>
    </row>
    <row r="223" spans="1:7">
      <c r="B223" t="s">
        <v>171</v>
      </c>
      <c r="C223">
        <f>C217-1</f>
        <v>9</v>
      </c>
    </row>
    <row r="224" spans="1:7">
      <c r="B224" t="s">
        <v>192</v>
      </c>
      <c r="C224" s="29">
        <f>TINV(C221,C223)</f>
        <v>2.2621571581735829</v>
      </c>
    </row>
    <row r="225" spans="1:5">
      <c r="B225" t="s">
        <v>165</v>
      </c>
      <c r="C225" s="24">
        <f>TDIST(C222,C223,2)</f>
        <v>4.4070199298229189E-2</v>
      </c>
    </row>
    <row r="228" spans="1:5">
      <c r="B228" t="s">
        <v>193</v>
      </c>
    </row>
    <row r="229" spans="1:5">
      <c r="B229" t="s">
        <v>194</v>
      </c>
    </row>
    <row r="234" spans="1:5">
      <c r="A234" t="s">
        <v>203</v>
      </c>
    </row>
    <row r="236" spans="1:5">
      <c r="B236" t="s">
        <v>124</v>
      </c>
      <c r="C236" t="s">
        <v>197</v>
      </c>
    </row>
    <row r="237" spans="1:5">
      <c r="B237" t="s">
        <v>126</v>
      </c>
      <c r="C237" t="s">
        <v>198</v>
      </c>
      <c r="E237" s="28"/>
    </row>
    <row r="238" spans="1:5">
      <c r="B238" s="28" t="s">
        <v>154</v>
      </c>
    </row>
    <row r="240" spans="1:5">
      <c r="B240" s="12"/>
      <c r="C240" s="12" t="s">
        <v>195</v>
      </c>
      <c r="D240" s="12" t="s">
        <v>196</v>
      </c>
    </row>
    <row r="241" spans="1:4">
      <c r="B241" s="12" t="s">
        <v>135</v>
      </c>
      <c r="C241" s="1">
        <v>30</v>
      </c>
      <c r="D241" s="1">
        <v>60</v>
      </c>
    </row>
    <row r="242" spans="1:4">
      <c r="B242" s="12" t="s">
        <v>136</v>
      </c>
      <c r="C242" s="1">
        <f>12/C241</f>
        <v>0.4</v>
      </c>
      <c r="D242" s="1">
        <f>9/D241</f>
        <v>0.15</v>
      </c>
    </row>
    <row r="244" spans="1:4">
      <c r="B244" t="s">
        <v>132</v>
      </c>
      <c r="C244">
        <v>0.01</v>
      </c>
    </row>
    <row r="245" spans="1:4">
      <c r="B245" s="15" t="s">
        <v>199</v>
      </c>
      <c r="C245">
        <f>(C241*C242+D241*D242)/(C241+D241)</f>
        <v>0.23333333333333334</v>
      </c>
    </row>
    <row r="246" spans="1:4">
      <c r="B246" t="s">
        <v>139</v>
      </c>
      <c r="C246">
        <f>(C242-D242)/(C245*(1-C245)*(1/C241+1/D241))^(1/2)</f>
        <v>2.6434026631884051</v>
      </c>
    </row>
    <row r="247" spans="1:4">
      <c r="B247" t="s">
        <v>200</v>
      </c>
      <c r="C247">
        <v>2.33</v>
      </c>
    </row>
    <row r="248" spans="1:4">
      <c r="B248" t="s">
        <v>165</v>
      </c>
      <c r="C248">
        <f>1-NORMSDIST(C246)</f>
        <v>4.1038680536744643E-3</v>
      </c>
    </row>
    <row r="250" spans="1:4">
      <c r="B250" t="s">
        <v>202</v>
      </c>
    </row>
    <row r="251" spans="1:4">
      <c r="B251" t="s">
        <v>201</v>
      </c>
    </row>
    <row r="255" spans="1:4">
      <c r="A255" t="s">
        <v>204</v>
      </c>
    </row>
  </sheetData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第3章</vt:lpstr>
      <vt:lpstr>第4章</vt:lpstr>
      <vt:lpstr>第5章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NRIネットコム株式会社</dc:creator>
  <cp:lastModifiedBy>伊津野</cp:lastModifiedBy>
  <dcterms:created xsi:type="dcterms:W3CDTF">2016-04-13T09:13:19Z</dcterms:created>
  <dcterms:modified xsi:type="dcterms:W3CDTF">2016-04-22T08:37:52Z</dcterms:modified>
</cp:coreProperties>
</file>