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1C2A49CE-B311-4BB3-ACF4-4DD2EA54054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2-Stage OpAmp Desig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1" i="1" l="1"/>
  <c r="D61" i="1"/>
  <c r="B62" i="1"/>
  <c r="F39" i="1"/>
  <c r="F40" i="1" s="1"/>
  <c r="F41" i="1" l="1"/>
  <c r="C28" i="1" l="1"/>
  <c r="B26" i="1" l="1"/>
  <c r="G39" i="1"/>
  <c r="D11" i="1"/>
  <c r="D10" i="1"/>
  <c r="F42" i="1" l="1"/>
  <c r="F43" i="1" s="1"/>
  <c r="F44" i="1" s="1"/>
  <c r="F50" i="1" l="1"/>
  <c r="F48" i="1"/>
  <c r="F49" i="1" s="1"/>
  <c r="F45" i="1" l="1"/>
  <c r="F46" i="1" s="1"/>
  <c r="F51" i="1"/>
  <c r="F52" i="1" s="1"/>
  <c r="F53" i="1" s="1"/>
  <c r="E61" i="1" s="1"/>
  <c r="F54" i="1" l="1"/>
  <c r="F55" i="1" l="1"/>
  <c r="F58" i="1" s="1"/>
  <c r="G58" i="1" s="1"/>
  <c r="F47" i="1"/>
  <c r="F57" i="1" l="1"/>
  <c r="G57" i="1" s="1"/>
  <c r="F56" i="1"/>
</calcChain>
</file>

<file path=xl/sharedStrings.xml><?xml version="1.0" encoding="utf-8"?>
<sst xmlns="http://schemas.openxmlformats.org/spreadsheetml/2006/main" count="141" uniqueCount="115">
  <si>
    <t>2-Stage Op Amp Design</t>
  </si>
  <si>
    <t>Constant for Silicon</t>
  </si>
  <si>
    <t>Value</t>
  </si>
  <si>
    <t>Unit</t>
  </si>
  <si>
    <t>V</t>
  </si>
  <si>
    <t>J/K</t>
  </si>
  <si>
    <t>cm^-3</t>
  </si>
  <si>
    <t>F/cm</t>
  </si>
  <si>
    <t>Model Parameter</t>
  </si>
  <si>
    <t>n-channel</t>
  </si>
  <si>
    <t>p-channel</t>
  </si>
  <si>
    <t>± Range</t>
  </si>
  <si>
    <t>uA/V^2</t>
  </si>
  <si>
    <t>V^(1/2)</t>
  </si>
  <si>
    <t>V^-1</t>
  </si>
  <si>
    <t>Op Amp Specification</t>
  </si>
  <si>
    <t>Phase margin</t>
  </si>
  <si>
    <t>rad (°)</t>
  </si>
  <si>
    <t>channel length</t>
  </si>
  <si>
    <t>um</t>
  </si>
  <si>
    <t xml:space="preserve">Av &gt; </t>
  </si>
  <si>
    <t>V/V</t>
  </si>
  <si>
    <t xml:space="preserve">GB </t>
  </si>
  <si>
    <t>MHz</t>
  </si>
  <si>
    <t>Vout range ±</t>
  </si>
  <si>
    <t>Vdd</t>
  </si>
  <si>
    <t>Cl</t>
  </si>
  <si>
    <t>pF</t>
  </si>
  <si>
    <t>ICMR</t>
  </si>
  <si>
    <t>Vss</t>
  </si>
  <si>
    <t xml:space="preserve">SR &gt; </t>
  </si>
  <si>
    <t>V/us</t>
  </si>
  <si>
    <t>Pdiss ≤</t>
  </si>
  <si>
    <t>mW</t>
  </si>
  <si>
    <t>2 Stage Op Amp Design</t>
  </si>
  <si>
    <t>Cc &gt;</t>
  </si>
  <si>
    <t>(2.2/10) * Cl</t>
  </si>
  <si>
    <t>I5</t>
  </si>
  <si>
    <t>SR * Cc</t>
  </si>
  <si>
    <t>uA</t>
  </si>
  <si>
    <t>M3 (W/L)3</t>
  </si>
  <si>
    <t>gm1</t>
  </si>
  <si>
    <t>uS</t>
  </si>
  <si>
    <t>M1 (W/L)1</t>
  </si>
  <si>
    <t>B1</t>
  </si>
  <si>
    <t>K'1 * (W/L)1</t>
  </si>
  <si>
    <t>Vds5</t>
  </si>
  <si>
    <t>Vin(min) - Vss - (I5/Beta1)^(1/2) - Vt1(max)</t>
  </si>
  <si>
    <t>M5 (W/L)5</t>
  </si>
  <si>
    <t>(2 * I5)/(K'5 * Vds5^2)</t>
  </si>
  <si>
    <t>gm2</t>
  </si>
  <si>
    <t>gm6</t>
  </si>
  <si>
    <t>2.2 * gm2 * (Cl/Cc)</t>
  </si>
  <si>
    <t xml:space="preserve">M4 (W/L)4 </t>
  </si>
  <si>
    <t>(W/L)3</t>
  </si>
  <si>
    <t>I1</t>
  </si>
  <si>
    <t>gm1^2 / (2*k'1 * M1)</t>
  </si>
  <si>
    <t>I4</t>
  </si>
  <si>
    <t>(M4/M3)*I3 = (M4/M3)*I1</t>
  </si>
  <si>
    <t>gm4</t>
  </si>
  <si>
    <t>√(2 * K'4 * (W/L)4 * I4)</t>
  </si>
  <si>
    <t>(W/L)4 * (gm6 / gm4)</t>
  </si>
  <si>
    <t>I6</t>
  </si>
  <si>
    <t>gm6^2 / (2 * K'6 * (W/L)6)</t>
  </si>
  <si>
    <t>M7 (W/L)7</t>
  </si>
  <si>
    <t>(W/L)5 * (I6/I5)</t>
  </si>
  <si>
    <t>Av</t>
  </si>
  <si>
    <t>2*gm2*gm6/I5*(lamda2+lamda4)*I6*(lamda6+lamda7)</t>
  </si>
  <si>
    <t>Nama: Izzudin Al Ayyubi</t>
  </si>
  <si>
    <t>NPM: 2006574780</t>
  </si>
  <si>
    <t>M2 (W/L)2</t>
  </si>
  <si>
    <t>L = 2 um</t>
  </si>
  <si>
    <t>L = 1 um</t>
  </si>
  <si>
    <t>gm1^2 / (K'1 * I5)</t>
  </si>
  <si>
    <t>2*pi*GB*Cc</t>
  </si>
  <si>
    <t>S6= M6 (W/L)6</t>
  </si>
  <si>
    <t>Silicon Bandgap (27°C)</t>
  </si>
  <si>
    <t>Boltzmann's Constant</t>
  </si>
  <si>
    <t>intrinsic carrier concentration (27°C)</t>
  </si>
  <si>
    <t>permittivity of free space</t>
  </si>
  <si>
    <t>permittivity of silicon</t>
  </si>
  <si>
    <t>permittivity of SiO2</t>
  </si>
  <si>
    <t>Parameter Symbol</t>
  </si>
  <si>
    <t xml:space="preserve">VG0 </t>
  </si>
  <si>
    <t xml:space="preserve">k </t>
  </si>
  <si>
    <t>ni</t>
  </si>
  <si>
    <t>e0</t>
  </si>
  <si>
    <t>esi</t>
  </si>
  <si>
    <t>eox</t>
  </si>
  <si>
    <t>threshold voltage (Vbs = 0)</t>
  </si>
  <si>
    <t>transconductance parameter (in saturation)</t>
  </si>
  <si>
    <t>bulk threshold parameter</t>
  </si>
  <si>
    <t>channel length modulation parameter</t>
  </si>
  <si>
    <t>surface potential at strong inversion</t>
  </si>
  <si>
    <t>Vt0</t>
  </si>
  <si>
    <t>K'</t>
  </si>
  <si>
    <t>gamma</t>
  </si>
  <si>
    <t>lambda</t>
  </si>
  <si>
    <t>2|phiF|</t>
  </si>
  <si>
    <t>I5 / [ K'3 * [(Vdd - Vin(max) - |Vt03|(max) + Vt1(min) ]^2]</t>
  </si>
  <si>
    <t>dB</t>
  </si>
  <si>
    <t>NPM</t>
  </si>
  <si>
    <t>X</t>
  </si>
  <si>
    <t>Y</t>
  </si>
  <si>
    <t>Z</t>
  </si>
  <si>
    <t>Pdiss</t>
  </si>
  <si>
    <t>(Vdd+|Vss|)*(I6+I5)</t>
  </si>
  <si>
    <t>uW</t>
  </si>
  <si>
    <t>Additional</t>
  </si>
  <si>
    <t>Verify Pole M3</t>
  </si>
  <si>
    <t>gm3/2Cgs3</t>
  </si>
  <si>
    <t>10*GB</t>
  </si>
  <si>
    <t>Cox</t>
  </si>
  <si>
    <t>gm3/2Cgs3&gt;10*GB</t>
  </si>
  <si>
    <t>True =1 ; False=0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</si>
</sst>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E+00"/>
  </numFmts>
  <fonts count="10" x14ac:knownFonts="1">
    <font>
      <sz val="10"/>
      <color rgb="FF000000"/>
      <name val="Arial"/>
      <scheme val="minor"/>
    </font>
    <font>
      <sz val="12"/>
      <color theme="1"/>
      <name val="Times New Roman"/>
      <family val="1"/>
    </font>
    <font>
      <sz val="12"/>
      <name val="Times New Roman"/>
      <family val="1"/>
    </font>
    <font>
      <sz val="12"/>
      <color rgb="FF000000"/>
      <name val="Times New Roman"/>
      <family val="1"/>
    </font>
    <font>
      <sz val="8"/>
      <name val="Arial"/>
      <family val="2"/>
      <scheme val="minor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2"/>
      <name val="Times New Roman"/>
      <family val="1"/>
    </font>
    <font>
      <b/>
      <sz val="12"/>
      <color rgb="FF000000"/>
      <name val="Times New Roman"/>
      <family val="1"/>
    </font>
    <font>
      <sz val="14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58">
    <xf numFmtId="0" fontId="0" fillId="0" borderId="0" xfId="0"/>
    <xf numFmtId="11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3" fontId="1" fillId="0" borderId="0" xfId="0" applyNumberFormat="1" applyFont="1" applyAlignment="1">
      <alignment horizontal="center" vertical="center"/>
    </xf>
    <xf numFmtId="9" fontId="1" fillId="0" borderId="7" xfId="0" applyNumberFormat="1" applyFont="1" applyBorder="1" applyAlignment="1">
      <alignment horizontal="center" vertical="center"/>
    </xf>
    <xf numFmtId="2" fontId="1" fillId="0" borderId="7" xfId="0" applyNumberFormat="1" applyFont="1" applyBorder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3" fontId="1" fillId="0" borderId="3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2" fontId="1" fillId="0" borderId="9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1" fillId="0" borderId="8" xfId="0" applyNumberFormat="1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35859</xdr:colOff>
      <xdr:row>2</xdr:row>
      <xdr:rowOff>98612</xdr:rowOff>
    </xdr:from>
    <xdr:to>
      <xdr:col>11</xdr:col>
      <xdr:colOff>246107</xdr:colOff>
      <xdr:row>11</xdr:row>
      <xdr:rowOff>134470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9C5701E-C910-43DB-A459-4F7AFC9435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83741" y="493059"/>
          <a:ext cx="5382883" cy="1810870"/>
        </a:xfrm>
        <a:prstGeom prst="rect">
          <a:avLst/>
        </a:prstGeom>
      </xdr:spPr>
    </xdr:pic>
    <xdr:clientData/>
  </xdr:twoCellAnchor>
  <xdr:oneCellAnchor>
    <xdr:from>
      <xdr:col>9</xdr:col>
      <xdr:colOff>597048</xdr:colOff>
      <xdr:row>35</xdr:row>
      <xdr:rowOff>185254</xdr:rowOff>
    </xdr:from>
    <xdr:ext cx="4670611" cy="2597391"/>
    <xdr:pic>
      <xdr:nvPicPr>
        <xdr:cNvPr id="7" name="image5.png" title="Image">
          <a:extLst>
            <a:ext uri="{FF2B5EF4-FFF2-40B4-BE49-F238E27FC236}">
              <a16:creationId xmlns:a16="http://schemas.microsoft.com/office/drawing/2014/main" id="{7E5CBB45-6059-45D7-AC85-8AC256427D97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901068" y="7119454"/>
          <a:ext cx="4670611" cy="2597391"/>
        </a:xfrm>
        <a:prstGeom prst="rect">
          <a:avLst/>
        </a:prstGeom>
        <a:noFill/>
      </xdr:spPr>
    </xdr:pic>
    <xdr:clientData fLocksWithSheet="0"/>
  </xdr:oneCellAnchor>
  <xdr:oneCellAnchor>
    <xdr:from>
      <xdr:col>9</xdr:col>
      <xdr:colOff>589429</xdr:colOff>
      <xdr:row>49</xdr:row>
      <xdr:rowOff>60512</xdr:rowOff>
    </xdr:from>
    <xdr:ext cx="4678355" cy="2288241"/>
    <xdr:pic>
      <xdr:nvPicPr>
        <xdr:cNvPr id="8" name="image1.png" title="Image">
          <a:extLst>
            <a:ext uri="{FF2B5EF4-FFF2-40B4-BE49-F238E27FC236}">
              <a16:creationId xmlns:a16="http://schemas.microsoft.com/office/drawing/2014/main" id="{BEBCBCA9-9833-4DBC-A9E9-37E00FD1883A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9893449" y="9768392"/>
          <a:ext cx="4678355" cy="2288241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219563</xdr:colOff>
      <xdr:row>62</xdr:row>
      <xdr:rowOff>155301</xdr:rowOff>
    </xdr:from>
    <xdr:ext cx="3829050" cy="2362200"/>
    <xdr:pic>
      <xdr:nvPicPr>
        <xdr:cNvPr id="9" name="image4.png" title="Image">
          <a:extLst>
            <a:ext uri="{FF2B5EF4-FFF2-40B4-BE49-F238E27FC236}">
              <a16:creationId xmlns:a16="http://schemas.microsoft.com/office/drawing/2014/main" id="{1E4269F9-804A-4654-8F16-C460962D8ED2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19563" y="12479823"/>
          <a:ext cx="3829050" cy="23622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7</xdr:col>
      <xdr:colOff>242048</xdr:colOff>
      <xdr:row>14</xdr:row>
      <xdr:rowOff>109566</xdr:rowOff>
    </xdr:from>
    <xdr:to>
      <xdr:col>13</xdr:col>
      <xdr:colOff>604680</xdr:colOff>
      <xdr:row>34</xdr:row>
      <xdr:rowOff>62752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DCA117F-E5CF-E77D-957E-ED90D4B96A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408895" y="2870695"/>
          <a:ext cx="4988420" cy="38976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W72"/>
  <sheetViews>
    <sheetView tabSelected="1" zoomScale="115" zoomScaleNormal="115" workbookViewId="0">
      <selection activeCell="G14" sqref="G14"/>
    </sheetView>
  </sheetViews>
  <sheetFormatPr defaultColWidth="12.6640625" defaultRowHeight="15.75" customHeight="1" x14ac:dyDescent="0.25"/>
  <cols>
    <col min="1" max="1" width="19.5546875" style="5" customWidth="1"/>
    <col min="2" max="2" width="23.44140625" style="5" customWidth="1"/>
    <col min="3" max="3" width="17.33203125" style="5" customWidth="1"/>
    <col min="4" max="4" width="15.44140625" style="5" bestFit="1" customWidth="1"/>
    <col min="5" max="5" width="12.6640625" style="5"/>
    <col min="6" max="6" width="15.88671875" style="5" customWidth="1"/>
    <col min="7" max="7" width="17.44140625" style="5" customWidth="1"/>
    <col min="8" max="9" width="8.33203125" style="5" customWidth="1"/>
    <col min="10" max="11" width="12.6640625" style="5" customWidth="1"/>
    <col min="12" max="16384" width="12.6640625" style="5"/>
  </cols>
  <sheetData>
    <row r="1" spans="1:18" ht="15.75" customHeight="1" x14ac:dyDescent="0.25">
      <c r="A1" s="44" t="s">
        <v>68</v>
      </c>
      <c r="B1" s="44"/>
      <c r="D1" s="43" t="s">
        <v>0</v>
      </c>
      <c r="E1" s="43"/>
      <c r="F1" s="43"/>
      <c r="G1" s="43"/>
      <c r="H1" s="3"/>
      <c r="I1" s="3"/>
      <c r="J1" s="3"/>
      <c r="K1" s="3"/>
    </row>
    <row r="2" spans="1:18" ht="15.75" customHeight="1" x14ac:dyDescent="0.25">
      <c r="A2" s="44" t="s">
        <v>69</v>
      </c>
      <c r="B2" s="44"/>
      <c r="D2" s="43"/>
      <c r="E2" s="43"/>
      <c r="F2" s="43"/>
      <c r="G2" s="43"/>
      <c r="H2" s="3"/>
      <c r="I2" s="3"/>
      <c r="J2" s="3"/>
      <c r="K2" s="3"/>
      <c r="O2" s="32"/>
      <c r="P2" s="33"/>
      <c r="Q2" s="33"/>
      <c r="R2" s="33"/>
    </row>
    <row r="3" spans="1:18" ht="15.75" customHeight="1" x14ac:dyDescent="0.25">
      <c r="A3" s="4"/>
      <c r="B3" s="4"/>
      <c r="C3" s="4"/>
      <c r="D3" s="4"/>
      <c r="E3" s="4"/>
      <c r="F3" s="4"/>
      <c r="G3" s="4"/>
      <c r="H3" s="4"/>
      <c r="I3" s="2"/>
    </row>
    <row r="4" spans="1:18" ht="15.75" customHeight="1" x14ac:dyDescent="0.25">
      <c r="A4" s="2"/>
      <c r="B4" s="2"/>
      <c r="C4" s="2"/>
      <c r="D4" s="2"/>
      <c r="E4" s="2"/>
      <c r="F4" s="2"/>
      <c r="G4" s="2"/>
      <c r="H4" s="2"/>
      <c r="I4" s="2"/>
    </row>
    <row r="5" spans="1:18" ht="15.75" customHeight="1" x14ac:dyDescent="0.25">
      <c r="A5" s="17" t="s">
        <v>82</v>
      </c>
      <c r="B5" s="30" t="s">
        <v>1</v>
      </c>
      <c r="C5" s="31"/>
      <c r="D5" s="14" t="s">
        <v>2</v>
      </c>
      <c r="E5" s="13" t="s">
        <v>3</v>
      </c>
      <c r="F5" s="2"/>
      <c r="G5" s="2"/>
      <c r="H5" s="2"/>
      <c r="I5" s="2"/>
    </row>
    <row r="6" spans="1:18" ht="15.75" customHeight="1" x14ac:dyDescent="0.25">
      <c r="A6" s="18" t="s">
        <v>83</v>
      </c>
      <c r="B6" s="50" t="s">
        <v>76</v>
      </c>
      <c r="C6" s="51"/>
      <c r="D6" s="15">
        <v>1.2050000000000001</v>
      </c>
      <c r="E6" s="12" t="s">
        <v>4</v>
      </c>
      <c r="F6" s="2"/>
      <c r="G6" s="2"/>
      <c r="H6" s="8"/>
      <c r="I6" s="2"/>
      <c r="J6" s="2"/>
      <c r="K6" s="2"/>
      <c r="L6" s="2"/>
      <c r="M6" s="2"/>
    </row>
    <row r="7" spans="1:18" ht="15.75" customHeight="1" x14ac:dyDescent="0.25">
      <c r="A7" s="18" t="s">
        <v>84</v>
      </c>
      <c r="B7" s="50" t="s">
        <v>77</v>
      </c>
      <c r="C7" s="51"/>
      <c r="D7" s="16">
        <v>1.3809999999999999E-23</v>
      </c>
      <c r="E7" s="7" t="s">
        <v>5</v>
      </c>
      <c r="F7" s="2"/>
      <c r="G7" s="2"/>
      <c r="H7" s="1"/>
      <c r="I7" s="2"/>
    </row>
    <row r="8" spans="1:18" ht="15.75" customHeight="1" x14ac:dyDescent="0.25">
      <c r="A8" s="18" t="s">
        <v>85</v>
      </c>
      <c r="B8" s="50" t="s">
        <v>78</v>
      </c>
      <c r="C8" s="51"/>
      <c r="D8" s="16">
        <v>14500000000</v>
      </c>
      <c r="E8" s="7" t="s">
        <v>6</v>
      </c>
      <c r="F8" s="2"/>
      <c r="G8" s="2"/>
      <c r="H8" s="1"/>
      <c r="I8" s="2"/>
    </row>
    <row r="9" spans="1:18" ht="15.75" customHeight="1" x14ac:dyDescent="0.25">
      <c r="A9" s="18" t="s">
        <v>86</v>
      </c>
      <c r="B9" s="50" t="s">
        <v>79</v>
      </c>
      <c r="C9" s="51"/>
      <c r="D9" s="16">
        <v>8.8539999999999994E-14</v>
      </c>
      <c r="E9" s="7" t="s">
        <v>7</v>
      </c>
      <c r="F9" s="2"/>
      <c r="G9" s="2"/>
      <c r="H9" s="1"/>
      <c r="I9" s="2"/>
    </row>
    <row r="10" spans="1:18" ht="15.75" customHeight="1" x14ac:dyDescent="0.25">
      <c r="A10" s="18" t="s">
        <v>87</v>
      </c>
      <c r="B10" s="50" t="s">
        <v>80</v>
      </c>
      <c r="C10" s="51"/>
      <c r="D10" s="16">
        <f>11.7*D9</f>
        <v>1.0359179999999999E-12</v>
      </c>
      <c r="E10" s="7" t="s">
        <v>7</v>
      </c>
      <c r="F10" s="2"/>
      <c r="G10" s="2"/>
      <c r="I10" s="2"/>
    </row>
    <row r="11" spans="1:18" ht="15.75" customHeight="1" x14ac:dyDescent="0.25">
      <c r="A11" s="18" t="s">
        <v>88</v>
      </c>
      <c r="B11" s="50" t="s">
        <v>81</v>
      </c>
      <c r="C11" s="51"/>
      <c r="D11" s="16">
        <f>3.9*D9</f>
        <v>3.4530599999999998E-13</v>
      </c>
      <c r="E11" s="7" t="s">
        <v>7</v>
      </c>
      <c r="F11" s="2"/>
      <c r="G11" s="2"/>
      <c r="I11" s="2"/>
    </row>
    <row r="12" spans="1:18" ht="15.75" customHeight="1" x14ac:dyDescent="0.25">
      <c r="A12" s="2"/>
      <c r="B12" s="4"/>
      <c r="C12" s="4"/>
      <c r="D12" s="1"/>
      <c r="E12" s="2"/>
      <c r="F12" s="2"/>
      <c r="G12" s="2"/>
      <c r="I12" s="2"/>
    </row>
    <row r="13" spans="1:18" ht="15.75" customHeight="1" x14ac:dyDescent="0.25">
      <c r="A13" s="2"/>
      <c r="B13" s="4"/>
      <c r="C13" s="4"/>
      <c r="D13" s="1"/>
      <c r="E13" s="2"/>
      <c r="F13" s="2"/>
      <c r="G13" s="2"/>
      <c r="I13" s="2"/>
    </row>
    <row r="14" spans="1:18" ht="15.75" customHeight="1" x14ac:dyDescent="0.25">
      <c r="A14" s="2"/>
      <c r="B14" s="4"/>
      <c r="C14" s="4"/>
      <c r="D14" s="1"/>
      <c r="E14" s="2"/>
      <c r="F14" s="2"/>
      <c r="G14" s="2"/>
      <c r="I14" s="2"/>
    </row>
    <row r="16" spans="1:18" ht="15.75" customHeight="1" x14ac:dyDescent="0.25">
      <c r="A16" s="17" t="s">
        <v>82</v>
      </c>
      <c r="B16" s="37" t="s">
        <v>8</v>
      </c>
      <c r="C16" s="37"/>
      <c r="D16" s="19" t="s">
        <v>9</v>
      </c>
      <c r="E16" s="6" t="s">
        <v>10</v>
      </c>
      <c r="F16" s="6" t="s">
        <v>11</v>
      </c>
      <c r="G16" s="6" t="s">
        <v>3</v>
      </c>
    </row>
    <row r="17" spans="1:15" ht="15.75" customHeight="1" x14ac:dyDescent="0.25">
      <c r="A17" s="18" t="s">
        <v>94</v>
      </c>
      <c r="B17" s="38" t="s">
        <v>89</v>
      </c>
      <c r="C17" s="38"/>
      <c r="D17" s="20">
        <v>0.4</v>
      </c>
      <c r="E17" s="7">
        <v>-0.4</v>
      </c>
      <c r="F17" s="7">
        <v>0.15</v>
      </c>
      <c r="G17" s="7" t="s">
        <v>4</v>
      </c>
    </row>
    <row r="18" spans="1:15" ht="15.75" customHeight="1" x14ac:dyDescent="0.25">
      <c r="A18" s="18" t="s">
        <v>95</v>
      </c>
      <c r="B18" s="38" t="s">
        <v>90</v>
      </c>
      <c r="C18" s="38"/>
      <c r="D18" s="20">
        <v>100</v>
      </c>
      <c r="E18" s="7">
        <v>50</v>
      </c>
      <c r="F18" s="9">
        <v>0.1</v>
      </c>
      <c r="G18" s="7" t="s">
        <v>12</v>
      </c>
    </row>
    <row r="19" spans="1:15" ht="15.75" customHeight="1" x14ac:dyDescent="0.25">
      <c r="A19" s="18" t="s">
        <v>96</v>
      </c>
      <c r="B19" s="38" t="s">
        <v>91</v>
      </c>
      <c r="C19" s="38"/>
      <c r="D19" s="20">
        <v>0.4</v>
      </c>
      <c r="E19" s="7">
        <v>0.56999999999999995</v>
      </c>
      <c r="F19" s="7"/>
      <c r="G19" s="7" t="s">
        <v>13</v>
      </c>
    </row>
    <row r="20" spans="1:15" ht="15.75" customHeight="1" x14ac:dyDescent="0.25">
      <c r="A20" s="54" t="s">
        <v>97</v>
      </c>
      <c r="B20" s="39" t="s">
        <v>92</v>
      </c>
      <c r="C20" s="39"/>
      <c r="D20" s="20">
        <v>0.01</v>
      </c>
      <c r="E20" s="7">
        <v>0.05</v>
      </c>
      <c r="F20" s="7" t="s">
        <v>72</v>
      </c>
      <c r="G20" s="45" t="s">
        <v>14</v>
      </c>
    </row>
    <row r="21" spans="1:15" ht="15.75" customHeight="1" x14ac:dyDescent="0.25">
      <c r="A21" s="55"/>
      <c r="B21" s="39"/>
      <c r="C21" s="39"/>
      <c r="D21" s="20">
        <v>0.01</v>
      </c>
      <c r="E21" s="7">
        <v>0.01</v>
      </c>
      <c r="F21" s="7" t="s">
        <v>71</v>
      </c>
      <c r="G21" s="46"/>
    </row>
    <row r="22" spans="1:15" ht="15.75" customHeight="1" x14ac:dyDescent="0.25">
      <c r="A22" s="18" t="s">
        <v>98</v>
      </c>
      <c r="B22" s="38" t="s">
        <v>93</v>
      </c>
      <c r="C22" s="38"/>
      <c r="D22" s="20">
        <v>0.7</v>
      </c>
      <c r="E22" s="7">
        <v>0.8</v>
      </c>
      <c r="F22" s="7"/>
      <c r="G22" s="7" t="s">
        <v>4</v>
      </c>
      <c r="O22" s="2"/>
    </row>
    <row r="23" spans="1:15" ht="15.75" customHeight="1" x14ac:dyDescent="0.25">
      <c r="A23" s="2"/>
      <c r="B23" s="4"/>
      <c r="C23" s="4"/>
      <c r="D23" s="2"/>
      <c r="E23" s="2"/>
      <c r="F23" s="2"/>
      <c r="G23" s="2"/>
      <c r="H23" s="2"/>
      <c r="O23" s="2"/>
    </row>
    <row r="24" spans="1:15" ht="15.75" customHeight="1" x14ac:dyDescent="0.25">
      <c r="A24" s="2"/>
      <c r="B24" s="2"/>
      <c r="C24" s="2"/>
      <c r="D24" s="2"/>
      <c r="O24" s="2"/>
    </row>
    <row r="25" spans="1:15" ht="15.75" customHeight="1" x14ac:dyDescent="0.25">
      <c r="A25" s="40" t="s">
        <v>15</v>
      </c>
      <c r="B25" s="41"/>
      <c r="C25" s="42"/>
      <c r="D25" s="6" t="s">
        <v>3</v>
      </c>
      <c r="F25" s="25" t="s">
        <v>101</v>
      </c>
      <c r="G25" s="13">
        <v>2006574780</v>
      </c>
      <c r="H25" s="2"/>
      <c r="I25" s="2"/>
      <c r="O25" s="2"/>
    </row>
    <row r="26" spans="1:15" ht="15.75" customHeight="1" x14ac:dyDescent="0.25">
      <c r="A26" s="7" t="s">
        <v>16</v>
      </c>
      <c r="B26" s="7">
        <f>RADIANS(C26)</f>
        <v>1.0471975511965976</v>
      </c>
      <c r="C26" s="7">
        <v>60</v>
      </c>
      <c r="D26" s="7" t="s">
        <v>17</v>
      </c>
      <c r="F26" s="24" t="s">
        <v>102</v>
      </c>
      <c r="G26" s="24">
        <v>7</v>
      </c>
      <c r="J26" s="2"/>
      <c r="K26" s="2"/>
      <c r="L26" s="2"/>
      <c r="M26" s="2"/>
      <c r="O26" s="2"/>
    </row>
    <row r="27" spans="1:15" ht="15.75" customHeight="1" x14ac:dyDescent="0.25">
      <c r="A27" s="7" t="s">
        <v>18</v>
      </c>
      <c r="B27" s="7">
        <v>1</v>
      </c>
      <c r="C27" s="7"/>
      <c r="D27" s="7" t="s">
        <v>19</v>
      </c>
      <c r="F27" s="24" t="s">
        <v>103</v>
      </c>
      <c r="G27" s="24">
        <v>8</v>
      </c>
      <c r="O27" s="2"/>
    </row>
    <row r="28" spans="1:15" ht="15.75" customHeight="1" x14ac:dyDescent="0.25">
      <c r="A28" s="7" t="s">
        <v>20</v>
      </c>
      <c r="B28" s="7">
        <v>1000000</v>
      </c>
      <c r="C28" s="7">
        <f>20*LOG10(B28)</f>
        <v>120</v>
      </c>
      <c r="D28" s="7" t="s">
        <v>21</v>
      </c>
      <c r="F28" s="24" t="s">
        <v>104</v>
      </c>
      <c r="G28" s="24">
        <v>0</v>
      </c>
      <c r="O28" s="2"/>
    </row>
    <row r="29" spans="1:15" ht="15.75" customHeight="1" x14ac:dyDescent="0.25">
      <c r="A29" s="7" t="s">
        <v>22</v>
      </c>
      <c r="B29" s="7">
        <v>78</v>
      </c>
      <c r="C29" s="7"/>
      <c r="D29" s="7" t="s">
        <v>23</v>
      </c>
      <c r="O29" s="2"/>
    </row>
    <row r="30" spans="1:15" ht="15.75" customHeight="1" x14ac:dyDescent="0.25">
      <c r="A30" s="7" t="s">
        <v>24</v>
      </c>
      <c r="B30" s="7">
        <v>2</v>
      </c>
      <c r="C30" s="7"/>
      <c r="D30" s="7" t="s">
        <v>4</v>
      </c>
      <c r="O30" s="2"/>
    </row>
    <row r="31" spans="1:15" ht="15.75" customHeight="1" x14ac:dyDescent="0.25">
      <c r="A31" s="7" t="s">
        <v>25</v>
      </c>
      <c r="B31" s="7">
        <v>3.8</v>
      </c>
      <c r="C31" s="7"/>
      <c r="D31" s="7" t="s">
        <v>4</v>
      </c>
      <c r="O31" s="2"/>
    </row>
    <row r="32" spans="1:15" ht="15.75" customHeight="1" x14ac:dyDescent="0.25">
      <c r="A32" s="7" t="s">
        <v>26</v>
      </c>
      <c r="B32" s="7">
        <v>17</v>
      </c>
      <c r="C32" s="7"/>
      <c r="D32" s="7" t="s">
        <v>27</v>
      </c>
      <c r="O32" s="2"/>
    </row>
    <row r="33" spans="1:19" ht="15.75" customHeight="1" x14ac:dyDescent="0.25">
      <c r="A33" s="7" t="s">
        <v>28</v>
      </c>
      <c r="B33" s="7">
        <v>-1</v>
      </c>
      <c r="C33" s="7">
        <v>1.5</v>
      </c>
      <c r="D33" s="7" t="s">
        <v>4</v>
      </c>
      <c r="O33" s="2"/>
    </row>
    <row r="34" spans="1:19" ht="15.75" customHeight="1" x14ac:dyDescent="0.25">
      <c r="A34" s="7" t="s">
        <v>29</v>
      </c>
      <c r="B34" s="7">
        <v>0</v>
      </c>
      <c r="C34" s="7"/>
      <c r="D34" s="7" t="s">
        <v>4</v>
      </c>
      <c r="O34" s="2"/>
    </row>
    <row r="35" spans="1:19" ht="15.75" customHeight="1" x14ac:dyDescent="0.25">
      <c r="A35" s="7" t="s">
        <v>30</v>
      </c>
      <c r="B35" s="7">
        <v>7</v>
      </c>
      <c r="C35" s="7"/>
      <c r="D35" s="7" t="s">
        <v>31</v>
      </c>
      <c r="O35" s="2"/>
    </row>
    <row r="36" spans="1:19" ht="15.75" customHeight="1" x14ac:dyDescent="0.25">
      <c r="A36" s="7" t="s">
        <v>32</v>
      </c>
      <c r="B36" s="7">
        <v>10</v>
      </c>
      <c r="C36" s="7"/>
      <c r="D36" s="7" t="s">
        <v>33</v>
      </c>
      <c r="O36" s="2"/>
    </row>
    <row r="37" spans="1:19" ht="15.75" customHeight="1" x14ac:dyDescent="0.25">
      <c r="A37" s="2"/>
      <c r="B37" s="2"/>
      <c r="C37" s="2"/>
      <c r="D37" s="2"/>
      <c r="E37" s="2"/>
      <c r="F37" s="2"/>
      <c r="G37" s="2"/>
      <c r="H37" s="2"/>
      <c r="O37" s="2"/>
    </row>
    <row r="38" spans="1:19" ht="15.75" customHeight="1" x14ac:dyDescent="0.25">
      <c r="A38" s="52" t="s">
        <v>34</v>
      </c>
      <c r="B38" s="53"/>
      <c r="C38" s="53"/>
      <c r="D38" s="53"/>
      <c r="E38" s="53"/>
      <c r="F38" s="13" t="s">
        <v>2</v>
      </c>
      <c r="G38" s="23"/>
      <c r="H38" s="30" t="s">
        <v>3</v>
      </c>
      <c r="I38" s="31"/>
    </row>
    <row r="39" spans="1:19" ht="15.75" customHeight="1" x14ac:dyDescent="0.25">
      <c r="A39" s="7" t="s">
        <v>35</v>
      </c>
      <c r="B39" s="34" t="s">
        <v>36</v>
      </c>
      <c r="C39" s="35"/>
      <c r="D39" s="35"/>
      <c r="E39" s="36"/>
      <c r="F39" s="26">
        <f>(2.2/10)*B32</f>
        <v>3.7400000000000007</v>
      </c>
      <c r="G39" s="21">
        <f>(2.2/10)*B32</f>
        <v>3.7400000000000007</v>
      </c>
      <c r="H39" s="18" t="s">
        <v>27</v>
      </c>
      <c r="I39" s="18" t="s">
        <v>27</v>
      </c>
    </row>
    <row r="40" spans="1:19" ht="15.75" customHeight="1" x14ac:dyDescent="0.25">
      <c r="A40" s="7" t="s">
        <v>37</v>
      </c>
      <c r="B40" s="34" t="s">
        <v>38</v>
      </c>
      <c r="C40" s="35"/>
      <c r="D40" s="35"/>
      <c r="E40" s="36"/>
      <c r="F40" s="10">
        <f>B35*F39</f>
        <v>26.180000000000003</v>
      </c>
      <c r="G40" s="21"/>
      <c r="H40" s="18" t="s">
        <v>39</v>
      </c>
      <c r="I40" s="24"/>
    </row>
    <row r="41" spans="1:19" ht="15.75" customHeight="1" x14ac:dyDescent="0.25">
      <c r="A41" s="7" t="s">
        <v>40</v>
      </c>
      <c r="B41" s="34" t="s">
        <v>99</v>
      </c>
      <c r="C41" s="35"/>
      <c r="D41" s="35"/>
      <c r="E41" s="36"/>
      <c r="F41" s="10">
        <f>F40/(E18*(B31-C33-ABS(E17-F17)+(D17-F17))^2)</f>
        <v>0.13090000000000004</v>
      </c>
      <c r="G41" s="21"/>
      <c r="H41" s="18"/>
      <c r="I41" s="24"/>
    </row>
    <row r="42" spans="1:19" ht="15.75" customHeight="1" x14ac:dyDescent="0.25">
      <c r="A42" s="7" t="s">
        <v>41</v>
      </c>
      <c r="B42" s="34" t="s">
        <v>74</v>
      </c>
      <c r="C42" s="35"/>
      <c r="D42" s="35"/>
      <c r="E42" s="36"/>
      <c r="F42" s="10">
        <f>2*PI()*B29*F39</f>
        <v>1832.9308178104291</v>
      </c>
      <c r="G42" s="21"/>
      <c r="H42" s="18" t="s">
        <v>42</v>
      </c>
      <c r="I42" s="24"/>
    </row>
    <row r="43" spans="1:19" ht="15.75" customHeight="1" x14ac:dyDescent="0.25">
      <c r="A43" s="7" t="s">
        <v>43</v>
      </c>
      <c r="B43" s="34" t="s">
        <v>73</v>
      </c>
      <c r="C43" s="35"/>
      <c r="D43" s="35"/>
      <c r="E43" s="36"/>
      <c r="F43" s="10">
        <f>(F42^2)/(D18*F40)</f>
        <v>1283.2831867376653</v>
      </c>
      <c r="G43" s="21"/>
      <c r="H43" s="18"/>
      <c r="I43" s="24"/>
    </row>
    <row r="44" spans="1:19" ht="15.75" customHeight="1" x14ac:dyDescent="0.25">
      <c r="A44" s="7" t="s">
        <v>70</v>
      </c>
      <c r="B44" s="34" t="s">
        <v>73</v>
      </c>
      <c r="C44" s="35"/>
      <c r="D44" s="35"/>
      <c r="E44" s="36"/>
      <c r="F44" s="10">
        <f>F43</f>
        <v>1283.2831867376653</v>
      </c>
      <c r="G44" s="21"/>
      <c r="H44" s="18"/>
      <c r="I44" s="24"/>
    </row>
    <row r="45" spans="1:19" ht="15.75" customHeight="1" x14ac:dyDescent="0.25">
      <c r="A45" s="7" t="s">
        <v>44</v>
      </c>
      <c r="B45" s="34" t="s">
        <v>45</v>
      </c>
      <c r="C45" s="35"/>
      <c r="D45" s="35"/>
      <c r="E45" s="36"/>
      <c r="F45" s="10">
        <f>D18*F43</f>
        <v>128328.31867376654</v>
      </c>
      <c r="G45" s="21"/>
      <c r="H45" s="18" t="s">
        <v>12</v>
      </c>
      <c r="I45" s="24"/>
    </row>
    <row r="46" spans="1:19" ht="15.75" customHeight="1" x14ac:dyDescent="0.25">
      <c r="A46" s="7" t="s">
        <v>46</v>
      </c>
      <c r="B46" s="34" t="s">
        <v>47</v>
      </c>
      <c r="C46" s="35"/>
      <c r="D46" s="35"/>
      <c r="E46" s="36"/>
      <c r="F46" s="10">
        <f>B33-B34-SQRT(F40/F45)-(D17+F17)</f>
        <v>-1.5642831359185034</v>
      </c>
      <c r="G46" s="21"/>
      <c r="H46" s="18" t="s">
        <v>4</v>
      </c>
      <c r="I46" s="24"/>
      <c r="O46" s="2"/>
      <c r="P46" s="2"/>
      <c r="Q46" s="2"/>
      <c r="R46" s="2"/>
      <c r="S46" s="2"/>
    </row>
    <row r="47" spans="1:19" ht="15.75" customHeight="1" x14ac:dyDescent="0.25">
      <c r="A47" s="7" t="s">
        <v>48</v>
      </c>
      <c r="B47" s="34" t="s">
        <v>49</v>
      </c>
      <c r="C47" s="35"/>
      <c r="D47" s="35"/>
      <c r="E47" s="36"/>
      <c r="F47" s="10">
        <f>(2*F40)/(D18*(F46^2))</f>
        <v>0.21397789518670141</v>
      </c>
      <c r="G47" s="21"/>
      <c r="H47" s="18"/>
      <c r="I47" s="24"/>
      <c r="O47" s="2"/>
      <c r="P47" s="2"/>
      <c r="Q47" s="2"/>
      <c r="R47" s="8"/>
      <c r="S47" s="2"/>
    </row>
    <row r="48" spans="1:19" ht="15.75" customHeight="1" x14ac:dyDescent="0.25">
      <c r="A48" s="7" t="s">
        <v>50</v>
      </c>
      <c r="B48" s="34" t="s">
        <v>41</v>
      </c>
      <c r="C48" s="35"/>
      <c r="D48" s="35"/>
      <c r="E48" s="36"/>
      <c r="F48" s="10">
        <f>F42</f>
        <v>1832.9308178104291</v>
      </c>
      <c r="G48" s="21"/>
      <c r="H48" s="18" t="s">
        <v>42</v>
      </c>
      <c r="I48" s="24"/>
      <c r="O48" s="2"/>
      <c r="P48" s="2"/>
      <c r="Q48" s="2"/>
      <c r="R48" s="1"/>
      <c r="S48" s="2"/>
    </row>
    <row r="49" spans="1:23" ht="15.75" customHeight="1" x14ac:dyDescent="0.25">
      <c r="A49" s="7" t="s">
        <v>51</v>
      </c>
      <c r="B49" s="34" t="s">
        <v>52</v>
      </c>
      <c r="C49" s="35"/>
      <c r="D49" s="35"/>
      <c r="E49" s="36"/>
      <c r="F49" s="10">
        <f>2.2*F48*(B32/F39)</f>
        <v>18329.308178104289</v>
      </c>
      <c r="G49" s="21"/>
      <c r="H49" s="18" t="s">
        <v>42</v>
      </c>
      <c r="I49" s="24"/>
      <c r="O49" s="2"/>
      <c r="P49" s="2"/>
      <c r="Q49" s="2"/>
      <c r="R49" s="1"/>
      <c r="S49" s="2"/>
    </row>
    <row r="50" spans="1:23" ht="15.75" customHeight="1" x14ac:dyDescent="0.25">
      <c r="A50" s="7" t="s">
        <v>53</v>
      </c>
      <c r="B50" s="34" t="s">
        <v>54</v>
      </c>
      <c r="C50" s="35"/>
      <c r="D50" s="35"/>
      <c r="E50" s="36"/>
      <c r="F50" s="10">
        <f>F41</f>
        <v>0.13090000000000004</v>
      </c>
      <c r="G50" s="21"/>
      <c r="H50" s="18"/>
      <c r="I50" s="24"/>
      <c r="O50" s="2"/>
      <c r="P50" s="2"/>
      <c r="Q50" s="2"/>
      <c r="R50" s="1"/>
      <c r="S50" s="2"/>
    </row>
    <row r="51" spans="1:23" ht="15.75" customHeight="1" x14ac:dyDescent="0.25">
      <c r="A51" s="7" t="s">
        <v>55</v>
      </c>
      <c r="B51" s="34" t="s">
        <v>56</v>
      </c>
      <c r="C51" s="35"/>
      <c r="D51" s="35"/>
      <c r="E51" s="36"/>
      <c r="F51" s="10">
        <f>F42^2/(2*D18*F43)</f>
        <v>13.090000000000002</v>
      </c>
      <c r="G51" s="21"/>
      <c r="H51" s="18" t="s">
        <v>39</v>
      </c>
      <c r="I51" s="24"/>
      <c r="O51" s="2"/>
      <c r="P51" s="2"/>
      <c r="Q51" s="2"/>
      <c r="S51" s="2"/>
    </row>
    <row r="52" spans="1:23" ht="15.75" customHeight="1" x14ac:dyDescent="0.25">
      <c r="A52" s="7" t="s">
        <v>57</v>
      </c>
      <c r="B52" s="34" t="s">
        <v>58</v>
      </c>
      <c r="C52" s="35"/>
      <c r="D52" s="35"/>
      <c r="E52" s="36"/>
      <c r="F52" s="10">
        <f>(F50/F41)*F51</f>
        <v>13.090000000000002</v>
      </c>
      <c r="G52" s="21"/>
      <c r="H52" s="18" t="s">
        <v>39</v>
      </c>
      <c r="I52" s="24"/>
      <c r="O52" s="2"/>
      <c r="P52" s="2"/>
      <c r="Q52" s="2"/>
      <c r="S52" s="2"/>
    </row>
    <row r="53" spans="1:23" ht="15.75" customHeight="1" x14ac:dyDescent="0.25">
      <c r="A53" s="7" t="s">
        <v>59</v>
      </c>
      <c r="B53" s="34" t="s">
        <v>60</v>
      </c>
      <c r="C53" s="35"/>
      <c r="D53" s="35"/>
      <c r="E53" s="36"/>
      <c r="F53" s="10">
        <f>SQRT(2*E18*F50*F52)</f>
        <v>13.090000000000003</v>
      </c>
      <c r="G53" s="21"/>
      <c r="H53" s="18" t="s">
        <v>42</v>
      </c>
      <c r="I53" s="24"/>
    </row>
    <row r="54" spans="1:23" ht="15.75" customHeight="1" x14ac:dyDescent="0.25">
      <c r="A54" s="7" t="s">
        <v>75</v>
      </c>
      <c r="B54" s="34" t="s">
        <v>61</v>
      </c>
      <c r="C54" s="35"/>
      <c r="D54" s="35"/>
      <c r="E54" s="36"/>
      <c r="F54" s="10">
        <f>F50*(F49/F53)</f>
        <v>183.2930817810429</v>
      </c>
      <c r="G54" s="21"/>
      <c r="H54" s="18"/>
      <c r="I54" s="24"/>
      <c r="O54" s="2"/>
      <c r="P54" s="2"/>
      <c r="Q54" s="2"/>
      <c r="R54" s="2"/>
      <c r="S54" s="2"/>
      <c r="T54" s="2"/>
      <c r="U54" s="2"/>
    </row>
    <row r="55" spans="1:23" ht="15.75" customHeight="1" x14ac:dyDescent="0.25">
      <c r="A55" s="7" t="s">
        <v>62</v>
      </c>
      <c r="B55" s="34" t="s">
        <v>63</v>
      </c>
      <c r="C55" s="35"/>
      <c r="D55" s="35"/>
      <c r="E55" s="36"/>
      <c r="F55" s="10">
        <f>F49^2/(2*E18*F54)</f>
        <v>18329.308178104289</v>
      </c>
      <c r="G55" s="21"/>
      <c r="H55" s="18" t="s">
        <v>39</v>
      </c>
      <c r="I55" s="24"/>
      <c r="O55" s="2"/>
      <c r="P55" s="2"/>
      <c r="Q55" s="2"/>
      <c r="R55" s="2"/>
      <c r="S55" s="2"/>
      <c r="T55" s="2"/>
      <c r="U55" s="2"/>
    </row>
    <row r="56" spans="1:23" ht="15.75" customHeight="1" x14ac:dyDescent="0.25">
      <c r="A56" s="7" t="s">
        <v>64</v>
      </c>
      <c r="B56" s="34" t="s">
        <v>65</v>
      </c>
      <c r="C56" s="35"/>
      <c r="D56" s="35"/>
      <c r="E56" s="36"/>
      <c r="F56" s="10">
        <f>F47*(F55/F40)</f>
        <v>149.81156547666723</v>
      </c>
      <c r="G56" s="21"/>
      <c r="H56" s="18"/>
      <c r="I56" s="24"/>
      <c r="O56" s="2"/>
      <c r="P56" s="2"/>
      <c r="Q56" s="2"/>
      <c r="R56" s="2"/>
      <c r="S56" s="2"/>
      <c r="T56" s="11"/>
      <c r="U56" s="2"/>
    </row>
    <row r="57" spans="1:23" ht="15.75" customHeight="1" x14ac:dyDescent="0.25">
      <c r="A57" s="22" t="s">
        <v>66</v>
      </c>
      <c r="B57" s="47" t="s">
        <v>67</v>
      </c>
      <c r="C57" s="48"/>
      <c r="D57" s="48"/>
      <c r="E57" s="49"/>
      <c r="F57" s="28">
        <f>2*F48*F49/(F40*(D20+E20)*F55*(D20+E20))</f>
        <v>38895.909044445048</v>
      </c>
      <c r="G57" s="27">
        <f>20*LOG10(F57)</f>
        <v>91.798078518620656</v>
      </c>
      <c r="H57" s="29"/>
      <c r="I57" s="18" t="s">
        <v>100</v>
      </c>
      <c r="O57" s="2"/>
      <c r="P57" s="2"/>
      <c r="Q57" s="2"/>
      <c r="R57" s="2"/>
      <c r="S57" s="2"/>
      <c r="U57" s="2"/>
    </row>
    <row r="58" spans="1:23" ht="15.75" customHeight="1" x14ac:dyDescent="0.25">
      <c r="A58" s="24" t="s">
        <v>105</v>
      </c>
      <c r="B58" s="39" t="s">
        <v>106</v>
      </c>
      <c r="C58" s="38"/>
      <c r="D58" s="38"/>
      <c r="E58" s="38"/>
      <c r="F58" s="24">
        <f>(B31+ABS(B34))*(F55+F40)</f>
        <v>69750.855076796302</v>
      </c>
      <c r="G58" s="24">
        <f>F58/1000</f>
        <v>69.750855076796299</v>
      </c>
      <c r="H58" s="24" t="s">
        <v>107</v>
      </c>
      <c r="I58" s="24" t="s">
        <v>33</v>
      </c>
      <c r="O58" s="2"/>
      <c r="P58" s="2"/>
      <c r="Q58" s="2"/>
      <c r="R58" s="2"/>
      <c r="S58" s="2"/>
      <c r="T58" s="2"/>
      <c r="U58" s="2"/>
    </row>
    <row r="59" spans="1:23" ht="15.75" customHeight="1" x14ac:dyDescent="0.25">
      <c r="G59" s="56"/>
      <c r="O59" s="2"/>
      <c r="P59" s="2"/>
      <c r="Q59" s="2"/>
      <c r="R59" s="2"/>
      <c r="S59" s="2"/>
      <c r="U59" s="2"/>
    </row>
    <row r="60" spans="1:23" ht="15.75" customHeight="1" x14ac:dyDescent="0.25">
      <c r="A60" s="24" t="s">
        <v>108</v>
      </c>
      <c r="B60" s="24"/>
      <c r="C60" s="24" t="s">
        <v>110</v>
      </c>
      <c r="D60" s="24" t="s">
        <v>111</v>
      </c>
      <c r="E60" s="57" t="s">
        <v>114</v>
      </c>
      <c r="F60" s="57"/>
      <c r="G60" s="56"/>
    </row>
    <row r="61" spans="1:23" ht="15.75" customHeight="1" x14ac:dyDescent="0.25">
      <c r="A61" s="24" t="s">
        <v>109</v>
      </c>
      <c r="B61" s="24" t="s">
        <v>113</v>
      </c>
      <c r="C61" s="24">
        <f>F53*10^-6/(2*0.67*F50*10^-12*B62)</f>
        <v>272360823619.13055</v>
      </c>
      <c r="D61" s="24">
        <f>10*B29*10^6</f>
        <v>780000000</v>
      </c>
      <c r="E61" s="57">
        <f>IF(C61&gt;D61,1,0)</f>
        <v>1</v>
      </c>
      <c r="F61" s="57"/>
      <c r="O61" s="2"/>
      <c r="P61" s="2"/>
      <c r="Q61" s="2"/>
      <c r="R61" s="2"/>
      <c r="T61" s="2"/>
      <c r="U61" s="2"/>
      <c r="V61" s="2"/>
      <c r="W61" s="2"/>
    </row>
    <row r="62" spans="1:23" ht="15.75" customHeight="1" x14ac:dyDescent="0.25">
      <c r="A62" s="24" t="s">
        <v>112</v>
      </c>
      <c r="B62" s="24">
        <f>2.74*10^-4</f>
        <v>2.7400000000000005E-4</v>
      </c>
      <c r="O62" s="2"/>
      <c r="P62" s="2"/>
      <c r="Q62" s="2"/>
      <c r="R62" s="2"/>
    </row>
    <row r="63" spans="1:23" ht="15.75" customHeight="1" x14ac:dyDescent="0.25">
      <c r="O63" s="2"/>
      <c r="P63" s="2"/>
      <c r="R63" s="2"/>
    </row>
    <row r="64" spans="1:23" ht="15.75" customHeight="1" x14ac:dyDescent="0.25">
      <c r="O64" s="2"/>
      <c r="P64" s="2"/>
      <c r="R64" s="2"/>
    </row>
    <row r="65" spans="15:18" ht="15.75" customHeight="1" x14ac:dyDescent="0.25">
      <c r="O65" s="2"/>
      <c r="P65" s="2"/>
      <c r="R65" s="2"/>
    </row>
    <row r="66" spans="15:18" ht="15.75" customHeight="1" x14ac:dyDescent="0.25">
      <c r="O66" s="2"/>
      <c r="P66" s="2"/>
      <c r="R66" s="2"/>
    </row>
    <row r="67" spans="15:18" ht="15.75" customHeight="1" x14ac:dyDescent="0.25">
      <c r="O67" s="2"/>
      <c r="P67" s="2"/>
      <c r="R67" s="2"/>
    </row>
    <row r="68" spans="15:18" ht="15.75" customHeight="1" x14ac:dyDescent="0.25">
      <c r="O68" s="2"/>
      <c r="P68" s="2"/>
      <c r="R68" s="2"/>
    </row>
    <row r="69" spans="15:18" ht="15.75" customHeight="1" x14ac:dyDescent="0.25">
      <c r="O69" s="2"/>
      <c r="P69" s="2"/>
      <c r="Q69" s="2"/>
      <c r="R69" s="2"/>
    </row>
    <row r="70" spans="15:18" ht="15.75" customHeight="1" x14ac:dyDescent="0.25">
      <c r="O70" s="2"/>
      <c r="P70" s="2"/>
      <c r="R70" s="2"/>
    </row>
    <row r="71" spans="15:18" ht="15.75" customHeight="1" x14ac:dyDescent="0.25">
      <c r="O71" s="2"/>
      <c r="P71" s="2"/>
      <c r="R71" s="2"/>
    </row>
    <row r="72" spans="15:18" ht="15.75" customHeight="1" x14ac:dyDescent="0.25">
      <c r="O72" s="2"/>
      <c r="P72" s="2"/>
      <c r="R72" s="2"/>
    </row>
  </sheetData>
  <mergeCells count="44">
    <mergeCell ref="E60:F60"/>
    <mergeCell ref="E61:F61"/>
    <mergeCell ref="B58:E58"/>
    <mergeCell ref="B11:C11"/>
    <mergeCell ref="B42:E42"/>
    <mergeCell ref="A38:E38"/>
    <mergeCell ref="A20:A21"/>
    <mergeCell ref="B6:C6"/>
    <mergeCell ref="B7:C7"/>
    <mergeCell ref="B8:C8"/>
    <mergeCell ref="B9:C9"/>
    <mergeCell ref="B10:C10"/>
    <mergeCell ref="B5:C5"/>
    <mergeCell ref="B55:E55"/>
    <mergeCell ref="B56:E56"/>
    <mergeCell ref="B57:E57"/>
    <mergeCell ref="B43:E43"/>
    <mergeCell ref="B45:E45"/>
    <mergeCell ref="B46:E46"/>
    <mergeCell ref="B47:E47"/>
    <mergeCell ref="B48:E48"/>
    <mergeCell ref="B49:E49"/>
    <mergeCell ref="B50:E50"/>
    <mergeCell ref="B51:E51"/>
    <mergeCell ref="B52:E52"/>
    <mergeCell ref="B53:E53"/>
    <mergeCell ref="B54:E54"/>
    <mergeCell ref="B44:E44"/>
    <mergeCell ref="H38:I38"/>
    <mergeCell ref="O2:R2"/>
    <mergeCell ref="B39:E39"/>
    <mergeCell ref="B40:E40"/>
    <mergeCell ref="B41:E41"/>
    <mergeCell ref="B16:C16"/>
    <mergeCell ref="B17:C17"/>
    <mergeCell ref="B18:C18"/>
    <mergeCell ref="B19:C19"/>
    <mergeCell ref="B22:C22"/>
    <mergeCell ref="B20:C21"/>
    <mergeCell ref="A25:C25"/>
    <mergeCell ref="D1:G2"/>
    <mergeCell ref="A1:B1"/>
    <mergeCell ref="A2:B2"/>
    <mergeCell ref="G20:G21"/>
  </mergeCells>
  <phoneticPr fontId="4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2-Stage OpAmp Design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Izzudin Al Ayyubi</cp:lastModifiedBy>
  <dcterms:created xsi:type="dcterms:W3CDTF">2025-02-27T14:45:46Z</dcterms:created>
  <dcterms:modified xsi:type="dcterms:W3CDTF">2025-04-09T03:45:29Z</dcterms:modified>
</cp:coreProperties>
</file>