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12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U:\Bois\Projects\Clients\4006-ITD\314-4006-077 SH-16, Phase 2 South\02WBS\14 SH-16 Over I-84\03 Final Design\Abutment\"/>
    </mc:Choice>
  </mc:AlternateContent>
  <xr:revisionPtr revIDLastSave="0" documentId="13_ncr:1_{47245337-E46C-4645-982D-04F9A4292B92}" xr6:coauthVersionLast="47" xr6:coauthVersionMax="47" xr10:uidLastSave="{00000000-0000-0000-0000-000000000000}"/>
  <bookViews>
    <workbookView xWindow="-120" yWindow="-120" windowWidth="29040" windowHeight="15840" tabRatio="714" xr2:uid="{00000000-000D-0000-FFFF-FFFF00000000}"/>
  </bookViews>
  <sheets>
    <sheet name="SH-16" sheetId="66" r:id="rId1"/>
    <sheet name="Ramp C Wall" sheetId="72" r:id="rId2"/>
  </sheets>
  <definedNames>
    <definedName name="_Fill" localSheetId="0" hidden="1">#REF!</definedName>
    <definedName name="_Fill" hidden="1">#REF!</definedName>
    <definedName name="_Key1" localSheetId="0" hidden="1">#REF!</definedName>
    <definedName name="_Key1" hidden="1">#REF!</definedName>
    <definedName name="_Order1" hidden="1">255</definedName>
    <definedName name="_Sort" localSheetId="0" hidden="1">#REF!</definedName>
    <definedName name="_Sort" hidden="1">#REF!</definedName>
    <definedName name="g">'SH-16'!$C$4</definedName>
    <definedName name="_xlnm.Print_Area" localSheetId="0">'SH-16'!$A$1:$H$195</definedName>
    <definedName name="_xlnm.Print_Titles" localSheetId="0">'SH-16'!$1:$8</definedName>
    <definedName name="PVI_EL">'SH-16'!$C$3</definedName>
    <definedName name="PVI_STA">'SH-16'!$C$2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9" i="66" l="1"/>
  <c r="C77" i="66" l="1"/>
  <c r="C76" i="66"/>
  <c r="C75" i="66"/>
  <c r="D41" i="66"/>
  <c r="C153" i="66"/>
  <c r="E155" i="66"/>
  <c r="E61" i="66" l="1"/>
  <c r="E68" i="66"/>
  <c r="E67" i="66"/>
  <c r="C68" i="66"/>
  <c r="F68" i="66" s="1"/>
  <c r="H68" i="66" s="1"/>
  <c r="C67" i="66"/>
  <c r="D69" i="66"/>
  <c r="D31" i="66"/>
  <c r="D24" i="72"/>
  <c r="D178" i="66"/>
  <c r="D15" i="72"/>
  <c r="D14" i="72" s="1"/>
  <c r="F14" i="72" s="1"/>
  <c r="F67" i="66" l="1"/>
  <c r="H67" i="66" s="1"/>
  <c r="C154" i="66" l="1"/>
  <c r="E154" i="66"/>
  <c r="C150" i="66"/>
  <c r="K122" i="66"/>
  <c r="F154" i="66" l="1"/>
  <c r="H154" i="66" s="1"/>
  <c r="E90" i="66" l="1"/>
  <c r="O91" i="66"/>
  <c r="P91" i="66"/>
  <c r="Q91" i="66"/>
  <c r="R91" i="66"/>
  <c r="S91" i="66"/>
  <c r="T91" i="66"/>
  <c r="U91" i="66"/>
  <c r="V91" i="66"/>
  <c r="W91" i="66"/>
  <c r="N91" i="66"/>
  <c r="C89" i="66"/>
  <c r="O22" i="66"/>
  <c r="O31" i="66"/>
  <c r="O37" i="66"/>
  <c r="O39" i="66"/>
  <c r="O40" i="66"/>
  <c r="O43" i="66"/>
  <c r="O44" i="66"/>
  <c r="O24" i="66"/>
  <c r="O23" i="66"/>
  <c r="N92" i="66" l="1"/>
  <c r="N93" i="66" s="1"/>
  <c r="F45" i="66" l="1"/>
  <c r="F44" i="66"/>
  <c r="D25" i="72" l="1"/>
  <c r="C23" i="72"/>
  <c r="F23" i="72" s="1"/>
  <c r="F21" i="72"/>
  <c r="D16" i="72"/>
  <c r="D13" i="72"/>
  <c r="F13" i="72" s="1"/>
  <c r="D12" i="72"/>
  <c r="F12" i="72" s="1"/>
  <c r="C25" i="72" l="1"/>
  <c r="C24" i="72"/>
  <c r="F25" i="72"/>
  <c r="F24" i="72"/>
  <c r="F26" i="72" s="1"/>
  <c r="D17" i="72" s="1"/>
  <c r="F17" i="72" s="1"/>
  <c r="F16" i="72"/>
  <c r="F15" i="72"/>
  <c r="D177" i="66"/>
  <c r="D176" i="66"/>
  <c r="C176" i="66"/>
  <c r="D175" i="66"/>
  <c r="D174" i="66"/>
  <c r="C172" i="66"/>
  <c r="D172" i="66"/>
  <c r="E186" i="66"/>
  <c r="C186" i="66"/>
  <c r="D173" i="66"/>
  <c r="C173" i="66"/>
  <c r="D171" i="66"/>
  <c r="C171" i="66"/>
  <c r="C185" i="66"/>
  <c r="F185" i="66" s="1"/>
  <c r="C184" i="66"/>
  <c r="F184" i="66" s="1"/>
  <c r="C170" i="66"/>
  <c r="E169" i="66"/>
  <c r="E170" i="66" s="1"/>
  <c r="C169" i="66"/>
  <c r="D164" i="66"/>
  <c r="D163" i="66"/>
  <c r="C164" i="66"/>
  <c r="C163" i="66"/>
  <c r="D162" i="66"/>
  <c r="D161" i="66"/>
  <c r="C162" i="66"/>
  <c r="C161" i="66"/>
  <c r="C183" i="66"/>
  <c r="F183" i="66" s="1"/>
  <c r="C182" i="66"/>
  <c r="F182" i="66" s="1"/>
  <c r="C181" i="66"/>
  <c r="F181" i="66" s="1"/>
  <c r="C180" i="66"/>
  <c r="F180" i="66" s="1"/>
  <c r="E144" i="66"/>
  <c r="E143" i="66"/>
  <c r="D168" i="66" s="1"/>
  <c r="E142" i="66"/>
  <c r="E141" i="66"/>
  <c r="D167" i="66" s="1"/>
  <c r="E140" i="66"/>
  <c r="E139" i="66"/>
  <c r="D166" i="66" s="1"/>
  <c r="E138" i="66"/>
  <c r="E137" i="66"/>
  <c r="D169" i="66"/>
  <c r="D165" i="66" l="1"/>
  <c r="D70" i="66"/>
  <c r="F161" i="66"/>
  <c r="F173" i="66"/>
  <c r="F164" i="66"/>
  <c r="F186" i="66"/>
  <c r="F162" i="66"/>
  <c r="F172" i="66"/>
  <c r="F176" i="66"/>
  <c r="F171" i="66"/>
  <c r="F163" i="66"/>
  <c r="D170" i="66"/>
  <c r="F169" i="66"/>
  <c r="F170" i="66" l="1"/>
  <c r="C97" i="66"/>
  <c r="G95" i="66"/>
  <c r="G97" i="66"/>
  <c r="E97" i="66"/>
  <c r="C95" i="66"/>
  <c r="F95" i="66" s="1"/>
  <c r="H95" i="66" s="1"/>
  <c r="C156" i="66"/>
  <c r="F156" i="66" s="1"/>
  <c r="E131" i="66"/>
  <c r="E124" i="66"/>
  <c r="F129" i="66"/>
  <c r="H129" i="66" s="1"/>
  <c r="C128" i="66"/>
  <c r="F128" i="66" s="1"/>
  <c r="H128" i="66" s="1"/>
  <c r="F127" i="66"/>
  <c r="H127" i="66" s="1"/>
  <c r="F122" i="66"/>
  <c r="C121" i="66"/>
  <c r="F121" i="66" s="1"/>
  <c r="F120" i="66"/>
  <c r="G156" i="66"/>
  <c r="C83" i="66"/>
  <c r="E83" i="66" s="1"/>
  <c r="C84" i="66"/>
  <c r="E84" i="66" s="1"/>
  <c r="C82" i="66"/>
  <c r="E82" i="66" s="1"/>
  <c r="D19" i="66"/>
  <c r="D61" i="66"/>
  <c r="C61" i="66"/>
  <c r="D42" i="66"/>
  <c r="D32" i="66"/>
  <c r="F31" i="66"/>
  <c r="D30" i="66"/>
  <c r="D76" i="66"/>
  <c r="D77" i="66"/>
  <c r="D75" i="66"/>
  <c r="F40" i="66"/>
  <c r="F37" i="66"/>
  <c r="F24" i="66"/>
  <c r="F23" i="66"/>
  <c r="F22" i="66"/>
  <c r="F19" i="66" l="1"/>
  <c r="O19" i="66"/>
  <c r="C178" i="66"/>
  <c r="O41" i="66"/>
  <c r="F32" i="66"/>
  <c r="O32" i="66"/>
  <c r="D38" i="66"/>
  <c r="O38" i="66" s="1"/>
  <c r="F30" i="66"/>
  <c r="O30" i="66"/>
  <c r="F97" i="66"/>
  <c r="H97" i="66" s="1"/>
  <c r="H98" i="66" s="1"/>
  <c r="F42" i="66"/>
  <c r="D28" i="66"/>
  <c r="O28" i="66" s="1"/>
  <c r="D25" i="66"/>
  <c r="D29" i="66"/>
  <c r="D26" i="66"/>
  <c r="D27" i="66"/>
  <c r="E85" i="66"/>
  <c r="F38" i="66" l="1"/>
  <c r="F27" i="66"/>
  <c r="O27" i="66"/>
  <c r="F26" i="66"/>
  <c r="O26" i="66"/>
  <c r="F29" i="66"/>
  <c r="O29" i="66"/>
  <c r="F25" i="66"/>
  <c r="O25" i="66"/>
  <c r="F41" i="66"/>
  <c r="C187" i="66"/>
  <c r="F187" i="66" s="1"/>
  <c r="F28" i="66"/>
  <c r="F152" i="66" l="1"/>
  <c r="F153" i="66"/>
  <c r="F155" i="66"/>
  <c r="F140" i="66"/>
  <c r="F142" i="66"/>
  <c r="F138" i="66"/>
  <c r="F144" i="66"/>
  <c r="D143" i="66"/>
  <c r="D141" i="66"/>
  <c r="C137" i="66"/>
  <c r="C70" i="66" s="1"/>
  <c r="F70" i="66" s="1"/>
  <c r="H70" i="66" s="1"/>
  <c r="K94" i="66"/>
  <c r="K91" i="66"/>
  <c r="K92" i="66"/>
  <c r="C132" i="66"/>
  <c r="C125" i="66"/>
  <c r="D139" i="66"/>
  <c r="D137" i="66"/>
  <c r="G103" i="66"/>
  <c r="G104" i="66" s="1"/>
  <c r="E103" i="66"/>
  <c r="C103" i="66"/>
  <c r="G90" i="66"/>
  <c r="C174" i="66"/>
  <c r="F174" i="66" s="1"/>
  <c r="C175" i="66"/>
  <c r="E77" i="66"/>
  <c r="M66" i="66"/>
  <c r="M64" i="66"/>
  <c r="M63" i="66"/>
  <c r="C54" i="66"/>
  <c r="C53" i="66"/>
  <c r="C51" i="66"/>
  <c r="C124" i="66" l="1"/>
  <c r="C131" i="66"/>
  <c r="F131" i="66" s="1"/>
  <c r="H131" i="66" s="1"/>
  <c r="C139" i="66"/>
  <c r="C166" i="66" s="1"/>
  <c r="F166" i="66" s="1"/>
  <c r="C165" i="66"/>
  <c r="F165" i="66" s="1"/>
  <c r="L92" i="66"/>
  <c r="H121" i="66"/>
  <c r="H156" i="66"/>
  <c r="D89" i="66"/>
  <c r="D35" i="66"/>
  <c r="D109" i="66"/>
  <c r="C55" i="66"/>
  <c r="C193" i="66" s="1"/>
  <c r="C90" i="66"/>
  <c r="F132" i="66"/>
  <c r="H132" i="66" s="1"/>
  <c r="F150" i="66"/>
  <c r="H150" i="66" s="1"/>
  <c r="H138" i="66"/>
  <c r="H140" i="66"/>
  <c r="C141" i="66"/>
  <c r="H144" i="66"/>
  <c r="F139" i="66"/>
  <c r="H139" i="66" s="1"/>
  <c r="F125" i="66"/>
  <c r="H125" i="66" s="1"/>
  <c r="H142" i="66"/>
  <c r="F137" i="66"/>
  <c r="H137" i="66" s="1"/>
  <c r="C114" i="66"/>
  <c r="D103" i="66"/>
  <c r="D102" i="66"/>
  <c r="D21" i="66" s="1"/>
  <c r="O21" i="66" s="1"/>
  <c r="F124" i="66" l="1"/>
  <c r="H124" i="66" s="1"/>
  <c r="C69" i="66"/>
  <c r="F69" i="66" s="1"/>
  <c r="H69" i="66" s="1"/>
  <c r="F35" i="66"/>
  <c r="O35" i="66"/>
  <c r="D20" i="66"/>
  <c r="D36" i="66" s="1"/>
  <c r="C177" i="66"/>
  <c r="C143" i="66"/>
  <c r="C168" i="66" s="1"/>
  <c r="F168" i="66" s="1"/>
  <c r="C167" i="66"/>
  <c r="F167" i="66" s="1"/>
  <c r="D33" i="66"/>
  <c r="F143" i="66"/>
  <c r="H143" i="66" s="1"/>
  <c r="F61" i="66"/>
  <c r="H61" i="66" s="1"/>
  <c r="H62" i="66" s="1"/>
  <c r="F102" i="66"/>
  <c r="H102" i="66" s="1"/>
  <c r="F21" i="66"/>
  <c r="D34" i="66"/>
  <c r="F141" i="66"/>
  <c r="H141" i="66" s="1"/>
  <c r="C115" i="66"/>
  <c r="F114" i="66"/>
  <c r="O36" i="66" l="1"/>
  <c r="F36" i="66"/>
  <c r="F34" i="66"/>
  <c r="O34" i="66"/>
  <c r="F33" i="66"/>
  <c r="O33" i="66"/>
  <c r="D43" i="66"/>
  <c r="O20" i="66"/>
  <c r="F20" i="66"/>
  <c r="H145" i="66"/>
  <c r="D15" i="66"/>
  <c r="F43" i="66" l="1"/>
  <c r="O42" i="66"/>
  <c r="F15" i="66"/>
  <c r="O15" i="66"/>
  <c r="D90" i="66"/>
  <c r="E89" i="66"/>
  <c r="F89" i="66" l="1"/>
  <c r="H89" i="66" s="1"/>
  <c r="F90" i="66"/>
  <c r="H90" i="66" s="1"/>
  <c r="H91" i="66" l="1"/>
  <c r="D18" i="66" s="1"/>
  <c r="O18" i="66" s="1"/>
  <c r="H114" i="66" l="1"/>
  <c r="D104" i="66"/>
  <c r="C104" i="66" s="1"/>
  <c r="F104" i="66" l="1"/>
  <c r="H104" i="66" s="1"/>
  <c r="F103" i="66"/>
  <c r="H103" i="66" s="1"/>
  <c r="F115" i="66"/>
  <c r="H115" i="66" s="1"/>
  <c r="H116" i="66" s="1"/>
  <c r="H105" i="66" l="1"/>
  <c r="M62" i="66" l="1"/>
  <c r="T141" i="66"/>
  <c r="T142" i="66"/>
  <c r="T143" i="66"/>
  <c r="C109" i="66"/>
  <c r="F149" i="66"/>
  <c r="H149" i="66" s="1"/>
  <c r="H66" i="66" s="1"/>
  <c r="H71" i="66" s="1"/>
  <c r="H155" i="66"/>
  <c r="H152" i="66"/>
  <c r="E75" i="66"/>
  <c r="E76" i="66"/>
  <c r="F175" i="66" l="1"/>
  <c r="F177" i="66"/>
  <c r="F178" i="66"/>
  <c r="E78" i="66"/>
  <c r="E109" i="66"/>
  <c r="G109" i="66" s="1"/>
  <c r="M67" i="66"/>
  <c r="C57" i="66" s="1"/>
  <c r="H120" i="66"/>
  <c r="D46" i="66" l="1"/>
  <c r="F188" i="66"/>
  <c r="G110" i="66"/>
  <c r="H153" i="66"/>
  <c r="H157" i="66" l="1"/>
  <c r="H122" i="66"/>
  <c r="F46" i="66" l="1"/>
  <c r="O45" i="66"/>
  <c r="F18" i="66"/>
  <c r="D16" i="66" l="1"/>
  <c r="H133" i="66"/>
  <c r="D17" i="66" s="1"/>
  <c r="U141" i="66"/>
  <c r="O17" i="66" l="1"/>
  <c r="F17" i="66"/>
  <c r="F16" i="66"/>
  <c r="O16" i="66"/>
  <c r="U142" i="66"/>
  <c r="V141" i="66"/>
  <c r="X141" i="66" s="1"/>
  <c r="Y141" i="66" s="1"/>
  <c r="F47" i="66" l="1"/>
  <c r="F50" i="66" s="1"/>
  <c r="U143" i="66"/>
  <c r="V143" i="66" s="1"/>
  <c r="X143" i="66" s="1"/>
  <c r="V142" i="66"/>
  <c r="X142" i="66" s="1"/>
  <c r="Y142" i="66" s="1"/>
  <c r="Y143" i="66" l="1"/>
</calcChain>
</file>

<file path=xl/sharedStrings.xml><?xml version="1.0" encoding="utf-8"?>
<sst xmlns="http://schemas.openxmlformats.org/spreadsheetml/2006/main" count="429" uniqueCount="222">
  <si>
    <t>JOB TITLE</t>
  </si>
  <si>
    <t>SH-16, I-84 to US20/26 &amp; SH44</t>
  </si>
  <si>
    <t>PROJ. NO.</t>
  </si>
  <si>
    <t>SHEET NO.</t>
  </si>
  <si>
    <t>PAGE</t>
  </si>
  <si>
    <t>CALC. BY</t>
  </si>
  <si>
    <t>NGB</t>
  </si>
  <si>
    <t>DATE</t>
  </si>
  <si>
    <t>CHECKED BY</t>
  </si>
  <si>
    <t>SUBJECT:</t>
  </si>
  <si>
    <t>SH-16 Bridge Quantities</t>
  </si>
  <si>
    <t>SH-16 Over I-84</t>
  </si>
  <si>
    <t>TOTAL QUANTITIES</t>
  </si>
  <si>
    <t>ITEM NO.</t>
  </si>
  <si>
    <t>DESCRIPTION</t>
  </si>
  <si>
    <t>UNIT</t>
  </si>
  <si>
    <t>QTY</t>
  </si>
  <si>
    <t>UNIT COST</t>
  </si>
  <si>
    <t>EXTENSION</t>
  </si>
  <si>
    <t>210-005A</t>
  </si>
  <si>
    <t>STR EXCAVATION SCH. NO. 1</t>
  </si>
  <si>
    <t>CY</t>
  </si>
  <si>
    <t>Need to determine existing/finished grade</t>
  </si>
  <si>
    <t>210-015A</t>
  </si>
  <si>
    <t>COMPACTING BACKFILL</t>
  </si>
  <si>
    <t>502-140A</t>
  </si>
  <si>
    <t>CONC CL 40A SCH. NO. 1</t>
  </si>
  <si>
    <t>Revised QTY 1/5/22</t>
  </si>
  <si>
    <t>502-310A</t>
  </si>
  <si>
    <t>CONC CL 40AF SCH. NO. 2</t>
  </si>
  <si>
    <t>502-380B</t>
  </si>
  <si>
    <t>PRESTRESSED WF GIRDER (50" DEPTH)</t>
  </si>
  <si>
    <t>FT</t>
  </si>
  <si>
    <t>502-430A</t>
  </si>
  <si>
    <t>CONC PARAPET (42" HIGH)</t>
  </si>
  <si>
    <t>502-435A</t>
  </si>
  <si>
    <t>APPROACH SLAB</t>
  </si>
  <si>
    <t>SY</t>
  </si>
  <si>
    <t>503-010A</t>
  </si>
  <si>
    <t>METAL REINF SCH. NO.1</t>
  </si>
  <si>
    <t>LB</t>
  </si>
  <si>
    <t>503-015A</t>
  </si>
  <si>
    <t>METAL REINF SCH. NO.2</t>
  </si>
  <si>
    <t>503-020A</t>
  </si>
  <si>
    <t>EPOXY-COATED METAL REINF</t>
  </si>
  <si>
    <t>505-110A</t>
  </si>
  <si>
    <t>PROV &amp; DRIVE 16" DIA STEEL SHELL PILE</t>
  </si>
  <si>
    <t>505-160A</t>
  </si>
  <si>
    <t>PROV &amp; DRIVE TEST PILE (16")</t>
  </si>
  <si>
    <t>505-205A</t>
  </si>
  <si>
    <t>PROV &amp; INSTALL PILE SHOES OR TIPS</t>
  </si>
  <si>
    <t>EA</t>
  </si>
  <si>
    <t>505-215A</t>
  </si>
  <si>
    <t>SPLICE STEEL PILE BEFORE DRIVING</t>
  </si>
  <si>
    <t>505-215B</t>
  </si>
  <si>
    <t>SPLICE STEEL PILE DURING DRIVING</t>
  </si>
  <si>
    <t>507-005A</t>
  </si>
  <si>
    <t>BRIDGE BEARINGS PLAIN (SIZE 33" x 11" x 3/4")</t>
  </si>
  <si>
    <t>521-005A</t>
  </si>
  <si>
    <t>DYNAMIC PILE TESTING</t>
  </si>
  <si>
    <t>521-010A</t>
  </si>
  <si>
    <t>CAPWAP ANALYSIS</t>
  </si>
  <si>
    <t>551-005A</t>
  </si>
  <si>
    <t>PREPARED AND PLACED PPC OVERLAY</t>
  </si>
  <si>
    <t>551-010A</t>
  </si>
  <si>
    <t>PPC OVERLAY MATERIAL</t>
  </si>
  <si>
    <t>566-005A</t>
  </si>
  <si>
    <t>COMPRESSION EXPANSION JOINT</t>
  </si>
  <si>
    <t>575-005A</t>
  </si>
  <si>
    <t>TEXTURED CONCRETE SURFACE</t>
  </si>
  <si>
    <t>576-005A</t>
  </si>
  <si>
    <t>(GFRP) REINFORCEMENT</t>
  </si>
  <si>
    <t>bridge bearings laminated</t>
  </si>
  <si>
    <t>577-005A</t>
  </si>
  <si>
    <t>PILE SLEEVES</t>
  </si>
  <si>
    <t>dewatering</t>
  </si>
  <si>
    <t>584-005A</t>
  </si>
  <si>
    <t>TEMPORARY SHORING</t>
  </si>
  <si>
    <t>LS</t>
  </si>
  <si>
    <t>temp shoring</t>
  </si>
  <si>
    <t>586-005A</t>
  </si>
  <si>
    <t>UTILITY CONDUIT</t>
  </si>
  <si>
    <t>bridge CIP barrier transition</t>
  </si>
  <si>
    <t>S501-17B</t>
  </si>
  <si>
    <t>MSE RETAINING WALL (WELDED WIRE WALL)</t>
  </si>
  <si>
    <t>SF</t>
  </si>
  <si>
    <t>bridge CIP split barrier</t>
  </si>
  <si>
    <t>S501-18B</t>
  </si>
  <si>
    <t>COPING FOR MSE WALL (WELDED WIRE WALL)</t>
  </si>
  <si>
    <t>S501-30A</t>
  </si>
  <si>
    <t>SP BRIDGE PROTECTIVE FENCE FOR CONCRETE PARAPET</t>
  </si>
  <si>
    <t>S501-30B</t>
  </si>
  <si>
    <t>SP BRIDGE CAST-IN-PLACE CONC BARRIER TRANSITION</t>
  </si>
  <si>
    <t>S501-30C</t>
  </si>
  <si>
    <t>SP BRIDGE CAST-IN-PLACE SPLIT BARRIER AT PIER</t>
  </si>
  <si>
    <t>S501-51A</t>
  </si>
  <si>
    <t>SP BRIDGE ANTI-GRAFFITI COATING</t>
  </si>
  <si>
    <t>Structure Geometry</t>
  </si>
  <si>
    <t>Span 1</t>
  </si>
  <si>
    <t>ft</t>
  </si>
  <si>
    <t>Girder Length</t>
  </si>
  <si>
    <t>Span 2</t>
  </si>
  <si>
    <t>Deck Width (Outside Deck to Existing Exterior CL Girder)</t>
  </si>
  <si>
    <t>Roadway Width (Inside Parapet to Inside Parapet)</t>
  </si>
  <si>
    <t>Skew</t>
  </si>
  <si>
    <t>degrees</t>
  </si>
  <si>
    <t xml:space="preserve">Superstructure Depth </t>
  </si>
  <si>
    <t>STR EXCAVATION SCH NO. 1</t>
  </si>
  <si>
    <t>Length (ft)</t>
  </si>
  <si>
    <t>Width (ft)</t>
  </si>
  <si>
    <t>Thickness (ft)</t>
  </si>
  <si>
    <r>
      <t>Volume (ft</t>
    </r>
    <r>
      <rPr>
        <vertAlign val="superscript"/>
        <sz val="10"/>
        <rFont val="Calibri"/>
        <family val="2"/>
      </rPr>
      <t>3</t>
    </r>
    <r>
      <rPr>
        <sz val="10"/>
        <rFont val="Calibri"/>
        <family val="2"/>
      </rPr>
      <t>)</t>
    </r>
  </si>
  <si>
    <t>Quantity</t>
  </si>
  <si>
    <r>
      <t>Volume (yd</t>
    </r>
    <r>
      <rPr>
        <vertAlign val="superscript"/>
        <sz val="10"/>
        <rFont val="Calibri"/>
        <family val="2"/>
      </rPr>
      <t>3</t>
    </r>
    <r>
      <rPr>
        <sz val="10"/>
        <rFont val="Calibri"/>
        <family val="2"/>
      </rPr>
      <t>)</t>
    </r>
  </si>
  <si>
    <t>Pier 1</t>
  </si>
  <si>
    <t>New</t>
  </si>
  <si>
    <t>Deck</t>
  </si>
  <si>
    <t>Haunch</t>
  </si>
  <si>
    <t>Girder</t>
  </si>
  <si>
    <t>Tapered Sole Plate</t>
  </si>
  <si>
    <t>--</t>
  </si>
  <si>
    <t>Bearing Pad</t>
  </si>
  <si>
    <t>In Front of MSE Wall Abut. 1</t>
  </si>
  <si>
    <t>4'x(FG-Leveling Pad)xwall length</t>
  </si>
  <si>
    <t>Structure Depth</t>
  </si>
  <si>
    <t>In Front of MSE Wall Abut. 2</t>
  </si>
  <si>
    <t>Abutments</t>
  </si>
  <si>
    <t>Wingwalls</t>
  </si>
  <si>
    <t>DRIVEN PILES</t>
  </si>
  <si>
    <t>Number</t>
  </si>
  <si>
    <t>Total Length (ft)</t>
  </si>
  <si>
    <t>TOTAL PILES</t>
  </si>
  <si>
    <t>Abutment 1</t>
  </si>
  <si>
    <t>Abutment 2</t>
  </si>
  <si>
    <t>DRIVEN PILES - TEST PILES</t>
  </si>
  <si>
    <t>STRUCTURAL CONCRETE: DECK</t>
  </si>
  <si>
    <t>AASHTO Type II Girder</t>
  </si>
  <si>
    <t>in^2</t>
  </si>
  <si>
    <t>AASHTO Type IV Girder</t>
  </si>
  <si>
    <t>UBT 42 Girder</t>
  </si>
  <si>
    <t>Haunches</t>
  </si>
  <si>
    <t>WF GIRDER 50"</t>
  </si>
  <si>
    <t>Notch</t>
  </si>
  <si>
    <t>STRUCTURAL CONCRETE: INTERMEDIATE DIAPHRAGMS</t>
  </si>
  <si>
    <t>Intermediate Diaphragms</t>
  </si>
  <si>
    <r>
      <t>Area (ft</t>
    </r>
    <r>
      <rPr>
        <vertAlign val="superscript"/>
        <sz val="10"/>
        <rFont val="Calibri"/>
        <family val="2"/>
      </rPr>
      <t>2</t>
    </r>
    <r>
      <rPr>
        <sz val="10"/>
        <rFont val="Calibri"/>
        <family val="2"/>
      </rPr>
      <t>)</t>
    </r>
  </si>
  <si>
    <t>Fillets</t>
  </si>
  <si>
    <t>STRUCTURAL CONCRETE: APPROACH SLABS</t>
  </si>
  <si>
    <t>Approach Slab</t>
  </si>
  <si>
    <t>Overhang</t>
  </si>
  <si>
    <t>Thickened Edge</t>
  </si>
  <si>
    <t>STRUCTURAL CONCRETE: PARAPETS</t>
  </si>
  <si>
    <t>Parapets</t>
  </si>
  <si>
    <t>STRUCTURAL CONCRETE: SLEEPER SLABS</t>
  </si>
  <si>
    <t>Sleeper Slab</t>
  </si>
  <si>
    <t>Sleeper Slab Stem</t>
  </si>
  <si>
    <t>STRUCTURAL CONCRETE: ABUTMENTS</t>
  </si>
  <si>
    <t>drawn/measured openroads</t>
  </si>
  <si>
    <t>Abutment 1 Pile Volume</t>
  </si>
  <si>
    <t>Abutment 1 Diaphragm</t>
  </si>
  <si>
    <t>Abutment 1 Approach Slab Seat</t>
  </si>
  <si>
    <t>Abutment 1 Girder Volume (WF 50)</t>
  </si>
  <si>
    <t>Abutment 2 Pile Volume</t>
  </si>
  <si>
    <t>Abutment 2 Diaphragm</t>
  </si>
  <si>
    <t>Abutment 2 Approach Slab Seat</t>
  </si>
  <si>
    <t>Abutment 2 Girder Volume (WF 50)</t>
  </si>
  <si>
    <t>STRUCTURAL CONCRETE: WINGWALLS</t>
  </si>
  <si>
    <t>Height (ft)</t>
  </si>
  <si>
    <t>Wingwall 1</t>
  </si>
  <si>
    <t>Wingwall 1 Fillet</t>
  </si>
  <si>
    <t>Wingwall 2</t>
  </si>
  <si>
    <t>Wingwall 2 Fillet</t>
  </si>
  <si>
    <t>Wingwall 3</t>
  </si>
  <si>
    <t>X</t>
  </si>
  <si>
    <t>Wingwall 3 Fillet</t>
  </si>
  <si>
    <t>Y</t>
  </si>
  <si>
    <t>Wingwall 4</t>
  </si>
  <si>
    <t>Z</t>
  </si>
  <si>
    <t>Wingwall 4 Fillet</t>
  </si>
  <si>
    <t>STRUCTURAL CONCRETE: PIER</t>
  </si>
  <si>
    <t>Pier 1 Footings</t>
  </si>
  <si>
    <t>Pier 1 Girder Volume (WF 50)</t>
  </si>
  <si>
    <t>Pier 1 Bent Cap</t>
  </si>
  <si>
    <t>Pier 1 Diaphragm</t>
  </si>
  <si>
    <t>Pier 1 Diaphragm Edge</t>
  </si>
  <si>
    <t>Pier 1 Columns</t>
  </si>
  <si>
    <t>Pier 1 Pile Volume</t>
  </si>
  <si>
    <r>
      <t>Total Area (ft</t>
    </r>
    <r>
      <rPr>
        <vertAlign val="superscript"/>
        <sz val="10"/>
        <rFont val="Calibri"/>
        <family val="2"/>
      </rPr>
      <t>2</t>
    </r>
    <r>
      <rPr>
        <sz val="10"/>
        <rFont val="Calibri"/>
        <family val="2"/>
      </rPr>
      <t>)</t>
    </r>
  </si>
  <si>
    <t>Abutment 1 Side Face</t>
  </si>
  <si>
    <t>Abutment 2 Side Face</t>
  </si>
  <si>
    <t>Abutment 1 Diaphragm Side Face</t>
  </si>
  <si>
    <t>Abutment 2 Diaphragm Side Face</t>
  </si>
  <si>
    <t>Pier Column Short Side</t>
  </si>
  <si>
    <t>Pier Column Long Side</t>
  </si>
  <si>
    <t>Pier Cross Beam Side Face</t>
  </si>
  <si>
    <t>Pier Cross Beam Bottom Face</t>
  </si>
  <si>
    <t>Pier Diaphragm Side Face</t>
  </si>
  <si>
    <t>Girders</t>
  </si>
  <si>
    <t>Deck Side</t>
  </si>
  <si>
    <t>Approach Slab Side</t>
  </si>
  <si>
    <t>Parapet</t>
  </si>
  <si>
    <t>Coping</t>
  </si>
  <si>
    <t>Abutment 1 Front Face</t>
  </si>
  <si>
    <t>Abutment 2 Front Face</t>
  </si>
  <si>
    <t>Abutment 1 Diaphragm Front Face</t>
  </si>
  <si>
    <t>Abutment 2 Diaphragm Front Face</t>
  </si>
  <si>
    <t>Pier Cross Beam Front Face</t>
  </si>
  <si>
    <t>Pier Diaphragm Front Face</t>
  </si>
  <si>
    <t>Pier Cross Beam Bottom Face - Columns</t>
  </si>
  <si>
    <t>MSE Walls</t>
  </si>
  <si>
    <t>PPC</t>
  </si>
  <si>
    <t>Area (yd^2)</t>
  </si>
  <si>
    <t>Deck + Approach Slabs</t>
  </si>
  <si>
    <t>SH-16 Ramp C Wall Quantities</t>
  </si>
  <si>
    <t>Ramp C Wall</t>
  </si>
  <si>
    <t>S501-17C</t>
  </si>
  <si>
    <t>MSE RETAINING WALL (RAMP C)</t>
  </si>
  <si>
    <t>S501-18C</t>
  </si>
  <si>
    <t>COPING FOR MSE WALL (RAMP C)</t>
  </si>
  <si>
    <t>FG to Bottom of Coping</t>
  </si>
  <si>
    <t>1' Embed</t>
  </si>
  <si>
    <t>Gutter Pan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</si>
</sst>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0.0000_)"/>
    <numFmt numFmtId="165" formatCode="&quot;$&quot;#,##0.00"/>
    <numFmt numFmtId="166" formatCode="#\ ?/4"/>
    <numFmt numFmtId="167" formatCode="0.0"/>
    <numFmt numFmtId="168" formatCode="0.000000"/>
    <numFmt numFmtId="169" formatCode="0.0000000"/>
    <numFmt numFmtId="170" formatCode="mm/dd/yy;@"/>
    <numFmt numFmtId="171" formatCode="&quot;$&quot;#,##0"/>
  </numFmts>
  <fonts count="4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Helvetica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Calibri"/>
      <family val="2"/>
    </font>
    <font>
      <sz val="8"/>
      <name val="Calibri"/>
      <family val="2"/>
    </font>
    <font>
      <b/>
      <sz val="14"/>
      <name val="Calibri"/>
      <family val="2"/>
    </font>
    <font>
      <sz val="9"/>
      <name val="Calibri"/>
      <family val="2"/>
    </font>
    <font>
      <b/>
      <sz val="9"/>
      <name val="Calibri"/>
      <family val="2"/>
    </font>
    <font>
      <b/>
      <sz val="10"/>
      <name val="Calibri"/>
      <family val="2"/>
    </font>
    <font>
      <sz val="10"/>
      <color indexed="12"/>
      <name val="Calibri"/>
      <family val="2"/>
    </font>
    <font>
      <vertAlign val="superscript"/>
      <sz val="10"/>
      <name val="Calibri"/>
      <family val="2"/>
    </font>
    <font>
      <sz val="10"/>
      <color indexed="10"/>
      <name val="Calibri"/>
      <family val="2"/>
    </font>
    <font>
      <sz val="10"/>
      <color rgb="FFFF0000"/>
      <name val="Calibri"/>
      <family val="2"/>
    </font>
    <font>
      <sz val="10"/>
      <color rgb="FF0000FF"/>
      <name val="Calibri"/>
      <family val="2"/>
    </font>
    <font>
      <b/>
      <sz val="9"/>
      <color rgb="FFFF0000"/>
      <name val="Calibri"/>
      <family val="2"/>
    </font>
    <font>
      <sz val="8"/>
      <name val="Arial"/>
      <family val="2"/>
    </font>
    <font>
      <b/>
      <sz val="10"/>
      <name val="Arial"/>
      <family val="2"/>
    </font>
    <font>
      <sz val="12"/>
      <name val="Helv"/>
    </font>
    <font>
      <sz val="12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b/>
      <sz val="14"/>
      <name val="Calibri"/>
      <family val="2"/>
      <scheme val="minor"/>
    </font>
    <font>
      <sz val="10"/>
      <color theme="1"/>
      <name val="Calibri"/>
      <family val="2"/>
    </font>
  </fonts>
  <fills count="2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31"/>
        <bgColor indexed="64"/>
      </patternFill>
    </fill>
    <fill>
      <patternFill patternType="solid">
        <fgColor rgb="FFFFFF00"/>
        <bgColor indexed="64"/>
      </patternFill>
    </fill>
  </fills>
  <borders count="3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48">
    <xf numFmtId="0" fontId="0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9" borderId="0" applyNumberFormat="0" applyBorder="0" applyAlignment="0" applyProtection="0"/>
    <xf numFmtId="0" fontId="6" fillId="3" borderId="0" applyNumberFormat="0" applyBorder="0" applyAlignment="0" applyProtection="0"/>
    <xf numFmtId="0" fontId="7" fillId="20" borderId="1" applyNumberFormat="0" applyAlignment="0" applyProtection="0"/>
    <xf numFmtId="0" fontId="8" fillId="21" borderId="2" applyNumberFormat="0" applyAlignment="0" applyProtection="0"/>
    <xf numFmtId="0" fontId="9" fillId="0" borderId="0" applyNumberFormat="0" applyFill="0" applyBorder="0" applyAlignment="0" applyProtection="0"/>
    <xf numFmtId="0" fontId="10" fillId="4" borderId="0" applyNumberFormat="0" applyBorder="0" applyAlignment="0" applyProtection="0"/>
    <xf numFmtId="0" fontId="11" fillId="0" borderId="3" applyNumberFormat="0" applyFill="0" applyAlignment="0" applyProtection="0"/>
    <xf numFmtId="0" fontId="12" fillId="0" borderId="4" applyNumberFormat="0" applyFill="0" applyAlignment="0" applyProtection="0"/>
    <xf numFmtId="0" fontId="13" fillId="0" borderId="5" applyNumberFormat="0" applyFill="0" applyAlignment="0" applyProtection="0"/>
    <xf numFmtId="0" fontId="13" fillId="0" borderId="0" applyNumberFormat="0" applyFill="0" applyBorder="0" applyAlignment="0" applyProtection="0"/>
    <xf numFmtId="0" fontId="14" fillId="7" borderId="1" applyNumberFormat="0" applyAlignment="0" applyProtection="0"/>
    <xf numFmtId="0" fontId="15" fillId="0" borderId="6" applyNumberFormat="0" applyFill="0" applyAlignment="0" applyProtection="0"/>
    <xf numFmtId="0" fontId="16" fillId="22" borderId="0" applyNumberFormat="0" applyBorder="0" applyAlignment="0" applyProtection="0"/>
    <xf numFmtId="0" fontId="2" fillId="0" borderId="0"/>
    <xf numFmtId="0" fontId="2" fillId="0" borderId="0"/>
    <xf numFmtId="164" fontId="3" fillId="0" borderId="0">
      <protection locked="0"/>
    </xf>
    <xf numFmtId="164" fontId="3" fillId="0" borderId="0">
      <protection locked="0"/>
    </xf>
    <xf numFmtId="0" fontId="4" fillId="23" borderId="7" applyNumberFormat="0" applyFont="0" applyAlignment="0" applyProtection="0"/>
    <xf numFmtId="0" fontId="17" fillId="20" borderId="8" applyNumberForma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0" borderId="0" applyNumberFormat="0" applyFill="0" applyBorder="0" applyAlignment="0" applyProtection="0"/>
    <xf numFmtId="0" fontId="2" fillId="0" borderId="0"/>
    <xf numFmtId="0" fontId="1" fillId="0" borderId="0"/>
  </cellStyleXfs>
  <cellXfs count="155">
    <xf numFmtId="0" fontId="0" fillId="0" borderId="0" xfId="0"/>
    <xf numFmtId="0" fontId="21" fillId="0" borderId="0" xfId="37" applyFont="1" applyAlignment="1">
      <alignment vertical="center"/>
    </xf>
    <xf numFmtId="164" fontId="22" fillId="0" borderId="0" xfId="39" applyFont="1" applyAlignment="1" applyProtection="1">
      <alignment horizontal="right" vertical="center"/>
    </xf>
    <xf numFmtId="0" fontId="22" fillId="0" borderId="10" xfId="39" applyNumberFormat="1" applyFont="1" applyBorder="1" applyAlignment="1">
      <alignment horizontal="left" vertical="center"/>
      <protection locked="0"/>
    </xf>
    <xf numFmtId="0" fontId="22" fillId="0" borderId="0" xfId="39" applyNumberFormat="1" applyFont="1" applyAlignment="1" applyProtection="1">
      <alignment horizontal="right" vertical="center"/>
    </xf>
    <xf numFmtId="0" fontId="22" fillId="0" borderId="10" xfId="40" applyNumberFormat="1" applyFont="1" applyBorder="1" applyAlignment="1">
      <alignment horizontal="center" vertical="center"/>
      <protection locked="0"/>
    </xf>
    <xf numFmtId="0" fontId="22" fillId="0" borderId="0" xfId="40" applyNumberFormat="1" applyFont="1" applyAlignment="1">
      <alignment horizontal="center" vertical="center"/>
      <protection locked="0"/>
    </xf>
    <xf numFmtId="14" fontId="22" fillId="0" borderId="11" xfId="39" applyNumberFormat="1" applyFont="1" applyBorder="1" applyAlignment="1">
      <alignment horizontal="left" vertical="center"/>
      <protection locked="0"/>
    </xf>
    <xf numFmtId="0" fontId="22" fillId="0" borderId="11" xfId="40" applyNumberFormat="1" applyFont="1" applyBorder="1" applyAlignment="1">
      <alignment horizontal="center" vertical="center"/>
      <protection locked="0"/>
    </xf>
    <xf numFmtId="164" fontId="22" fillId="0" borderId="0" xfId="40" applyFont="1" applyAlignment="1" applyProtection="1">
      <alignment horizontal="right" vertical="center"/>
    </xf>
    <xf numFmtId="0" fontId="22" fillId="0" borderId="10" xfId="40" applyNumberFormat="1" applyFont="1" applyBorder="1" applyAlignment="1">
      <alignment horizontal="left" vertical="center"/>
      <protection locked="0"/>
    </xf>
    <xf numFmtId="0" fontId="22" fillId="0" borderId="0" xfId="40" applyNumberFormat="1" applyFont="1" applyAlignment="1" applyProtection="1">
      <alignment horizontal="right" vertical="center"/>
    </xf>
    <xf numFmtId="14" fontId="22" fillId="0" borderId="0" xfId="40" applyNumberFormat="1" applyFont="1" applyAlignment="1">
      <alignment horizontal="left" vertical="center"/>
      <protection locked="0"/>
    </xf>
    <xf numFmtId="0" fontId="22" fillId="0" borderId="0" xfId="40" applyNumberFormat="1" applyFont="1" applyAlignment="1">
      <alignment horizontal="left" vertical="center"/>
      <protection locked="0"/>
    </xf>
    <xf numFmtId="0" fontId="21" fillId="0" borderId="0" xfId="38" applyFont="1" applyAlignment="1">
      <alignment vertical="center"/>
    </xf>
    <xf numFmtId="0" fontId="21" fillId="0" borderId="13" xfId="38" applyFont="1" applyBorder="1" applyAlignment="1">
      <alignment vertical="center"/>
    </xf>
    <xf numFmtId="0" fontId="21" fillId="0" borderId="0" xfId="38" applyFont="1" applyAlignment="1">
      <alignment horizontal="right" vertical="center"/>
    </xf>
    <xf numFmtId="165" fontId="21" fillId="0" borderId="0" xfId="38" applyNumberFormat="1" applyFont="1" applyAlignment="1">
      <alignment vertical="center"/>
    </xf>
    <xf numFmtId="1" fontId="29" fillId="0" borderId="0" xfId="38" applyNumberFormat="1" applyFont="1" applyAlignment="1">
      <alignment horizontal="left" vertical="center"/>
    </xf>
    <xf numFmtId="164" fontId="24" fillId="0" borderId="0" xfId="40" applyFont="1" applyAlignment="1" applyProtection="1">
      <alignment horizontal="left" vertical="center"/>
    </xf>
    <xf numFmtId="0" fontId="27" fillId="0" borderId="0" xfId="38" applyFont="1" applyAlignment="1">
      <alignment vertical="center"/>
    </xf>
    <xf numFmtId="2" fontId="21" fillId="0" borderId="0" xfId="38" applyNumberFormat="1" applyFont="1" applyAlignment="1">
      <alignment vertical="center"/>
    </xf>
    <xf numFmtId="0" fontId="30" fillId="0" borderId="0" xfId="38" applyFont="1" applyAlignment="1">
      <alignment vertical="center"/>
    </xf>
    <xf numFmtId="1" fontId="27" fillId="0" borderId="0" xfId="38" applyNumberFormat="1" applyFont="1" applyAlignment="1">
      <alignment horizontal="center" vertical="center"/>
    </xf>
    <xf numFmtId="1" fontId="21" fillId="0" borderId="10" xfId="38" applyNumberFormat="1" applyFont="1" applyBorder="1" applyAlignment="1">
      <alignment horizontal="center" vertical="center"/>
    </xf>
    <xf numFmtId="0" fontId="21" fillId="0" borderId="0" xfId="38" applyFont="1" applyAlignment="1">
      <alignment horizontal="left" vertical="center"/>
    </xf>
    <xf numFmtId="166" fontId="29" fillId="0" borderId="0" xfId="38" applyNumberFormat="1" applyFont="1" applyAlignment="1">
      <alignment horizontal="left" vertical="center"/>
    </xf>
    <xf numFmtId="164" fontId="25" fillId="24" borderId="12" xfId="40" applyFont="1" applyFill="1" applyBorder="1" applyAlignment="1" applyProtection="1">
      <alignment vertical="center"/>
    </xf>
    <xf numFmtId="2" fontId="21" fillId="0" borderId="13" xfId="38" applyNumberFormat="1" applyFont="1" applyBorder="1" applyAlignment="1">
      <alignment vertical="center"/>
    </xf>
    <xf numFmtId="2" fontId="27" fillId="0" borderId="13" xfId="38" applyNumberFormat="1" applyFont="1" applyBorder="1" applyAlignment="1">
      <alignment vertical="center"/>
    </xf>
    <xf numFmtId="2" fontId="21" fillId="0" borderId="13" xfId="38" applyNumberFormat="1" applyFont="1" applyBorder="1" applyAlignment="1">
      <alignment horizontal="right" vertical="center"/>
    </xf>
    <xf numFmtId="1" fontId="27" fillId="0" borderId="13" xfId="38" applyNumberFormat="1" applyFont="1" applyBorder="1" applyAlignment="1">
      <alignment vertical="center"/>
    </xf>
    <xf numFmtId="2" fontId="21" fillId="0" borderId="0" xfId="38" applyNumberFormat="1" applyFont="1" applyAlignment="1">
      <alignment horizontal="right" vertical="center"/>
    </xf>
    <xf numFmtId="2" fontId="21" fillId="0" borderId="14" xfId="38" applyNumberFormat="1" applyFont="1" applyBorder="1" applyAlignment="1">
      <alignment horizontal="right" vertical="center"/>
    </xf>
    <xf numFmtId="0" fontId="21" fillId="0" borderId="0" xfId="38" applyFont="1" applyAlignment="1">
      <alignment horizontal="center" vertical="center"/>
    </xf>
    <xf numFmtId="2" fontId="27" fillId="0" borderId="13" xfId="38" applyNumberFormat="1" applyFont="1" applyBorder="1" applyAlignment="1">
      <alignment horizontal="right" vertical="center"/>
    </xf>
    <xf numFmtId="2" fontId="21" fillId="0" borderId="14" xfId="38" applyNumberFormat="1" applyFont="1" applyBorder="1" applyAlignment="1">
      <alignment vertical="center"/>
    </xf>
    <xf numFmtId="0" fontId="27" fillId="0" borderId="13" xfId="38" applyFont="1" applyBorder="1" applyAlignment="1">
      <alignment horizontal="right" vertical="center"/>
    </xf>
    <xf numFmtId="0" fontId="29" fillId="0" borderId="0" xfId="38" applyFont="1" applyAlignment="1">
      <alignment horizontal="left" vertical="center"/>
    </xf>
    <xf numFmtId="0" fontId="21" fillId="0" borderId="15" xfId="38" applyFont="1" applyBorder="1" applyAlignment="1">
      <alignment horizontal="center" vertical="center"/>
    </xf>
    <xf numFmtId="1" fontId="27" fillId="0" borderId="13" xfId="38" applyNumberFormat="1" applyFont="1" applyBorder="1" applyAlignment="1">
      <alignment horizontal="right" vertical="center"/>
    </xf>
    <xf numFmtId="0" fontId="27" fillId="0" borderId="13" xfId="38" applyFont="1" applyBorder="1" applyAlignment="1">
      <alignment vertical="center"/>
    </xf>
    <xf numFmtId="2" fontId="27" fillId="0" borderId="0" xfId="38" applyNumberFormat="1" applyFont="1" applyAlignment="1">
      <alignment vertical="center"/>
    </xf>
    <xf numFmtId="164" fontId="25" fillId="0" borderId="13" xfId="40" applyFont="1" applyBorder="1" applyAlignment="1" applyProtection="1">
      <alignment horizontal="left" vertical="center"/>
    </xf>
    <xf numFmtId="0" fontId="21" fillId="0" borderId="10" xfId="38" applyFont="1" applyBorder="1" applyAlignment="1">
      <alignment vertical="center"/>
    </xf>
    <xf numFmtId="2" fontId="27" fillId="0" borderId="0" xfId="37" applyNumberFormat="1" applyFont="1" applyAlignment="1">
      <alignment vertical="center"/>
    </xf>
    <xf numFmtId="0" fontId="30" fillId="0" borderId="13" xfId="38" applyFont="1" applyBorder="1" applyAlignment="1">
      <alignment vertical="center"/>
    </xf>
    <xf numFmtId="2" fontId="21" fillId="0" borderId="0" xfId="37" applyNumberFormat="1" applyFont="1" applyAlignment="1">
      <alignment vertical="center"/>
    </xf>
    <xf numFmtId="0" fontId="26" fillId="0" borderId="10" xfId="46" applyFont="1" applyBorder="1" applyAlignment="1">
      <alignment vertical="center"/>
    </xf>
    <xf numFmtId="2" fontId="27" fillId="0" borderId="0" xfId="46" applyNumberFormat="1" applyFont="1" applyAlignment="1">
      <alignment vertical="center"/>
    </xf>
    <xf numFmtId="2" fontId="21" fillId="0" borderId="0" xfId="46" applyNumberFormat="1" applyFont="1" applyAlignment="1">
      <alignment vertical="center"/>
    </xf>
    <xf numFmtId="0" fontId="21" fillId="0" borderId="10" xfId="0" applyFont="1" applyBorder="1"/>
    <xf numFmtId="2" fontId="27" fillId="0" borderId="10" xfId="0" applyNumberFormat="1" applyFont="1" applyBorder="1"/>
    <xf numFmtId="0" fontId="21" fillId="0" borderId="13" xfId="38" applyFont="1" applyBorder="1" applyAlignment="1">
      <alignment horizontal="center" vertical="center"/>
    </xf>
    <xf numFmtId="2" fontId="31" fillId="0" borderId="0" xfId="46" applyNumberFormat="1" applyFont="1" applyAlignment="1">
      <alignment vertical="center"/>
    </xf>
    <xf numFmtId="164" fontId="32" fillId="0" borderId="13" xfId="40" applyFont="1" applyBorder="1" applyAlignment="1" applyProtection="1">
      <alignment horizontal="left" vertical="center"/>
    </xf>
    <xf numFmtId="0" fontId="31" fillId="0" borderId="13" xfId="38" applyFont="1" applyBorder="1" applyAlignment="1">
      <alignment horizontal="right" vertical="center"/>
    </xf>
    <xf numFmtId="2" fontId="27" fillId="0" borderId="0" xfId="38" applyNumberFormat="1" applyFont="1" applyAlignment="1">
      <alignment horizontal="right" vertical="center"/>
    </xf>
    <xf numFmtId="1" fontId="27" fillId="0" borderId="0" xfId="38" applyNumberFormat="1" applyFont="1" applyAlignment="1">
      <alignment horizontal="right" vertical="center"/>
    </xf>
    <xf numFmtId="1" fontId="27" fillId="0" borderId="0" xfId="38" applyNumberFormat="1" applyFont="1" applyAlignment="1">
      <alignment vertical="center"/>
    </xf>
    <xf numFmtId="2" fontId="31" fillId="0" borderId="13" xfId="38" applyNumberFormat="1" applyFont="1" applyBorder="1" applyAlignment="1">
      <alignment vertical="center"/>
    </xf>
    <xf numFmtId="1" fontId="31" fillId="0" borderId="13" xfId="38" applyNumberFormat="1" applyFont="1" applyBorder="1" applyAlignment="1">
      <alignment vertical="center"/>
    </xf>
    <xf numFmtId="2" fontId="27" fillId="0" borderId="13" xfId="38" quotePrefix="1" applyNumberFormat="1" applyFont="1" applyBorder="1" applyAlignment="1">
      <alignment horizontal="right" vertical="center"/>
    </xf>
    <xf numFmtId="0" fontId="31" fillId="0" borderId="0" xfId="38" applyFont="1" applyAlignment="1">
      <alignment vertical="center"/>
    </xf>
    <xf numFmtId="2" fontId="31" fillId="0" borderId="0" xfId="38" applyNumberFormat="1" applyFont="1" applyAlignment="1">
      <alignment vertical="center"/>
    </xf>
    <xf numFmtId="2" fontId="27" fillId="0" borderId="0" xfId="38" quotePrefix="1" applyNumberFormat="1" applyFont="1" applyAlignment="1">
      <alignment horizontal="right" vertical="center"/>
    </xf>
    <xf numFmtId="0" fontId="21" fillId="0" borderId="0" xfId="37" applyFont="1" applyAlignment="1">
      <alignment horizontal="center" vertical="center"/>
    </xf>
    <xf numFmtId="2" fontId="21" fillId="0" borderId="10" xfId="38" applyNumberFormat="1" applyFont="1" applyBorder="1" applyAlignment="1">
      <alignment vertical="center"/>
    </xf>
    <xf numFmtId="0" fontId="2" fillId="0" borderId="0" xfId="0" applyFont="1"/>
    <xf numFmtId="1" fontId="21" fillId="0" borderId="13" xfId="38" applyNumberFormat="1" applyFont="1" applyBorder="1" applyAlignment="1">
      <alignment vertical="center"/>
    </xf>
    <xf numFmtId="164" fontId="25" fillId="24" borderId="12" xfId="40" applyFont="1" applyFill="1" applyBorder="1" applyAlignment="1" applyProtection="1">
      <alignment horizontal="left" vertical="center"/>
    </xf>
    <xf numFmtId="2" fontId="31" fillId="0" borderId="13" xfId="38" applyNumberFormat="1" applyFont="1" applyBorder="1" applyAlignment="1">
      <alignment horizontal="right" vertical="center"/>
    </xf>
    <xf numFmtId="1" fontId="21" fillId="0" borderId="0" xfId="38" applyNumberFormat="1" applyFont="1" applyAlignment="1">
      <alignment vertical="center"/>
    </xf>
    <xf numFmtId="0" fontId="21" fillId="0" borderId="13" xfId="38" applyFont="1" applyBorder="1" applyAlignment="1">
      <alignment horizontal="left" vertical="center"/>
    </xf>
    <xf numFmtId="0" fontId="30" fillId="0" borderId="0" xfId="0" applyFont="1"/>
    <xf numFmtId="2" fontId="30" fillId="0" borderId="0" xfId="0" applyNumberFormat="1" applyFont="1"/>
    <xf numFmtId="167" fontId="21" fillId="0" borderId="0" xfId="38" applyNumberFormat="1" applyFont="1" applyAlignment="1">
      <alignment vertical="center"/>
    </xf>
    <xf numFmtId="168" fontId="21" fillId="0" borderId="0" xfId="38" applyNumberFormat="1" applyFont="1" applyAlignment="1">
      <alignment vertical="center"/>
    </xf>
    <xf numFmtId="169" fontId="21" fillId="0" borderId="0" xfId="38" applyNumberFormat="1" applyFont="1" applyAlignment="1">
      <alignment vertical="center"/>
    </xf>
    <xf numFmtId="0" fontId="0" fillId="0" borderId="19" xfId="0" applyBorder="1"/>
    <xf numFmtId="0" fontId="0" fillId="0" borderId="20" xfId="0" applyBorder="1"/>
    <xf numFmtId="1" fontId="0" fillId="0" borderId="20" xfId="0" applyNumberFormat="1" applyBorder="1"/>
    <xf numFmtId="0" fontId="0" fillId="0" borderId="21" xfId="0" applyBorder="1"/>
    <xf numFmtId="0" fontId="0" fillId="0" borderId="23" xfId="0" applyBorder="1"/>
    <xf numFmtId="0" fontId="35" fillId="0" borderId="0" xfId="0" applyFont="1"/>
    <xf numFmtId="0" fontId="35" fillId="0" borderId="22" xfId="0" applyFont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23" xfId="0" applyFont="1" applyBorder="1" applyAlignment="1">
      <alignment horizontal="center"/>
    </xf>
    <xf numFmtId="170" fontId="36" fillId="0" borderId="24" xfId="0" quotePrefix="1" applyNumberFormat="1" applyFont="1" applyBorder="1" applyAlignment="1">
      <alignment horizontal="center" vertical="center"/>
    </xf>
    <xf numFmtId="0" fontId="37" fillId="0" borderId="16" xfId="0" applyFont="1" applyBorder="1" applyAlignment="1">
      <alignment horizontal="center" vertical="center"/>
    </xf>
    <xf numFmtId="0" fontId="35" fillId="0" borderId="16" xfId="0" applyFont="1" applyBorder="1"/>
    <xf numFmtId="0" fontId="39" fillId="0" borderId="26" xfId="0" applyFont="1" applyBorder="1" applyAlignment="1">
      <alignment horizontal="center" vertical="center"/>
    </xf>
    <xf numFmtId="0" fontId="39" fillId="0" borderId="26" xfId="0" applyFont="1" applyBorder="1" applyAlignment="1">
      <alignment horizontal="center" vertical="center" wrapText="1"/>
    </xf>
    <xf numFmtId="2" fontId="34" fillId="0" borderId="22" xfId="0" applyNumberFormat="1" applyFont="1" applyBorder="1" applyAlignment="1">
      <alignment horizontal="left" wrapText="1"/>
    </xf>
    <xf numFmtId="0" fontId="38" fillId="0" borderId="16" xfId="0" applyFont="1" applyBorder="1" applyAlignment="1">
      <alignment horizontal="center" vertical="center"/>
    </xf>
    <xf numFmtId="0" fontId="38" fillId="0" borderId="25" xfId="0" applyFont="1" applyBorder="1" applyAlignment="1">
      <alignment horizontal="center" vertical="center"/>
    </xf>
    <xf numFmtId="2" fontId="34" fillId="0" borderId="0" xfId="0" applyNumberFormat="1" applyFont="1" applyAlignment="1">
      <alignment horizontal="left" wrapText="1"/>
    </xf>
    <xf numFmtId="0" fontId="40" fillId="0" borderId="27" xfId="0" applyFont="1" applyBorder="1" applyAlignment="1">
      <alignment horizontal="center"/>
    </xf>
    <xf numFmtId="0" fontId="40" fillId="0" borderId="13" xfId="0" applyFont="1" applyBorder="1" applyAlignment="1">
      <alignment horizontal="center" vertical="center"/>
    </xf>
    <xf numFmtId="167" fontId="40" fillId="0" borderId="13" xfId="0" applyNumberFormat="1" applyFont="1" applyBorder="1" applyAlignment="1">
      <alignment horizontal="center" vertical="center"/>
    </xf>
    <xf numFmtId="171" fontId="40" fillId="0" borderId="13" xfId="0" applyNumberFormat="1" applyFont="1" applyBorder="1" applyAlignment="1">
      <alignment horizontal="center" vertical="center"/>
    </xf>
    <xf numFmtId="165" fontId="21" fillId="0" borderId="28" xfId="0" applyNumberFormat="1" applyFont="1" applyBorder="1" applyAlignment="1">
      <alignment horizontal="right" vertical="center"/>
    </xf>
    <xf numFmtId="0" fontId="40" fillId="0" borderId="13" xfId="0" applyFont="1" applyBorder="1" applyAlignment="1">
      <alignment horizontal="center"/>
    </xf>
    <xf numFmtId="1" fontId="40" fillId="0" borderId="13" xfId="0" applyNumberFormat="1" applyFont="1" applyBorder="1" applyAlignment="1">
      <alignment horizontal="center" vertical="center"/>
    </xf>
    <xf numFmtId="165" fontId="40" fillId="0" borderId="13" xfId="0" applyNumberFormat="1" applyFont="1" applyBorder="1" applyAlignment="1">
      <alignment horizontal="center" vertical="center"/>
    </xf>
    <xf numFmtId="0" fontId="21" fillId="0" borderId="27" xfId="0" applyFont="1" applyBorder="1" applyAlignment="1">
      <alignment horizontal="center"/>
    </xf>
    <xf numFmtId="171" fontId="21" fillId="0" borderId="13" xfId="0" applyNumberFormat="1" applyFont="1" applyBorder="1" applyAlignment="1">
      <alignment horizontal="center" vertical="center"/>
    </xf>
    <xf numFmtId="0" fontId="21" fillId="0" borderId="13" xfId="0" applyFont="1" applyBorder="1" applyAlignment="1">
      <alignment horizontal="center"/>
    </xf>
    <xf numFmtId="165" fontId="21" fillId="0" borderId="13" xfId="0" applyNumberFormat="1" applyFont="1" applyBorder="1" applyAlignment="1">
      <alignment horizontal="center" vertical="center"/>
    </xf>
    <xf numFmtId="0" fontId="40" fillId="0" borderId="29" xfId="0" applyFont="1" applyBorder="1" applyAlignment="1">
      <alignment horizontal="center"/>
    </xf>
    <xf numFmtId="0" fontId="40" fillId="0" borderId="18" xfId="0" applyFont="1" applyBorder="1" applyAlignment="1">
      <alignment horizontal="center"/>
    </xf>
    <xf numFmtId="0" fontId="40" fillId="0" borderId="18" xfId="0" applyFont="1" applyBorder="1" applyAlignment="1">
      <alignment horizontal="center" vertical="center"/>
    </xf>
    <xf numFmtId="165" fontId="40" fillId="0" borderId="18" xfId="0" applyNumberFormat="1" applyFont="1" applyBorder="1" applyAlignment="1">
      <alignment horizontal="center" vertical="center"/>
    </xf>
    <xf numFmtId="171" fontId="40" fillId="0" borderId="18" xfId="0" applyNumberFormat="1" applyFont="1" applyBorder="1" applyAlignment="1">
      <alignment horizontal="center" vertical="center"/>
    </xf>
    <xf numFmtId="171" fontId="21" fillId="0" borderId="18" xfId="0" applyNumberFormat="1" applyFont="1" applyBorder="1" applyAlignment="1">
      <alignment horizontal="center" vertical="center"/>
    </xf>
    <xf numFmtId="0" fontId="40" fillId="0" borderId="30" xfId="0" applyFont="1" applyBorder="1" applyAlignment="1">
      <alignment horizontal="center"/>
    </xf>
    <xf numFmtId="0" fontId="40" fillId="0" borderId="31" xfId="0" applyFont="1" applyBorder="1" applyAlignment="1">
      <alignment horizontal="center"/>
    </xf>
    <xf numFmtId="165" fontId="40" fillId="0" borderId="31" xfId="0" applyNumberFormat="1" applyFont="1" applyBorder="1" applyAlignment="1">
      <alignment horizontal="center" vertical="center"/>
    </xf>
    <xf numFmtId="165" fontId="21" fillId="0" borderId="32" xfId="0" applyNumberFormat="1" applyFont="1" applyBorder="1" applyAlignment="1">
      <alignment horizontal="right" vertical="center"/>
    </xf>
    <xf numFmtId="0" fontId="40" fillId="25" borderId="13" xfId="0" applyFont="1" applyFill="1" applyBorder="1"/>
    <xf numFmtId="0" fontId="21" fillId="0" borderId="18" xfId="0" applyFont="1" applyBorder="1" applyAlignment="1">
      <alignment horizontal="left" vertical="center"/>
    </xf>
    <xf numFmtId="2" fontId="21" fillId="0" borderId="13" xfId="38" quotePrefix="1" applyNumberFormat="1" applyFont="1" applyBorder="1" applyAlignment="1">
      <alignment horizontal="right" vertical="center"/>
    </xf>
    <xf numFmtId="2" fontId="27" fillId="0" borderId="13" xfId="38" quotePrefix="1" applyNumberFormat="1" applyFont="1" applyBorder="1" applyAlignment="1">
      <alignment vertical="center"/>
    </xf>
    <xf numFmtId="2" fontId="21" fillId="0" borderId="13" xfId="38" quotePrefix="1" applyNumberFormat="1" applyFont="1" applyBorder="1" applyAlignment="1">
      <alignment vertical="center"/>
    </xf>
    <xf numFmtId="1" fontId="27" fillId="0" borderId="13" xfId="38" quotePrefix="1" applyNumberFormat="1" applyFont="1" applyBorder="1" applyAlignment="1">
      <alignment vertical="center"/>
    </xf>
    <xf numFmtId="2" fontId="21" fillId="0" borderId="10" xfId="38" applyNumberFormat="1" applyFont="1" applyBorder="1" applyAlignment="1">
      <alignment horizontal="right" vertical="center"/>
    </xf>
    <xf numFmtId="1" fontId="40" fillId="0" borderId="31" xfId="0" applyNumberFormat="1" applyFont="1" applyBorder="1" applyAlignment="1">
      <alignment horizontal="center" vertical="center"/>
    </xf>
    <xf numFmtId="165" fontId="0" fillId="0" borderId="0" xfId="0" applyNumberFormat="1"/>
    <xf numFmtId="0" fontId="40" fillId="0" borderId="13" xfId="0" applyFont="1" applyBorder="1"/>
    <xf numFmtId="0" fontId="21" fillId="0" borderId="13" xfId="0" applyFont="1" applyBorder="1"/>
    <xf numFmtId="0" fontId="40" fillId="0" borderId="13" xfId="0" applyFont="1" applyBorder="1" applyAlignment="1">
      <alignment horizontal="left" vertical="center"/>
    </xf>
    <xf numFmtId="0" fontId="21" fillId="0" borderId="13" xfId="0" applyFont="1" applyBorder="1" applyAlignment="1">
      <alignment horizontal="left" vertical="center"/>
    </xf>
    <xf numFmtId="0" fontId="40" fillId="0" borderId="18" xfId="0" applyFont="1" applyBorder="1" applyAlignment="1">
      <alignment horizontal="left" vertical="center"/>
    </xf>
    <xf numFmtId="0" fontId="40" fillId="0" borderId="31" xfId="0" applyFont="1" applyBorder="1" applyAlignment="1">
      <alignment horizontal="left" vertical="center"/>
    </xf>
    <xf numFmtId="165" fontId="21" fillId="0" borderId="33" xfId="0" applyNumberFormat="1" applyFont="1" applyBorder="1" applyAlignment="1">
      <alignment horizontal="right" vertical="center"/>
    </xf>
    <xf numFmtId="0" fontId="21" fillId="0" borderId="31" xfId="0" applyFont="1" applyBorder="1" applyAlignment="1">
      <alignment horizontal="left" vertical="center"/>
    </xf>
    <xf numFmtId="171" fontId="21" fillId="0" borderId="31" xfId="0" applyNumberFormat="1" applyFont="1" applyBorder="1" applyAlignment="1">
      <alignment horizontal="center" vertical="center"/>
    </xf>
    <xf numFmtId="1" fontId="0" fillId="0" borderId="0" xfId="0" applyNumberFormat="1"/>
    <xf numFmtId="0" fontId="21" fillId="0" borderId="0" xfId="0" applyFont="1"/>
    <xf numFmtId="2" fontId="27" fillId="0" borderId="0" xfId="0" applyNumberFormat="1" applyFont="1"/>
    <xf numFmtId="1" fontId="21" fillId="0" borderId="13" xfId="0" applyNumberFormat="1" applyFont="1" applyBorder="1" applyAlignment="1">
      <alignment horizontal="center" vertical="center"/>
    </xf>
    <xf numFmtId="164" fontId="25" fillId="24" borderId="12" xfId="40" applyFont="1" applyFill="1" applyBorder="1" applyAlignment="1" applyProtection="1">
      <alignment horizontal="left" vertical="center"/>
    </xf>
    <xf numFmtId="0" fontId="23" fillId="0" borderId="0" xfId="37" applyFont="1" applyAlignment="1">
      <alignment horizontal="left" vertical="center"/>
    </xf>
    <xf numFmtId="164" fontId="25" fillId="24" borderId="16" xfId="40" applyFont="1" applyFill="1" applyBorder="1" applyAlignment="1" applyProtection="1">
      <alignment horizontal="left" vertical="center"/>
    </xf>
    <xf numFmtId="2" fontId="31" fillId="0" borderId="15" xfId="38" applyNumberFormat="1" applyFont="1" applyBorder="1" applyAlignment="1">
      <alignment horizontal="center" vertical="center"/>
    </xf>
    <xf numFmtId="2" fontId="31" fillId="0" borderId="17" xfId="38" applyNumberFormat="1" applyFont="1" applyBorder="1" applyAlignment="1">
      <alignment horizontal="center" vertical="center"/>
    </xf>
    <xf numFmtId="0" fontId="21" fillId="0" borderId="15" xfId="38" applyFont="1" applyBorder="1" applyAlignment="1">
      <alignment horizontal="center" vertical="center"/>
    </xf>
    <xf numFmtId="0" fontId="21" fillId="0" borderId="17" xfId="38" applyFont="1" applyBorder="1" applyAlignment="1">
      <alignment horizontal="center" vertical="center"/>
    </xf>
    <xf numFmtId="2" fontId="27" fillId="0" borderId="15" xfId="38" applyNumberFormat="1" applyFont="1" applyBorder="1" applyAlignment="1">
      <alignment horizontal="center" vertical="center"/>
    </xf>
    <xf numFmtId="2" fontId="27" fillId="0" borderId="17" xfId="38" applyNumberFormat="1" applyFont="1" applyBorder="1" applyAlignment="1">
      <alignment horizontal="center" vertical="center"/>
    </xf>
    <xf numFmtId="2" fontId="27" fillId="0" borderId="15" xfId="38" quotePrefix="1" applyNumberFormat="1" applyFont="1" applyBorder="1" applyAlignment="1">
      <alignment horizontal="center" vertical="center"/>
    </xf>
    <xf numFmtId="2" fontId="27" fillId="0" borderId="17" xfId="38" quotePrefix="1" applyNumberFormat="1" applyFont="1" applyBorder="1" applyAlignment="1">
      <alignment horizontal="center" vertical="center"/>
    </xf>
    <xf numFmtId="2" fontId="21" fillId="0" borderId="15" xfId="38" applyNumberFormat="1" applyFont="1" applyBorder="1" applyAlignment="1">
      <alignment horizontal="center" vertical="center"/>
    </xf>
    <xf numFmtId="2" fontId="21" fillId="0" borderId="17" xfId="38" applyNumberFormat="1" applyFont="1" applyBorder="1" applyAlignment="1">
      <alignment horizontal="center" vertical="center"/>
    </xf>
    <xf numFmtId="0" fontId="23" fillId="0" borderId="16" xfId="37" applyFont="1" applyBorder="1" applyAlignment="1">
      <alignment horizontal="left" vertical="center"/>
    </xf>
  </cellXfs>
  <cellStyles count="48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46" xr:uid="{00000000-0005-0000-0000-000025000000}"/>
    <cellStyle name="Normal 3" xfId="47" xr:uid="{00000000-0005-0000-0000-000026000000}"/>
    <cellStyle name="Normal_AASHTO" xfId="37" xr:uid="{00000000-0005-0000-0000-000027000000}"/>
    <cellStyle name="Normal_Bridge Quantities 010808" xfId="38" xr:uid="{00000000-0005-0000-0000-000028000000}"/>
    <cellStyle name="Normal_Master I-15 (90th to 106th) Quantities 1-12-08" xfId="39" xr:uid="{00000000-0005-0000-0000-000029000000}"/>
    <cellStyle name="Normal_Plan Quantities" xfId="40" xr:uid="{00000000-0005-0000-0000-00002A000000}"/>
    <cellStyle name="Note" xfId="41" builtinId="10" customBuiltin="1"/>
    <cellStyle name="Output" xfId="42" builtinId="21" customBuiltin="1"/>
    <cellStyle name="Title" xfId="43" builtinId="15" customBuiltin="1"/>
    <cellStyle name="Total" xfId="44" builtinId="25" customBuiltin="1"/>
    <cellStyle name="Warning Text" xfId="45" builtinId="11" customBuiltin="1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11" Type="http://schemas.openxmlformats.org/officeDocument/2006/relationships/customXml" Target="../customXml/item5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95250</xdr:rowOff>
    </xdr:from>
    <xdr:to>
      <xdr:col>5</xdr:col>
      <xdr:colOff>968828</xdr:colOff>
      <xdr:row>10</xdr:row>
      <xdr:rowOff>41275</xdr:rowOff>
    </xdr:to>
    <xdr:sp macro="" textlink="">
      <xdr:nvSpPr>
        <xdr:cNvPr id="6" name="Text Box 2">
          <a:extLst>
            <a:ext uri="{FF2B5EF4-FFF2-40B4-BE49-F238E27FC236}">
              <a16:creationId xmlns:a16="http://schemas.microsoft.com/office/drawing/2014/main" id="{4D23B699-DC22-4A46-AB55-B89CF50DF32C}"/>
            </a:ext>
          </a:extLst>
        </xdr:cNvPr>
        <xdr:cNvSpPr txBox="1">
          <a:spLocks noChangeArrowheads="1"/>
        </xdr:cNvSpPr>
      </xdr:nvSpPr>
      <xdr:spPr bwMode="auto">
        <a:xfrm>
          <a:off x="190500" y="504825"/>
          <a:ext cx="8960303" cy="517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27432" rIns="36576" bIns="0" anchor="ctr" upright="1"/>
        <a:lstStyle/>
        <a:p>
          <a:pPr algn="ctr"/>
          <a:r>
            <a:rPr lang="en-US" sz="2400" b="1" i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OPINION OF PROBABLE COST</a:t>
          </a:r>
          <a:endParaRPr lang="en-US" sz="2400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0</xdr:col>
      <xdr:colOff>149598</xdr:colOff>
      <xdr:row>9</xdr:row>
      <xdr:rowOff>63500</xdr:rowOff>
    </xdr:from>
    <xdr:to>
      <xdr:col>1</xdr:col>
      <xdr:colOff>482600</xdr:colOff>
      <xdr:row>9</xdr:row>
      <xdr:rowOff>387350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60668B00-A8C6-455E-9FDC-6A0543119DDB}"/>
            </a:ext>
          </a:extLst>
        </xdr:cNvPr>
        <xdr:cNvSpPr txBox="1">
          <a:spLocks noChangeArrowheads="1"/>
        </xdr:cNvSpPr>
      </xdr:nvSpPr>
      <xdr:spPr bwMode="auto">
        <a:xfrm>
          <a:off x="340098" y="473075"/>
          <a:ext cx="1323602" cy="3238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50292" rIns="45720" bIns="50292" anchor="ctr" upright="1"/>
        <a:lstStyle/>
        <a:p>
          <a:pPr algn="l" rtl="0">
            <a:defRPr sz="1000"/>
          </a:pPr>
          <a:r>
            <a:rPr lang="en-US" sz="1600" b="1" i="0" u="none" strike="noStrike" baseline="0">
              <a:solidFill>
                <a:srgbClr val="C00000"/>
              </a:solidFill>
              <a:latin typeface="Arial Black"/>
            </a:rPr>
            <a:t>Parametrix</a:t>
          </a:r>
          <a:endParaRPr lang="en-US">
            <a:solidFill>
              <a:srgbClr val="C00000"/>
            </a:solidFill>
          </a:endParaRPr>
        </a:p>
      </xdr:txBody>
    </xdr:sp>
    <xdr:clientData/>
  </xdr:twoCellAnchor>
  <xdr:twoCellAnchor>
    <xdr:from>
      <xdr:col>0</xdr:col>
      <xdr:colOff>149598</xdr:colOff>
      <xdr:row>9</xdr:row>
      <xdr:rowOff>63500</xdr:rowOff>
    </xdr:from>
    <xdr:to>
      <xdr:col>1</xdr:col>
      <xdr:colOff>1047750</xdr:colOff>
      <xdr:row>9</xdr:row>
      <xdr:rowOff>387350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E60EDB68-ECFD-4EF7-9AA2-21014E1BC4CA}"/>
            </a:ext>
          </a:extLst>
        </xdr:cNvPr>
        <xdr:cNvSpPr txBox="1">
          <a:spLocks noChangeArrowheads="1"/>
        </xdr:cNvSpPr>
      </xdr:nvSpPr>
      <xdr:spPr bwMode="auto">
        <a:xfrm>
          <a:off x="149598" y="1539875"/>
          <a:ext cx="1507752" cy="3238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50292" rIns="45720" bIns="50292" anchor="ctr" upright="1"/>
        <a:lstStyle/>
        <a:p>
          <a:pPr algn="l" rtl="0">
            <a:defRPr sz="1000"/>
          </a:pPr>
          <a:r>
            <a:rPr lang="en-US" sz="1600" b="1" i="0" u="none" strike="noStrike" baseline="0">
              <a:solidFill>
                <a:srgbClr val="C00000"/>
              </a:solidFill>
              <a:latin typeface="Arial Black"/>
            </a:rPr>
            <a:t>Parametrix</a:t>
          </a:r>
          <a:endParaRPr lang="en-US">
            <a:solidFill>
              <a:srgbClr val="C00000"/>
            </a:solidFill>
          </a:endParaRPr>
        </a:p>
      </xdr:txBody>
    </xdr:sp>
    <xdr:clientData/>
  </xdr:twoCellAnchor>
  <xdr:twoCellAnchor>
    <xdr:from>
      <xdr:col>0</xdr:col>
      <xdr:colOff>10886</xdr:colOff>
      <xdr:row>9</xdr:row>
      <xdr:rowOff>548481</xdr:rowOff>
    </xdr:from>
    <xdr:to>
      <xdr:col>5</xdr:col>
      <xdr:colOff>968828</xdr:colOff>
      <xdr:row>11</xdr:row>
      <xdr:rowOff>119743</xdr:rowOff>
    </xdr:to>
    <xdr:sp macro="" textlink="">
      <xdr:nvSpPr>
        <xdr:cNvPr id="4" name="Text Box 2">
          <a:extLst>
            <a:ext uri="{FF2B5EF4-FFF2-40B4-BE49-F238E27FC236}">
              <a16:creationId xmlns:a16="http://schemas.microsoft.com/office/drawing/2014/main" id="{18E8E99E-F44C-45FA-9196-54E67ED836C8}"/>
            </a:ext>
          </a:extLst>
        </xdr:cNvPr>
        <xdr:cNvSpPr txBox="1">
          <a:spLocks noChangeArrowheads="1"/>
        </xdr:cNvSpPr>
      </xdr:nvSpPr>
      <xdr:spPr bwMode="auto">
        <a:xfrm>
          <a:off x="201386" y="958056"/>
          <a:ext cx="8949417" cy="714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27432" rIns="36576" bIns="0" anchor="ctr" upright="1"/>
        <a:lstStyle/>
        <a:p>
          <a:pPr algn="ctr"/>
          <a:r>
            <a:rPr lang="en-US" sz="2000" b="1" i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SH-16, I-84 to FRANKLIN RD</a:t>
          </a:r>
        </a:p>
        <a:p>
          <a:pPr algn="ctr"/>
          <a:r>
            <a:rPr lang="en-US" sz="2000" b="1" i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PROJECT NO. A023(410); KEY NO. 23410</a:t>
          </a:r>
          <a:endParaRPr lang="en-US" sz="2000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 editAs="oneCell">
    <xdr:from>
      <xdr:col>4</xdr:col>
      <xdr:colOff>435585</xdr:colOff>
      <xdr:row>9</xdr:row>
      <xdr:rowOff>56590</xdr:rowOff>
    </xdr:from>
    <xdr:to>
      <xdr:col>5</xdr:col>
      <xdr:colOff>322324</xdr:colOff>
      <xdr:row>10</xdr:row>
      <xdr:rowOff>400702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02CA681-AC99-432B-950C-424F25F04A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84010" y="1532965"/>
          <a:ext cx="881149" cy="906087"/>
        </a:xfrm>
        <a:prstGeom prst="rect">
          <a:avLst/>
        </a:prstGeom>
      </xdr:spPr>
    </xdr:pic>
    <xdr:clientData/>
  </xdr:twoCellAnchor>
  <xdr:twoCellAnchor>
    <xdr:from>
      <xdr:col>0</xdr:col>
      <xdr:colOff>10885</xdr:colOff>
      <xdr:row>11</xdr:row>
      <xdr:rowOff>56470</xdr:rowOff>
    </xdr:from>
    <xdr:to>
      <xdr:col>5</xdr:col>
      <xdr:colOff>990598</xdr:colOff>
      <xdr:row>11</xdr:row>
      <xdr:rowOff>573995</xdr:rowOff>
    </xdr:to>
    <xdr:sp macro="" textlink="">
      <xdr:nvSpPr>
        <xdr:cNvPr id="7" name="Text Box 2">
          <a:extLst>
            <a:ext uri="{FF2B5EF4-FFF2-40B4-BE49-F238E27FC236}">
              <a16:creationId xmlns:a16="http://schemas.microsoft.com/office/drawing/2014/main" id="{DD9E2128-ED96-4554-9A6C-E88B21322234}"/>
            </a:ext>
          </a:extLst>
        </xdr:cNvPr>
        <xdr:cNvSpPr txBox="1">
          <a:spLocks noChangeArrowheads="1"/>
        </xdr:cNvSpPr>
      </xdr:nvSpPr>
      <xdr:spPr bwMode="auto">
        <a:xfrm>
          <a:off x="201385" y="1609045"/>
          <a:ext cx="8971188" cy="517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27432" rIns="36576" bIns="0" anchor="ctr" upright="1"/>
        <a:lstStyle/>
        <a:p>
          <a:pPr algn="ctr"/>
          <a:r>
            <a:rPr lang="en-US" sz="2000" b="1" i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SH-16 OVER I-84 BRIDGE - FINAL DESIGN SUBMITTAL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Y195"/>
  <sheetViews>
    <sheetView tabSelected="1" topLeftCell="A53" zoomScaleNormal="100" workbookViewId="0">
      <selection activeCell="F38" sqref="F38:F39"/>
    </sheetView>
  </sheetViews>
  <sheetFormatPr defaultColWidth="9.140625" defaultRowHeight="13.9"/>
  <cols>
    <col min="1" max="1" width="9.140625" style="14"/>
    <col min="2" max="2" width="58.140625" style="14" customWidth="1"/>
    <col min="3" max="8" width="14.7109375" style="14" customWidth="1"/>
    <col min="9" max="9" width="15.42578125" style="14" bestFit="1" customWidth="1"/>
    <col min="10" max="10" width="15.28515625" style="14" bestFit="1" customWidth="1"/>
    <col min="11" max="11" width="10" style="14" bestFit="1" customWidth="1"/>
    <col min="12" max="12" width="9.42578125" style="14" bestFit="1" customWidth="1"/>
    <col min="13" max="13" width="13.140625" style="14" bestFit="1" customWidth="1"/>
    <col min="14" max="14" width="9.140625" style="14"/>
    <col min="15" max="15" width="9.42578125" style="14" bestFit="1" customWidth="1"/>
    <col min="16" max="16" width="9.140625" style="14"/>
    <col min="17" max="17" width="9.42578125" style="14" bestFit="1" customWidth="1"/>
    <col min="18" max="18" width="16.85546875" style="14" bestFit="1" customWidth="1"/>
    <col min="19" max="16384" width="9.140625" style="14"/>
  </cols>
  <sheetData>
    <row r="1" spans="1:15" s="1" customFormat="1">
      <c r="C1" s="2" t="s">
        <v>0</v>
      </c>
      <c r="D1" s="3" t="s">
        <v>1</v>
      </c>
      <c r="E1" s="3"/>
      <c r="F1" s="4" t="s">
        <v>2</v>
      </c>
      <c r="G1" s="3"/>
      <c r="H1" s="5"/>
      <c r="I1" s="6"/>
      <c r="J1" s="6"/>
    </row>
    <row r="2" spans="1:15" s="1" customFormat="1">
      <c r="C2" s="2" t="s">
        <v>3</v>
      </c>
      <c r="D2" s="3"/>
      <c r="E2" s="3"/>
      <c r="F2" s="4" t="s">
        <v>4</v>
      </c>
      <c r="G2" s="3"/>
      <c r="H2" s="5"/>
      <c r="I2" s="6"/>
      <c r="J2" s="6"/>
    </row>
    <row r="3" spans="1:15" s="1" customFormat="1">
      <c r="C3" s="2" t="s">
        <v>5</v>
      </c>
      <c r="D3" s="3" t="s">
        <v>6</v>
      </c>
      <c r="E3" s="3"/>
      <c r="F3" s="4" t="s">
        <v>7</v>
      </c>
      <c r="G3" s="7">
        <v>44566</v>
      </c>
      <c r="H3" s="5"/>
      <c r="I3" s="6"/>
      <c r="J3" s="6"/>
    </row>
    <row r="4" spans="1:15" s="1" customFormat="1">
      <c r="C4" s="2" t="s">
        <v>8</v>
      </c>
      <c r="D4" s="3"/>
      <c r="E4" s="3"/>
      <c r="F4" s="4" t="s">
        <v>7</v>
      </c>
      <c r="G4" s="7"/>
      <c r="H4" s="8"/>
      <c r="I4" s="6"/>
      <c r="J4" s="6"/>
    </row>
    <row r="5" spans="1:15" s="1" customFormat="1">
      <c r="C5" s="9" t="s">
        <v>9</v>
      </c>
      <c r="D5" s="10" t="s">
        <v>10</v>
      </c>
      <c r="E5" s="10"/>
      <c r="F5" s="11"/>
      <c r="G5" s="12"/>
      <c r="H5" s="6"/>
      <c r="I5" s="6"/>
      <c r="J5" s="19"/>
      <c r="K5" s="42"/>
    </row>
    <row r="6" spans="1:15" s="1" customFormat="1">
      <c r="C6" s="9"/>
      <c r="D6" s="13"/>
      <c r="E6" s="13"/>
      <c r="F6" s="11"/>
      <c r="G6" s="12"/>
      <c r="H6" s="6"/>
      <c r="I6" s="6"/>
      <c r="J6" s="14"/>
      <c r="K6" s="20"/>
    </row>
    <row r="7" spans="1:15" s="1" customFormat="1" ht="12.75" customHeight="1">
      <c r="A7" s="142" t="s">
        <v>11</v>
      </c>
      <c r="B7" s="142"/>
      <c r="C7" s="142"/>
      <c r="D7" s="142"/>
      <c r="E7" s="142"/>
      <c r="F7" s="142"/>
      <c r="G7" s="142"/>
      <c r="H7" s="142"/>
      <c r="I7" s="6"/>
      <c r="J7" s="14"/>
      <c r="K7" s="21"/>
    </row>
    <row r="8" spans="1:15" s="1" customFormat="1" ht="13.5" customHeight="1" thickBot="1">
      <c r="A8" s="142"/>
      <c r="B8" s="142"/>
      <c r="C8" s="142"/>
      <c r="D8" s="142"/>
      <c r="E8" s="142"/>
      <c r="F8" s="142"/>
      <c r="G8" s="142"/>
      <c r="H8" s="142"/>
      <c r="I8" s="14"/>
      <c r="J8" s="14"/>
    </row>
    <row r="9" spans="1:15" s="1" customFormat="1" ht="14.45" thickBot="1">
      <c r="A9" s="143" t="s">
        <v>12</v>
      </c>
      <c r="B9" s="143"/>
      <c r="C9" s="143"/>
      <c r="D9" s="143"/>
      <c r="E9" s="141"/>
      <c r="F9" s="141"/>
      <c r="G9" s="141"/>
      <c r="H9" s="70"/>
      <c r="I9" s="14"/>
      <c r="J9" s="44"/>
      <c r="K9" s="66"/>
      <c r="L9" s="66"/>
      <c r="M9" s="66"/>
    </row>
    <row r="10" spans="1:15" customFormat="1" ht="45" customHeight="1">
      <c r="A10" s="79"/>
      <c r="B10" s="80"/>
      <c r="C10" s="81"/>
      <c r="D10" s="80"/>
      <c r="E10" s="80"/>
      <c r="F10" s="82"/>
      <c r="G10" s="14"/>
      <c r="H10" s="14"/>
    </row>
    <row r="11" spans="1:15" customFormat="1" ht="45" customHeight="1">
      <c r="A11" s="93"/>
      <c r="B11" s="96"/>
      <c r="C11" s="96"/>
      <c r="D11" s="96"/>
      <c r="E11" s="96"/>
      <c r="F11" s="83"/>
      <c r="G11" s="14"/>
      <c r="H11" s="14"/>
    </row>
    <row r="12" spans="1:15" customFormat="1" ht="45" customHeight="1">
      <c r="A12" s="85"/>
      <c r="B12" s="84"/>
      <c r="C12" s="84"/>
      <c r="D12" s="86"/>
      <c r="E12" s="86"/>
      <c r="F12" s="87"/>
      <c r="G12" s="14"/>
      <c r="H12" s="14"/>
    </row>
    <row r="13" spans="1:15" customFormat="1" ht="20.100000000000001" customHeight="1" thickBot="1">
      <c r="A13" s="88"/>
      <c r="B13" s="89"/>
      <c r="C13" s="90"/>
      <c r="D13" s="94"/>
      <c r="E13" s="94"/>
      <c r="F13" s="95"/>
      <c r="G13" s="14"/>
      <c r="H13" s="14"/>
    </row>
    <row r="14" spans="1:15" customFormat="1" ht="51" customHeight="1" thickBot="1">
      <c r="A14" s="91" t="s">
        <v>13</v>
      </c>
      <c r="B14" s="91" t="s">
        <v>14</v>
      </c>
      <c r="C14" s="91" t="s">
        <v>15</v>
      </c>
      <c r="D14" s="91" t="s">
        <v>16</v>
      </c>
      <c r="E14" s="92" t="s">
        <v>17</v>
      </c>
      <c r="F14" s="92" t="s">
        <v>18</v>
      </c>
      <c r="G14" s="14"/>
      <c r="H14" s="14"/>
    </row>
    <row r="15" spans="1:15" customFormat="1" ht="15.75" customHeight="1">
      <c r="A15" s="97" t="s">
        <v>19</v>
      </c>
      <c r="B15" s="128" t="s">
        <v>20</v>
      </c>
      <c r="C15" s="98" t="s">
        <v>21</v>
      </c>
      <c r="D15" s="103">
        <f>ROUNDUP(H62,0)</f>
        <v>381</v>
      </c>
      <c r="E15" s="100">
        <v>30</v>
      </c>
      <c r="F15" s="101">
        <f>D15*E15</f>
        <v>11430</v>
      </c>
      <c r="G15" s="14"/>
      <c r="H15" s="14"/>
      <c r="I15" s="14"/>
      <c r="J15" s="14"/>
      <c r="K15" s="14"/>
      <c r="L15" s="14" t="s">
        <v>22</v>
      </c>
      <c r="N15">
        <v>379</v>
      </c>
      <c r="O15" s="137">
        <f t="shared" ref="O15:O46" si="0">D15-N15</f>
        <v>2</v>
      </c>
    </row>
    <row r="16" spans="1:15" customFormat="1">
      <c r="A16" s="97" t="s">
        <v>23</v>
      </c>
      <c r="B16" s="128" t="s">
        <v>24</v>
      </c>
      <c r="C16" s="98" t="s">
        <v>21</v>
      </c>
      <c r="D16" s="103">
        <f>ROUNDUP(H71,0)</f>
        <v>548</v>
      </c>
      <c r="E16" s="100">
        <v>50</v>
      </c>
      <c r="F16" s="101">
        <f t="shared" ref="F16:F43" si="1">D16*E16</f>
        <v>27400</v>
      </c>
      <c r="G16" s="14"/>
      <c r="H16" s="14"/>
      <c r="I16" s="14"/>
      <c r="J16" s="14"/>
      <c r="K16" s="14"/>
      <c r="L16" s="14"/>
      <c r="N16">
        <v>240</v>
      </c>
      <c r="O16" s="137">
        <f t="shared" si="0"/>
        <v>308</v>
      </c>
    </row>
    <row r="17" spans="1:15" customFormat="1">
      <c r="A17" s="97" t="s">
        <v>25</v>
      </c>
      <c r="B17" s="128" t="s">
        <v>26</v>
      </c>
      <c r="C17" s="98" t="s">
        <v>21</v>
      </c>
      <c r="D17" s="99">
        <f>ROUNDUP(H133+H145+H157,1)</f>
        <v>524.6</v>
      </c>
      <c r="E17" s="100">
        <v>800</v>
      </c>
      <c r="F17" s="101">
        <f t="shared" si="1"/>
        <v>419680</v>
      </c>
      <c r="G17" s="14" t="s">
        <v>27</v>
      </c>
      <c r="H17" s="14"/>
      <c r="I17" s="14"/>
      <c r="J17" s="14"/>
      <c r="K17" s="14"/>
      <c r="L17" s="14"/>
      <c r="N17">
        <v>526</v>
      </c>
      <c r="O17" s="137">
        <f t="shared" si="0"/>
        <v>-1.3999999999999773</v>
      </c>
    </row>
    <row r="18" spans="1:15" customFormat="1">
      <c r="A18" s="97" t="s">
        <v>28</v>
      </c>
      <c r="B18" s="128" t="s">
        <v>29</v>
      </c>
      <c r="C18" s="98" t="s">
        <v>21</v>
      </c>
      <c r="D18" s="99">
        <f>ROUNDUP(H91+H98,1)</f>
        <v>424.90000000000003</v>
      </c>
      <c r="E18" s="100">
        <v>1000</v>
      </c>
      <c r="F18" s="101">
        <f t="shared" si="1"/>
        <v>424900.00000000006</v>
      </c>
      <c r="G18" s="14"/>
      <c r="H18" s="14"/>
      <c r="I18" s="14"/>
      <c r="J18" s="14"/>
      <c r="K18" s="14"/>
      <c r="L18" s="14"/>
      <c r="N18">
        <v>425</v>
      </c>
      <c r="O18" s="137">
        <f t="shared" si="0"/>
        <v>-9.9999999999965894E-2</v>
      </c>
    </row>
    <row r="19" spans="1:15" customFormat="1">
      <c r="A19" s="97" t="s">
        <v>30</v>
      </c>
      <c r="B19" s="128" t="s">
        <v>31</v>
      </c>
      <c r="C19" s="98" t="s">
        <v>32</v>
      </c>
      <c r="D19" s="98">
        <f>ROUNDUP((96+8/12)*16,1)</f>
        <v>1546.6999999999998</v>
      </c>
      <c r="E19" s="100">
        <v>550</v>
      </c>
      <c r="F19" s="101">
        <f t="shared" si="1"/>
        <v>850684.99999999988</v>
      </c>
      <c r="G19" s="14"/>
      <c r="H19" s="14"/>
      <c r="I19" s="14"/>
      <c r="J19" s="14"/>
      <c r="K19" s="14"/>
      <c r="L19" s="14"/>
      <c r="N19" s="68">
        <v>1547</v>
      </c>
      <c r="O19" s="137">
        <f t="shared" si="0"/>
        <v>-0.3000000000001819</v>
      </c>
    </row>
    <row r="20" spans="1:15" customFormat="1">
      <c r="A20" s="97" t="s">
        <v>33</v>
      </c>
      <c r="B20" s="129" t="s">
        <v>34</v>
      </c>
      <c r="C20" s="102" t="s">
        <v>32</v>
      </c>
      <c r="D20" s="99">
        <f>ROUNDUP(D109*F109,1)</f>
        <v>472.1</v>
      </c>
      <c r="E20" s="100">
        <v>200</v>
      </c>
      <c r="F20" s="101">
        <f t="shared" si="1"/>
        <v>94420</v>
      </c>
      <c r="G20" s="14"/>
      <c r="H20" s="14"/>
      <c r="I20" s="14"/>
      <c r="J20" s="14"/>
      <c r="K20" s="14"/>
      <c r="L20" s="14"/>
      <c r="N20" s="68">
        <v>472</v>
      </c>
      <c r="O20" s="137">
        <f t="shared" si="0"/>
        <v>0.10000000000002274</v>
      </c>
    </row>
    <row r="21" spans="1:15" customFormat="1">
      <c r="A21" s="97" t="s">
        <v>35</v>
      </c>
      <c r="B21" s="128" t="s">
        <v>36</v>
      </c>
      <c r="C21" s="98" t="s">
        <v>37</v>
      </c>
      <c r="D21" s="99">
        <f>ROUNDUP(((C102+D115)*D102*G102)/9,1)</f>
        <v>349.3</v>
      </c>
      <c r="E21" s="100">
        <v>250</v>
      </c>
      <c r="F21" s="101">
        <f t="shared" si="1"/>
        <v>87325</v>
      </c>
      <c r="G21" s="14"/>
      <c r="H21" s="14"/>
      <c r="I21" s="14"/>
      <c r="J21" s="14"/>
      <c r="K21" s="14"/>
      <c r="L21" s="14"/>
      <c r="N21" s="68">
        <v>350</v>
      </c>
      <c r="O21" s="137">
        <f t="shared" si="0"/>
        <v>-0.69999999999998863</v>
      </c>
    </row>
    <row r="22" spans="1:15" customFormat="1">
      <c r="A22" s="97" t="s">
        <v>38</v>
      </c>
      <c r="B22" s="128" t="s">
        <v>39</v>
      </c>
      <c r="C22" s="98" t="s">
        <v>40</v>
      </c>
      <c r="D22" s="103">
        <v>108573</v>
      </c>
      <c r="E22" s="104">
        <v>1.5</v>
      </c>
      <c r="F22" s="101">
        <f t="shared" si="1"/>
        <v>162859.5</v>
      </c>
      <c r="G22" s="14" t="s">
        <v>27</v>
      </c>
      <c r="H22" s="14"/>
      <c r="I22" s="14"/>
      <c r="J22" s="14"/>
      <c r="K22" s="14"/>
      <c r="L22" s="14"/>
      <c r="N22" s="68">
        <v>106489</v>
      </c>
      <c r="O22" s="137">
        <f t="shared" si="0"/>
        <v>2084</v>
      </c>
    </row>
    <row r="23" spans="1:15" customFormat="1">
      <c r="A23" s="97" t="s">
        <v>41</v>
      </c>
      <c r="B23" s="128" t="s">
        <v>42</v>
      </c>
      <c r="C23" s="98" t="s">
        <v>40</v>
      </c>
      <c r="D23" s="103">
        <v>34134</v>
      </c>
      <c r="E23" s="104">
        <v>1.5</v>
      </c>
      <c r="F23" s="101">
        <f t="shared" si="1"/>
        <v>51201</v>
      </c>
      <c r="G23" s="14" t="s">
        <v>27</v>
      </c>
      <c r="H23" s="14"/>
      <c r="I23" s="14"/>
      <c r="J23" s="14"/>
      <c r="K23" s="14"/>
      <c r="L23" s="14"/>
      <c r="N23" s="68">
        <v>34257</v>
      </c>
      <c r="O23" s="137">
        <f t="shared" si="0"/>
        <v>-123</v>
      </c>
    </row>
    <row r="24" spans="1:15" customFormat="1">
      <c r="A24" s="97" t="s">
        <v>43</v>
      </c>
      <c r="B24" s="128" t="s">
        <v>44</v>
      </c>
      <c r="C24" s="98" t="s">
        <v>40</v>
      </c>
      <c r="D24" s="103">
        <v>58805</v>
      </c>
      <c r="E24" s="104">
        <v>1.7</v>
      </c>
      <c r="F24" s="101">
        <f t="shared" si="1"/>
        <v>99968.5</v>
      </c>
      <c r="G24" s="14"/>
      <c r="H24" s="14"/>
      <c r="I24" s="14"/>
      <c r="J24" s="14"/>
      <c r="K24" s="14"/>
      <c r="L24" s="14"/>
      <c r="N24">
        <v>58409</v>
      </c>
      <c r="O24" s="137">
        <f t="shared" si="0"/>
        <v>396</v>
      </c>
    </row>
    <row r="25" spans="1:15" customFormat="1">
      <c r="A25" s="105" t="s">
        <v>45</v>
      </c>
      <c r="B25" s="129" t="s">
        <v>46</v>
      </c>
      <c r="C25" s="98" t="s">
        <v>32</v>
      </c>
      <c r="D25" s="103">
        <f>ROUNDUP(C75*D75+C76*D76+C77*D77,0)</f>
        <v>2660</v>
      </c>
      <c r="E25" s="106">
        <v>160</v>
      </c>
      <c r="F25" s="101">
        <f t="shared" si="1"/>
        <v>425600</v>
      </c>
      <c r="G25" s="14" t="s">
        <v>27</v>
      </c>
      <c r="H25" s="14"/>
      <c r="I25" s="14"/>
      <c r="J25" s="14"/>
      <c r="K25" s="14"/>
      <c r="L25" s="14"/>
      <c r="N25">
        <v>2599</v>
      </c>
      <c r="O25" s="137">
        <f t="shared" si="0"/>
        <v>61</v>
      </c>
    </row>
    <row r="26" spans="1:15" customFormat="1">
      <c r="A26" s="105" t="s">
        <v>47</v>
      </c>
      <c r="B26" s="129" t="s">
        <v>48</v>
      </c>
      <c r="C26" s="98" t="s">
        <v>32</v>
      </c>
      <c r="D26" s="99">
        <f>ROUNDUP(C82*D82+C83*D83+C84*D84,0)</f>
        <v>301</v>
      </c>
      <c r="E26" s="100">
        <v>190</v>
      </c>
      <c r="F26" s="101">
        <f t="shared" si="1"/>
        <v>57190</v>
      </c>
      <c r="G26" s="14" t="s">
        <v>27</v>
      </c>
      <c r="H26" s="14"/>
      <c r="I26" s="14"/>
      <c r="J26" s="14"/>
      <c r="K26" s="14"/>
      <c r="L26" s="14"/>
      <c r="N26">
        <v>293</v>
      </c>
      <c r="O26" s="137">
        <f t="shared" si="0"/>
        <v>8</v>
      </c>
    </row>
    <row r="27" spans="1:15" customFormat="1">
      <c r="A27" s="105" t="s">
        <v>49</v>
      </c>
      <c r="B27" s="129" t="s">
        <v>50</v>
      </c>
      <c r="C27" s="98" t="s">
        <v>51</v>
      </c>
      <c r="D27" s="103">
        <f>SUM(D75:D77,D82:D84)</f>
        <v>48</v>
      </c>
      <c r="E27" s="100">
        <v>700</v>
      </c>
      <c r="F27" s="101">
        <f t="shared" si="1"/>
        <v>33600</v>
      </c>
      <c r="G27" s="14"/>
      <c r="H27" s="14"/>
      <c r="I27" s="14"/>
      <c r="J27" s="14"/>
      <c r="K27" s="14"/>
      <c r="L27" s="14"/>
      <c r="N27">
        <v>48</v>
      </c>
      <c r="O27" s="137">
        <f t="shared" si="0"/>
        <v>0</v>
      </c>
    </row>
    <row r="28" spans="1:15" customFormat="1">
      <c r="A28" s="97" t="s">
        <v>52</v>
      </c>
      <c r="B28" s="128" t="s">
        <v>53</v>
      </c>
      <c r="C28" s="98" t="s">
        <v>51</v>
      </c>
      <c r="D28" s="140">
        <f>D75+D77+D82+D83+D84</f>
        <v>17</v>
      </c>
      <c r="E28" s="100">
        <v>300</v>
      </c>
      <c r="F28" s="101">
        <f t="shared" si="1"/>
        <v>5100</v>
      </c>
      <c r="G28" s="14"/>
      <c r="H28" s="14"/>
      <c r="I28" s="14"/>
      <c r="J28" s="14"/>
      <c r="K28" s="14"/>
      <c r="L28" s="14"/>
      <c r="N28">
        <v>17</v>
      </c>
      <c r="O28" s="137">
        <f t="shared" si="0"/>
        <v>0</v>
      </c>
    </row>
    <row r="29" spans="1:15" customFormat="1">
      <c r="A29" s="105" t="s">
        <v>54</v>
      </c>
      <c r="B29" s="129" t="s">
        <v>55</v>
      </c>
      <c r="C29" s="98" t="s">
        <v>51</v>
      </c>
      <c r="D29" s="140">
        <f>2*SUM(D75:D77,D83)+3*(D82+D84)</f>
        <v>98</v>
      </c>
      <c r="E29" s="100">
        <v>340</v>
      </c>
      <c r="F29" s="101">
        <f t="shared" si="1"/>
        <v>33320</v>
      </c>
      <c r="G29" s="14"/>
      <c r="H29" s="14"/>
      <c r="I29" s="14"/>
      <c r="J29" s="14"/>
      <c r="K29" s="14"/>
      <c r="L29" s="14"/>
      <c r="N29">
        <v>98</v>
      </c>
      <c r="O29" s="137">
        <f t="shared" si="0"/>
        <v>0</v>
      </c>
    </row>
    <row r="30" spans="1:15" customFormat="1">
      <c r="A30" s="97" t="s">
        <v>56</v>
      </c>
      <c r="B30" s="130" t="s">
        <v>57</v>
      </c>
      <c r="C30" s="98" t="s">
        <v>51</v>
      </c>
      <c r="D30" s="98">
        <f>8*4</f>
        <v>32</v>
      </c>
      <c r="E30" s="100">
        <v>300</v>
      </c>
      <c r="F30" s="101">
        <f t="shared" si="1"/>
        <v>9600</v>
      </c>
      <c r="G30" s="14" t="s">
        <v>27</v>
      </c>
      <c r="H30" s="14"/>
      <c r="I30" s="14"/>
      <c r="J30" s="14"/>
      <c r="K30" s="14"/>
      <c r="L30" s="14"/>
      <c r="N30">
        <v>32</v>
      </c>
      <c r="O30" s="137">
        <f t="shared" si="0"/>
        <v>0</v>
      </c>
    </row>
    <row r="31" spans="1:15" customFormat="1">
      <c r="A31" s="97" t="s">
        <v>58</v>
      </c>
      <c r="B31" s="128" t="s">
        <v>59</v>
      </c>
      <c r="C31" s="98" t="s">
        <v>51</v>
      </c>
      <c r="D31" s="103">
        <f>SUM(D82:D84)*2</f>
        <v>6</v>
      </c>
      <c r="E31" s="100">
        <v>2500</v>
      </c>
      <c r="F31" s="101">
        <f t="shared" si="1"/>
        <v>15000</v>
      </c>
      <c r="G31" s="14"/>
      <c r="H31" s="14"/>
      <c r="I31" s="14"/>
      <c r="J31" s="14"/>
      <c r="K31" s="14"/>
      <c r="L31" s="14"/>
      <c r="N31">
        <v>3</v>
      </c>
      <c r="O31" s="137">
        <f t="shared" si="0"/>
        <v>3</v>
      </c>
    </row>
    <row r="32" spans="1:15" customFormat="1">
      <c r="A32" s="97" t="s">
        <v>60</v>
      </c>
      <c r="B32" s="128" t="s">
        <v>61</v>
      </c>
      <c r="C32" s="98" t="s">
        <v>51</v>
      </c>
      <c r="D32" s="103">
        <f>SUM(D82:D84)*2</f>
        <v>6</v>
      </c>
      <c r="E32" s="100">
        <v>550</v>
      </c>
      <c r="F32" s="101">
        <f t="shared" si="1"/>
        <v>3300</v>
      </c>
      <c r="G32" s="14"/>
      <c r="H32" s="14"/>
      <c r="I32" s="14"/>
      <c r="J32" s="14"/>
      <c r="K32" s="14"/>
      <c r="L32" s="14"/>
      <c r="N32">
        <v>6</v>
      </c>
      <c r="O32" s="137">
        <f t="shared" si="0"/>
        <v>0</v>
      </c>
    </row>
    <row r="33" spans="1:15" customFormat="1">
      <c r="A33" s="97" t="s">
        <v>62</v>
      </c>
      <c r="B33" s="128" t="s">
        <v>63</v>
      </c>
      <c r="C33" s="98" t="s">
        <v>37</v>
      </c>
      <c r="D33" s="99">
        <f>ROUNDUP((C89*G89+C102*G102)*C55/9,1)</f>
        <v>1888.1999999999998</v>
      </c>
      <c r="E33" s="100">
        <v>70</v>
      </c>
      <c r="F33" s="101">
        <f t="shared" si="1"/>
        <v>132174</v>
      </c>
      <c r="G33" s="14"/>
      <c r="H33" s="14"/>
      <c r="I33" s="14"/>
      <c r="J33" s="14"/>
      <c r="K33" s="14"/>
      <c r="L33" s="14"/>
      <c r="N33">
        <v>1889</v>
      </c>
      <c r="O33" s="137">
        <f t="shared" si="0"/>
        <v>-0.8000000000001819</v>
      </c>
    </row>
    <row r="34" spans="1:15" customFormat="1">
      <c r="A34" s="97" t="s">
        <v>64</v>
      </c>
      <c r="B34" s="128" t="s">
        <v>65</v>
      </c>
      <c r="C34" s="98" t="s">
        <v>21</v>
      </c>
      <c r="D34" s="99">
        <f>ROUNDUP((C89*G89+C102*G102)*C55*0.875/12/27,1)</f>
        <v>45.9</v>
      </c>
      <c r="E34" s="100">
        <v>3500</v>
      </c>
      <c r="F34" s="101">
        <f t="shared" si="1"/>
        <v>160650</v>
      </c>
      <c r="G34" s="14"/>
      <c r="H34" s="14"/>
      <c r="I34" s="14"/>
      <c r="J34" s="14"/>
      <c r="K34" s="14"/>
      <c r="L34" s="14"/>
      <c r="N34">
        <v>46</v>
      </c>
      <c r="O34" s="137">
        <f t="shared" si="0"/>
        <v>-0.10000000000000142</v>
      </c>
    </row>
    <row r="35" spans="1:15" customFormat="1">
      <c r="A35" s="97" t="s">
        <v>66</v>
      </c>
      <c r="B35" s="131" t="s">
        <v>67</v>
      </c>
      <c r="C35" s="102" t="s">
        <v>32</v>
      </c>
      <c r="D35" s="99">
        <f>ROUNDUP(C54/COS(RADIANS(C56))*2,1)</f>
        <v>150.29999999999998</v>
      </c>
      <c r="E35" s="100">
        <v>50</v>
      </c>
      <c r="F35" s="101">
        <f t="shared" si="1"/>
        <v>7514.9999999999991</v>
      </c>
      <c r="G35" s="14"/>
      <c r="H35" s="14"/>
      <c r="I35" s="14"/>
      <c r="J35" s="14"/>
      <c r="K35" s="14"/>
      <c r="L35" s="14"/>
      <c r="N35">
        <v>150</v>
      </c>
      <c r="O35" s="137">
        <f t="shared" si="0"/>
        <v>0.29999999999998295</v>
      </c>
    </row>
    <row r="36" spans="1:15" customFormat="1">
      <c r="A36" s="97" t="s">
        <v>68</v>
      </c>
      <c r="B36" s="128" t="s">
        <v>69</v>
      </c>
      <c r="C36" s="107" t="s">
        <v>37</v>
      </c>
      <c r="D36" s="103">
        <f>ROUNDUP((1+10/12)*E155/9*2*G155+D41/9-D42*(3)/9+D20*(2+4.5/12)/9,0)</f>
        <v>707</v>
      </c>
      <c r="E36" s="100">
        <v>30</v>
      </c>
      <c r="F36" s="101">
        <f t="shared" si="1"/>
        <v>21210</v>
      </c>
      <c r="G36" s="14" t="s">
        <v>27</v>
      </c>
      <c r="H36" s="14"/>
      <c r="I36" s="14"/>
      <c r="J36" s="14"/>
      <c r="K36" s="14"/>
      <c r="L36" s="14"/>
      <c r="M36" s="68"/>
      <c r="N36">
        <v>27</v>
      </c>
      <c r="O36" s="137">
        <f t="shared" si="0"/>
        <v>680</v>
      </c>
    </row>
    <row r="37" spans="1:15" customFormat="1">
      <c r="A37" s="97" t="s">
        <v>70</v>
      </c>
      <c r="B37" s="130" t="s">
        <v>71</v>
      </c>
      <c r="C37" s="102" t="s">
        <v>32</v>
      </c>
      <c r="D37" s="99">
        <v>750</v>
      </c>
      <c r="E37" s="108">
        <v>4</v>
      </c>
      <c r="F37" s="101">
        <f t="shared" si="1"/>
        <v>3000</v>
      </c>
      <c r="G37" s="14"/>
      <c r="H37" s="14"/>
      <c r="I37" s="14"/>
      <c r="J37" s="14"/>
      <c r="K37" s="14"/>
      <c r="L37" s="14" t="s">
        <v>72</v>
      </c>
      <c r="N37">
        <v>750</v>
      </c>
      <c r="O37" s="137">
        <f t="shared" si="0"/>
        <v>0</v>
      </c>
    </row>
    <row r="38" spans="1:15" customFormat="1">
      <c r="A38" s="109" t="s">
        <v>73</v>
      </c>
      <c r="B38" s="120" t="s">
        <v>74</v>
      </c>
      <c r="C38" s="110" t="s">
        <v>32</v>
      </c>
      <c r="D38" s="111">
        <f>ROUNDUP((2561.93-2542-4/12)*(D75+D82)+(2556.14-2541-4/12)*(D77+D84),1)</f>
        <v>275.3</v>
      </c>
      <c r="E38" s="112">
        <v>65</v>
      </c>
      <c r="F38" s="101">
        <f t="shared" si="1"/>
        <v>17894.5</v>
      </c>
      <c r="G38" s="14"/>
      <c r="H38" s="14"/>
      <c r="I38" s="14"/>
      <c r="J38" s="14"/>
      <c r="K38" s="14"/>
      <c r="L38" s="14" t="s">
        <v>75</v>
      </c>
      <c r="N38" s="68">
        <v>276</v>
      </c>
      <c r="O38" s="137">
        <f t="shared" si="0"/>
        <v>-0.69999999999998863</v>
      </c>
    </row>
    <row r="39" spans="1:15" customFormat="1">
      <c r="A39" s="109" t="s">
        <v>76</v>
      </c>
      <c r="B39" s="120" t="s">
        <v>77</v>
      </c>
      <c r="C39" s="110" t="s">
        <v>78</v>
      </c>
      <c r="D39" s="111">
        <v>1</v>
      </c>
      <c r="E39" s="112">
        <v>80000</v>
      </c>
      <c r="F39" s="101">
        <f t="shared" si="1"/>
        <v>80000</v>
      </c>
      <c r="G39" s="14" t="s">
        <v>27</v>
      </c>
      <c r="H39" s="14"/>
      <c r="I39" s="14"/>
      <c r="J39" s="14"/>
      <c r="K39" s="14"/>
      <c r="L39" s="14" t="s">
        <v>79</v>
      </c>
      <c r="N39" s="68">
        <v>1</v>
      </c>
      <c r="O39" s="137">
        <f>D40-N39</f>
        <v>0</v>
      </c>
    </row>
    <row r="40" spans="1:15" customFormat="1">
      <c r="A40" s="109" t="s">
        <v>80</v>
      </c>
      <c r="B40" s="132" t="s">
        <v>81</v>
      </c>
      <c r="C40" s="110" t="s">
        <v>78</v>
      </c>
      <c r="D40" s="111">
        <v>1</v>
      </c>
      <c r="E40" s="113">
        <v>50000</v>
      </c>
      <c r="F40" s="101">
        <f t="shared" si="1"/>
        <v>50000</v>
      </c>
      <c r="G40" s="14"/>
      <c r="H40" s="14"/>
      <c r="I40" s="14"/>
      <c r="J40" s="14"/>
      <c r="K40" s="14"/>
      <c r="L40" s="14" t="s">
        <v>82</v>
      </c>
      <c r="N40" s="68">
        <v>5045</v>
      </c>
      <c r="O40" s="137">
        <f>D41-N40</f>
        <v>1068</v>
      </c>
    </row>
    <row r="41" spans="1:15" customFormat="1">
      <c r="A41" s="109" t="s">
        <v>83</v>
      </c>
      <c r="B41" s="132" t="s">
        <v>84</v>
      </c>
      <c r="C41" s="110" t="s">
        <v>85</v>
      </c>
      <c r="D41" s="111">
        <f>ROUNDUP(3455.8758+2556.9239+(20+8.25/12)*(2564.93-2564.43)*0.5+(79+1.75/12)*(2564.93-2564.43)+(20+0.75/12)*(2564.93-2564.43)*0.5+(21+6/12)*(2559.14-2558.64)*0.5+(79+1.75/12)*(2559.14-2558.64)+(21+10.5/12)*(2559.14-2558.64)*0.5,0)</f>
        <v>6113</v>
      </c>
      <c r="E41" s="113">
        <v>65</v>
      </c>
      <c r="F41" s="101">
        <f t="shared" si="1"/>
        <v>397345</v>
      </c>
      <c r="G41" s="14" t="s">
        <v>27</v>
      </c>
      <c r="H41" s="14"/>
      <c r="I41" s="14"/>
      <c r="J41" s="14"/>
      <c r="K41" s="14"/>
      <c r="L41" s="14" t="s">
        <v>86</v>
      </c>
      <c r="N41" s="68">
        <v>374</v>
      </c>
      <c r="O41" s="137">
        <f>D42-N41</f>
        <v>0</v>
      </c>
    </row>
    <row r="42" spans="1:15" customFormat="1">
      <c r="A42" s="109" t="s">
        <v>87</v>
      </c>
      <c r="B42" s="132" t="s">
        <v>88</v>
      </c>
      <c r="C42" s="110" t="s">
        <v>32</v>
      </c>
      <c r="D42" s="111">
        <f>ROUNDUP(197+3.4595/12+176+2.4157/12,0)</f>
        <v>374</v>
      </c>
      <c r="E42" s="113">
        <v>120</v>
      </c>
      <c r="F42" s="101">
        <f t="shared" si="1"/>
        <v>44880</v>
      </c>
      <c r="G42" s="14"/>
      <c r="H42" s="14"/>
      <c r="I42" s="14"/>
      <c r="J42" s="14"/>
      <c r="K42" s="14"/>
      <c r="L42" s="14"/>
      <c r="N42" s="68">
        <v>466</v>
      </c>
      <c r="O42" s="137">
        <f>D43-N42</f>
        <v>0.10000000000002274</v>
      </c>
    </row>
    <row r="43" spans="1:15" customFormat="1">
      <c r="A43" s="109" t="s">
        <v>89</v>
      </c>
      <c r="B43" s="120" t="s">
        <v>90</v>
      </c>
      <c r="C43" s="110" t="s">
        <v>32</v>
      </c>
      <c r="D43" s="111">
        <f>D20-2*2*1.5</f>
        <v>466.1</v>
      </c>
      <c r="E43" s="114">
        <v>315</v>
      </c>
      <c r="F43" s="101">
        <f t="shared" si="1"/>
        <v>146821.5</v>
      </c>
      <c r="G43" s="14"/>
      <c r="H43" s="14"/>
      <c r="I43" s="14"/>
      <c r="J43" s="14"/>
      <c r="K43" s="14"/>
      <c r="L43" s="14"/>
      <c r="N43" s="68">
        <v>40</v>
      </c>
      <c r="O43" s="137">
        <f>D44-N43</f>
        <v>0</v>
      </c>
    </row>
    <row r="44" spans="1:15" customFormat="1">
      <c r="A44" s="109" t="s">
        <v>91</v>
      </c>
      <c r="B44" s="120" t="s">
        <v>92</v>
      </c>
      <c r="C44" s="110" t="s">
        <v>32</v>
      </c>
      <c r="D44" s="111">
        <v>40</v>
      </c>
      <c r="E44" s="114">
        <v>400</v>
      </c>
      <c r="F44" s="134">
        <f>D44*E44</f>
        <v>16000</v>
      </c>
      <c r="G44" s="14"/>
      <c r="H44" s="14"/>
      <c r="I44" s="14"/>
      <c r="J44" s="14"/>
      <c r="K44" s="14"/>
      <c r="L44" s="14"/>
      <c r="N44" s="68">
        <v>225</v>
      </c>
      <c r="O44" s="137">
        <f>D45-N44</f>
        <v>0</v>
      </c>
    </row>
    <row r="45" spans="1:15" customFormat="1">
      <c r="A45" s="109" t="s">
        <v>93</v>
      </c>
      <c r="B45" s="120" t="s">
        <v>94</v>
      </c>
      <c r="C45" s="110" t="s">
        <v>32</v>
      </c>
      <c r="D45" s="111">
        <v>225</v>
      </c>
      <c r="E45" s="114">
        <v>400</v>
      </c>
      <c r="F45" s="134">
        <f>D45*E45</f>
        <v>90000</v>
      </c>
      <c r="G45" s="14"/>
      <c r="H45" s="14"/>
      <c r="I45" s="14"/>
      <c r="J45" s="14"/>
      <c r="K45" s="14"/>
      <c r="L45" s="14"/>
      <c r="N45" s="68">
        <v>5825</v>
      </c>
      <c r="O45" s="137">
        <f>D46-N45</f>
        <v>69</v>
      </c>
    </row>
    <row r="46" spans="1:15" customFormat="1" ht="14.45" thickBot="1">
      <c r="A46" s="115" t="s">
        <v>95</v>
      </c>
      <c r="B46" s="135" t="s">
        <v>96</v>
      </c>
      <c r="C46" s="116" t="s">
        <v>85</v>
      </c>
      <c r="D46" s="126">
        <f>ROUNDUP(F187+F178,0)</f>
        <v>5894</v>
      </c>
      <c r="E46" s="136">
        <v>3</v>
      </c>
      <c r="F46" s="118">
        <f>D46*E46</f>
        <v>17682</v>
      </c>
      <c r="G46" s="14" t="s">
        <v>27</v>
      </c>
      <c r="H46" s="14"/>
      <c r="I46" s="14"/>
      <c r="J46" s="14"/>
      <c r="K46" s="14"/>
      <c r="L46" s="14"/>
      <c r="M46" s="14"/>
      <c r="N46" s="14"/>
      <c r="O46" s="14"/>
    </row>
    <row r="47" spans="1:15">
      <c r="B47" s="22"/>
      <c r="C47" s="23"/>
      <c r="D47" s="34"/>
      <c r="E47"/>
      <c r="F47" s="127">
        <f>SUM(F15:F46)</f>
        <v>3997751</v>
      </c>
      <c r="G47"/>
    </row>
    <row r="48" spans="1:15">
      <c r="B48" s="22"/>
      <c r="C48" s="23"/>
      <c r="D48" s="34"/>
      <c r="E48"/>
      <c r="F48"/>
      <c r="G48"/>
    </row>
    <row r="49" spans="2:14">
      <c r="B49" s="48" t="s">
        <v>97</v>
      </c>
      <c r="C49" s="24"/>
      <c r="D49" s="34"/>
      <c r="E49"/>
      <c r="F49"/>
      <c r="G49"/>
      <c r="H49" s="17"/>
    </row>
    <row r="50" spans="2:14">
      <c r="B50" s="14" t="s">
        <v>98</v>
      </c>
      <c r="C50" s="49">
        <v>96.5</v>
      </c>
      <c r="D50" s="25" t="s">
        <v>99</v>
      </c>
      <c r="E50" s="18"/>
      <c r="F50" s="17">
        <f>F47/(C50+C52)/C54</f>
        <v>276.79825057410255</v>
      </c>
      <c r="G50" s="17"/>
    </row>
    <row r="51" spans="2:14">
      <c r="B51" s="14" t="s">
        <v>100</v>
      </c>
      <c r="C51" s="50">
        <f>C50-(1+2/12)/COS(RADIANS(C56))+2*8/12</f>
        <v>96.662210189532757</v>
      </c>
      <c r="D51" s="25" t="s">
        <v>99</v>
      </c>
      <c r="E51" s="26"/>
      <c r="G51" s="17"/>
    </row>
    <row r="52" spans="2:14">
      <c r="B52" s="14" t="s">
        <v>101</v>
      </c>
      <c r="C52" s="49">
        <v>96.5</v>
      </c>
      <c r="D52" s="25" t="s">
        <v>99</v>
      </c>
      <c r="E52" s="26"/>
      <c r="G52" s="17"/>
    </row>
    <row r="53" spans="2:14">
      <c r="B53" s="14" t="s">
        <v>100</v>
      </c>
      <c r="C53" s="50">
        <f>C52-(1+2/12)/COS(RADIANS(C58))+2*8/12</f>
        <v>96.666666666666657</v>
      </c>
      <c r="D53" s="25" t="s">
        <v>99</v>
      </c>
      <c r="E53" s="26"/>
      <c r="G53" s="17"/>
    </row>
    <row r="54" spans="2:14">
      <c r="B54" s="14" t="s">
        <v>102</v>
      </c>
      <c r="C54" s="54">
        <f>74+10/12</f>
        <v>74.833333333333329</v>
      </c>
      <c r="D54" s="25" t="s">
        <v>99</v>
      </c>
      <c r="J54" s="50"/>
      <c r="L54" s="21"/>
    </row>
    <row r="55" spans="2:14">
      <c r="B55" s="14" t="s">
        <v>103</v>
      </c>
      <c r="C55" s="54">
        <f>C54-2*(1+5/12)</f>
        <v>72</v>
      </c>
      <c r="D55" s="25" t="s">
        <v>99</v>
      </c>
      <c r="J55" s="50"/>
      <c r="L55" s="21"/>
    </row>
    <row r="56" spans="2:14">
      <c r="B56" s="14" t="s">
        <v>104</v>
      </c>
      <c r="C56" s="54">
        <v>5</v>
      </c>
      <c r="D56" s="25" t="s">
        <v>105</v>
      </c>
      <c r="E56" s="34"/>
      <c r="H56" s="16"/>
    </row>
    <row r="57" spans="2:14">
      <c r="B57" s="14" t="s">
        <v>106</v>
      </c>
      <c r="C57" s="50">
        <f>M67</f>
        <v>5.166666666666667</v>
      </c>
      <c r="D57" s="25" t="s">
        <v>99</v>
      </c>
      <c r="E57" s="34"/>
      <c r="H57" s="16"/>
    </row>
    <row r="58" spans="2:14" ht="14.45" thickBot="1">
      <c r="C58" s="49"/>
      <c r="D58" s="25"/>
      <c r="E58" s="34"/>
      <c r="H58" s="16"/>
    </row>
    <row r="59" spans="2:14">
      <c r="B59" s="70" t="s">
        <v>107</v>
      </c>
      <c r="C59" s="70"/>
      <c r="D59" s="70"/>
      <c r="E59" s="141"/>
      <c r="F59" s="141"/>
      <c r="G59" s="141"/>
      <c r="H59" s="70"/>
    </row>
    <row r="60" spans="2:14" ht="15">
      <c r="B60" s="55"/>
      <c r="C60" s="53" t="s">
        <v>108</v>
      </c>
      <c r="D60" s="53" t="s">
        <v>109</v>
      </c>
      <c r="E60" s="39" t="s">
        <v>110</v>
      </c>
      <c r="F60" s="53" t="s">
        <v>111</v>
      </c>
      <c r="G60" s="39" t="s">
        <v>112</v>
      </c>
      <c r="H60" s="53" t="s">
        <v>113</v>
      </c>
    </row>
    <row r="61" spans="2:14">
      <c r="B61" s="15" t="s">
        <v>114</v>
      </c>
      <c r="C61" s="30">
        <f>C149*G149+(4+5/12)*3+2*2</f>
        <v>77.25</v>
      </c>
      <c r="D61" s="30">
        <f>D149+2*2</f>
        <v>19</v>
      </c>
      <c r="E61" s="29">
        <f>E149+3</f>
        <v>7</v>
      </c>
      <c r="F61" s="28">
        <f>C61*D61*E61</f>
        <v>10274.25</v>
      </c>
      <c r="G61" s="31">
        <v>1</v>
      </c>
      <c r="H61" s="28">
        <f>F61*G61/27</f>
        <v>380.52777777777777</v>
      </c>
      <c r="M61" s="14" t="s">
        <v>115</v>
      </c>
    </row>
    <row r="62" spans="2:14">
      <c r="C62" s="57"/>
      <c r="D62" s="32"/>
      <c r="E62" s="42"/>
      <c r="F62" s="21"/>
      <c r="G62" s="59"/>
      <c r="H62" s="36">
        <f>SUM(H61:H61)</f>
        <v>380.52777777777777</v>
      </c>
      <c r="L62" s="14" t="s">
        <v>116</v>
      </c>
      <c r="M62" s="47">
        <f>E89</f>
        <v>0.66666666666666663</v>
      </c>
      <c r="N62" s="14" t="s">
        <v>99</v>
      </c>
    </row>
    <row r="63" spans="2:14" ht="14.45" thickBot="1">
      <c r="C63" s="57"/>
      <c r="D63" s="32"/>
      <c r="E63" s="42"/>
      <c r="F63" s="21"/>
      <c r="G63" s="59"/>
      <c r="H63" s="67"/>
      <c r="L63" s="14" t="s">
        <v>117</v>
      </c>
      <c r="M63" s="45">
        <f>3.5/12</f>
        <v>0.29166666666666669</v>
      </c>
      <c r="N63" s="14" t="s">
        <v>99</v>
      </c>
    </row>
    <row r="64" spans="2:14">
      <c r="B64" s="70" t="s">
        <v>24</v>
      </c>
      <c r="C64" s="70"/>
      <c r="D64" s="70"/>
      <c r="E64" s="141"/>
      <c r="F64" s="141"/>
      <c r="G64" s="141"/>
      <c r="H64" s="70"/>
      <c r="L64" s="14" t="s">
        <v>118</v>
      </c>
      <c r="M64" s="45">
        <f>50/12</f>
        <v>4.166666666666667</v>
      </c>
      <c r="N64" s="14" t="s">
        <v>99</v>
      </c>
    </row>
    <row r="65" spans="2:14" ht="15">
      <c r="B65" s="55"/>
      <c r="C65" s="53" t="s">
        <v>108</v>
      </c>
      <c r="D65" s="53" t="s">
        <v>109</v>
      </c>
      <c r="E65" s="39" t="s">
        <v>110</v>
      </c>
      <c r="F65" s="53" t="s">
        <v>111</v>
      </c>
      <c r="G65" s="39" t="s">
        <v>112</v>
      </c>
      <c r="H65" s="53" t="s">
        <v>113</v>
      </c>
      <c r="L65" s="74" t="s">
        <v>119</v>
      </c>
      <c r="M65" s="75">
        <v>0</v>
      </c>
      <c r="N65" s="22" t="s">
        <v>99</v>
      </c>
    </row>
    <row r="66" spans="2:14">
      <c r="B66" s="15" t="s">
        <v>114</v>
      </c>
      <c r="C66" s="121" t="s">
        <v>120</v>
      </c>
      <c r="D66" s="121" t="s">
        <v>120</v>
      </c>
      <c r="E66" s="122" t="s">
        <v>120</v>
      </c>
      <c r="F66" s="123" t="s">
        <v>120</v>
      </c>
      <c r="G66" s="124" t="s">
        <v>120</v>
      </c>
      <c r="H66" s="28">
        <f>H62-(H149+C155*G155*(E61-E149)/27)</f>
        <v>239.28875555555555</v>
      </c>
      <c r="L66" s="51" t="s">
        <v>121</v>
      </c>
      <c r="M66" s="52">
        <f>0.5/12</f>
        <v>4.1666666666666664E-2</v>
      </c>
      <c r="N66" s="44" t="s">
        <v>99</v>
      </c>
    </row>
    <row r="67" spans="2:14">
      <c r="B67" s="15" t="s">
        <v>122</v>
      </c>
      <c r="C67" s="121">
        <f>188+11.75/12</f>
        <v>188.97916666666666</v>
      </c>
      <c r="D67" s="122">
        <v>4</v>
      </c>
      <c r="E67" s="122">
        <f>AVERAGE(2545.58,2544.02)-2542</f>
        <v>2.8000000000001819</v>
      </c>
      <c r="F67" s="123">
        <f>C67*D67*E67</f>
        <v>2116.5666666668039</v>
      </c>
      <c r="G67" s="124">
        <v>1</v>
      </c>
      <c r="H67" s="28">
        <f>F67*G67/27</f>
        <v>78.391358024696444</v>
      </c>
      <c r="I67" s="14" t="s">
        <v>123</v>
      </c>
      <c r="L67" s="14" t="s">
        <v>124</v>
      </c>
      <c r="M67" s="21">
        <f>SUM(M62:M66)</f>
        <v>5.166666666666667</v>
      </c>
      <c r="N67" s="14" t="s">
        <v>99</v>
      </c>
    </row>
    <row r="68" spans="2:14">
      <c r="B68" s="15" t="s">
        <v>125</v>
      </c>
      <c r="C68" s="121">
        <f>170+3.75/12</f>
        <v>170.3125</v>
      </c>
      <c r="D68" s="122">
        <v>4</v>
      </c>
      <c r="E68" s="122">
        <f>AVERAGE(2543.38,2544.69)-2541</f>
        <v>3.0349999999998545</v>
      </c>
      <c r="F68" s="123">
        <f>C68*D68*E68</f>
        <v>2067.5937499999009</v>
      </c>
      <c r="G68" s="124">
        <v>1</v>
      </c>
      <c r="H68" s="28">
        <f>F68*G68/27</f>
        <v>76.577546296292624</v>
      </c>
      <c r="M68" s="21"/>
    </row>
    <row r="69" spans="2:14">
      <c r="B69" s="15" t="s">
        <v>126</v>
      </c>
      <c r="C69" s="121">
        <f>C124-D137-D139-2*E70</f>
        <v>64.785851176160477</v>
      </c>
      <c r="D69" s="121">
        <f>AVERAGE(10+6.12/12,11+1.92/12)-12.75/12-3</f>
        <v>6.7725000000000009</v>
      </c>
      <c r="E69" s="122">
        <v>4</v>
      </c>
      <c r="F69" s="123">
        <f>C69*D69*E69</f>
        <v>1755.0487083621877</v>
      </c>
      <c r="G69" s="124">
        <v>2</v>
      </c>
      <c r="H69" s="28">
        <f>F69*G69/27</f>
        <v>130.00360802682872</v>
      </c>
      <c r="M69" s="21"/>
    </row>
    <row r="70" spans="2:14">
      <c r="B70" s="15" t="s">
        <v>127</v>
      </c>
      <c r="C70" s="121">
        <f>C137</f>
        <v>12.48472064982661</v>
      </c>
      <c r="D70" s="121">
        <f>AVERAGE(E137,E139,E141,E143)-3</f>
        <v>3.2062500000000682</v>
      </c>
      <c r="E70" s="122">
        <v>4</v>
      </c>
      <c r="F70" s="123">
        <f>C70*D70*E70</f>
        <v>160.11654233402967</v>
      </c>
      <c r="G70" s="124">
        <v>4</v>
      </c>
      <c r="H70" s="28">
        <f>F70*G70/27</f>
        <v>23.720969234671063</v>
      </c>
      <c r="L70" s="138"/>
      <c r="M70" s="139"/>
    </row>
    <row r="71" spans="2:14">
      <c r="C71" s="57"/>
      <c r="D71" s="32"/>
      <c r="E71" s="42"/>
      <c r="F71" s="21"/>
      <c r="G71" s="59"/>
      <c r="H71" s="36">
        <f>SUM(H66:H70)</f>
        <v>547.98223713804441</v>
      </c>
    </row>
    <row r="72" spans="2:14" ht="14.45" thickBot="1">
      <c r="C72" s="49"/>
      <c r="D72" s="25"/>
      <c r="E72" s="34"/>
      <c r="H72" s="16"/>
    </row>
    <row r="73" spans="2:14">
      <c r="B73" s="70" t="s">
        <v>128</v>
      </c>
      <c r="C73" s="70"/>
      <c r="D73" s="70"/>
      <c r="E73" s="141"/>
      <c r="F73" s="141"/>
      <c r="G73" s="141"/>
      <c r="H73" s="70"/>
    </row>
    <row r="74" spans="2:14">
      <c r="B74" s="55"/>
      <c r="C74" s="53" t="s">
        <v>108</v>
      </c>
      <c r="D74" s="53" t="s">
        <v>129</v>
      </c>
      <c r="E74" s="39" t="s">
        <v>130</v>
      </c>
      <c r="F74"/>
      <c r="G74"/>
      <c r="H74"/>
      <c r="J74" s="14" t="s">
        <v>131</v>
      </c>
    </row>
    <row r="75" spans="2:14">
      <c r="B75" s="15" t="s">
        <v>132</v>
      </c>
      <c r="C75" s="29">
        <f>2563.93-2489</f>
        <v>74.929999999999836</v>
      </c>
      <c r="D75" s="31">
        <f>J75-D82</f>
        <v>7</v>
      </c>
      <c r="E75" s="28">
        <f>C75*D75</f>
        <v>524.50999999999885</v>
      </c>
      <c r="F75"/>
      <c r="G75"/>
      <c r="H75"/>
      <c r="J75" s="14">
        <v>8</v>
      </c>
    </row>
    <row r="76" spans="2:14">
      <c r="B76" s="15" t="s">
        <v>114</v>
      </c>
      <c r="C76" s="29">
        <f>2540.35-2488</f>
        <v>52.349999999999909</v>
      </c>
      <c r="D76" s="31">
        <f>J76-D83</f>
        <v>31</v>
      </c>
      <c r="E76" s="28">
        <f>C76*D76</f>
        <v>1622.8499999999972</v>
      </c>
      <c r="F76"/>
      <c r="G76"/>
      <c r="H76"/>
      <c r="J76" s="14">
        <v>32</v>
      </c>
    </row>
    <row r="77" spans="2:14">
      <c r="B77" s="15" t="s">
        <v>133</v>
      </c>
      <c r="C77" s="29">
        <f>2558.14-2485</f>
        <v>73.139999999999873</v>
      </c>
      <c r="D77" s="31">
        <f>J77-D84</f>
        <v>7</v>
      </c>
      <c r="E77" s="28">
        <f>C77*D77</f>
        <v>511.97999999999911</v>
      </c>
      <c r="F77"/>
      <c r="G77"/>
      <c r="H77"/>
      <c r="J77" s="14">
        <v>8</v>
      </c>
    </row>
    <row r="78" spans="2:14">
      <c r="C78" s="49"/>
      <c r="D78" s="25"/>
      <c r="E78" s="36">
        <f>SUM(E75:E77)</f>
        <v>2659.3399999999951</v>
      </c>
      <c r="H78" s="16"/>
    </row>
    <row r="79" spans="2:14" ht="14.45" thickBot="1">
      <c r="C79" s="49"/>
      <c r="D79" s="25"/>
      <c r="E79" s="34"/>
      <c r="H79" s="16"/>
    </row>
    <row r="80" spans="2:14">
      <c r="B80" s="70" t="s">
        <v>134</v>
      </c>
      <c r="C80" s="70"/>
      <c r="D80" s="70"/>
      <c r="E80" s="141"/>
      <c r="F80" s="141"/>
      <c r="G80" s="141"/>
      <c r="H80" s="70"/>
    </row>
    <row r="81" spans="2:24">
      <c r="B81" s="55"/>
      <c r="C81" s="53" t="s">
        <v>108</v>
      </c>
      <c r="D81" s="53" t="s">
        <v>129</v>
      </c>
      <c r="E81" s="39" t="s">
        <v>130</v>
      </c>
      <c r="F81"/>
      <c r="G81"/>
      <c r="H81"/>
    </row>
    <row r="82" spans="2:24">
      <c r="B82" s="15" t="s">
        <v>132</v>
      </c>
      <c r="C82" s="28">
        <f>C75*1.5</f>
        <v>112.39499999999975</v>
      </c>
      <c r="D82" s="31">
        <v>1</v>
      </c>
      <c r="E82" s="28">
        <f>C82*D82</f>
        <v>112.39499999999975</v>
      </c>
      <c r="F82"/>
      <c r="G82"/>
      <c r="H82"/>
    </row>
    <row r="83" spans="2:24">
      <c r="B83" s="15" t="s">
        <v>114</v>
      </c>
      <c r="C83" s="28">
        <f>C76*1.5</f>
        <v>78.524999999999864</v>
      </c>
      <c r="D83" s="31">
        <v>1</v>
      </c>
      <c r="E83" s="28">
        <f>C83*D83</f>
        <v>78.524999999999864</v>
      </c>
      <c r="F83"/>
      <c r="G83"/>
      <c r="H83"/>
    </row>
    <row r="84" spans="2:24">
      <c r="B84" s="15" t="s">
        <v>133</v>
      </c>
      <c r="C84" s="28">
        <f>C77*1.5</f>
        <v>109.70999999999981</v>
      </c>
      <c r="D84" s="31">
        <v>1</v>
      </c>
      <c r="E84" s="28">
        <f>C84*D84</f>
        <v>109.70999999999981</v>
      </c>
      <c r="F84"/>
      <c r="G84"/>
      <c r="H84"/>
    </row>
    <row r="85" spans="2:24">
      <c r="C85" s="49"/>
      <c r="D85" s="25"/>
      <c r="E85" s="36">
        <f>SUM(E82:E84)</f>
        <v>300.62999999999943</v>
      </c>
      <c r="H85" s="16"/>
    </row>
    <row r="86" spans="2:24" ht="14.45" thickBot="1">
      <c r="C86" s="49"/>
      <c r="D86" s="25"/>
      <c r="E86" s="34"/>
      <c r="H86" s="16"/>
    </row>
    <row r="87" spans="2:24">
      <c r="B87" s="27" t="s">
        <v>135</v>
      </c>
      <c r="C87" s="27"/>
      <c r="D87" s="27"/>
      <c r="E87" s="27"/>
      <c r="F87" s="27"/>
      <c r="G87" s="27"/>
      <c r="H87" s="70"/>
      <c r="J87" s="14" t="s">
        <v>136</v>
      </c>
      <c r="K87" s="14">
        <v>369</v>
      </c>
      <c r="L87" s="14" t="s">
        <v>137</v>
      </c>
    </row>
    <row r="88" spans="2:24" ht="15">
      <c r="B88" s="15"/>
      <c r="C88" s="53" t="s">
        <v>108</v>
      </c>
      <c r="D88" s="53" t="s">
        <v>109</v>
      </c>
      <c r="E88" s="53" t="s">
        <v>110</v>
      </c>
      <c r="F88" s="53" t="s">
        <v>111</v>
      </c>
      <c r="G88" s="53" t="s">
        <v>112</v>
      </c>
      <c r="H88" s="53" t="s">
        <v>113</v>
      </c>
      <c r="J88" s="14" t="s">
        <v>138</v>
      </c>
      <c r="K88" s="14">
        <v>789</v>
      </c>
      <c r="L88" s="14" t="s">
        <v>137</v>
      </c>
    </row>
    <row r="89" spans="2:24">
      <c r="B89" s="15" t="s">
        <v>116</v>
      </c>
      <c r="C89" s="35">
        <f>196+0.25/12</f>
        <v>196.02083333333334</v>
      </c>
      <c r="D89" s="35">
        <f>C54</f>
        <v>74.833333333333329</v>
      </c>
      <c r="E89" s="35">
        <f>8/12</f>
        <v>0.66666666666666663</v>
      </c>
      <c r="F89" s="36">
        <f>C89*D89*E89</f>
        <v>9779.261574074073</v>
      </c>
      <c r="G89" s="37">
        <v>1</v>
      </c>
      <c r="H89" s="28">
        <f>F89*G89/27</f>
        <v>362.19487311385456</v>
      </c>
      <c r="J89" s="14" t="s">
        <v>139</v>
      </c>
      <c r="K89" s="14">
        <v>726</v>
      </c>
      <c r="L89" s="14" t="s">
        <v>137</v>
      </c>
    </row>
    <row r="90" spans="2:24">
      <c r="B90" s="15" t="s">
        <v>140</v>
      </c>
      <c r="C90" s="28">
        <f>96+8/12-C125-C150</f>
        <v>92.489177126960513</v>
      </c>
      <c r="D90" s="35">
        <f>49/12</f>
        <v>4.083333333333333</v>
      </c>
      <c r="E90" s="35">
        <f>AVERAGE(3.5,1.5)/12</f>
        <v>0.20833333333333334</v>
      </c>
      <c r="F90" s="36">
        <f>C90*D90*E90</f>
        <v>78.680029153143479</v>
      </c>
      <c r="G90" s="56">
        <f>8*2</f>
        <v>16</v>
      </c>
      <c r="H90" s="28">
        <f>F90*G90/27</f>
        <v>46.625202461122065</v>
      </c>
      <c r="J90" s="21" t="s">
        <v>141</v>
      </c>
      <c r="K90" s="21">
        <v>776.53099999999995</v>
      </c>
      <c r="L90" s="14" t="s">
        <v>137</v>
      </c>
      <c r="N90" s="14">
        <v>0</v>
      </c>
      <c r="O90" s="14">
        <v>0.5</v>
      </c>
      <c r="P90" s="14">
        <v>0.95</v>
      </c>
      <c r="Q90" s="14">
        <v>1.3</v>
      </c>
      <c r="R90" s="14">
        <v>1.52</v>
      </c>
      <c r="S90" s="14">
        <v>1.6</v>
      </c>
      <c r="T90" s="14">
        <v>1.52</v>
      </c>
      <c r="U90" s="14">
        <v>1.3</v>
      </c>
      <c r="V90" s="14">
        <v>0.95</v>
      </c>
      <c r="W90" s="14">
        <v>0.5</v>
      </c>
      <c r="X90" s="14">
        <v>0</v>
      </c>
    </row>
    <row r="91" spans="2:24">
      <c r="B91" s="22"/>
      <c r="C91" s="38"/>
      <c r="D91" s="38"/>
      <c r="E91" s="25"/>
      <c r="F91" s="25"/>
      <c r="H91" s="33">
        <f>SUM(H89:H90)</f>
        <v>408.82007557497661</v>
      </c>
      <c r="J91" s="14" t="s">
        <v>142</v>
      </c>
      <c r="K91" s="14">
        <f>1.6576*144</f>
        <v>238.6944</v>
      </c>
      <c r="N91" s="14">
        <f>AVERAGE(N90:O90)</f>
        <v>0.25</v>
      </c>
      <c r="O91" s="14">
        <f t="shared" ref="O91:W91" si="2">AVERAGE(O90:P90)</f>
        <v>0.72499999999999998</v>
      </c>
      <c r="P91" s="14">
        <f t="shared" si="2"/>
        <v>1.125</v>
      </c>
      <c r="Q91" s="14">
        <f t="shared" si="2"/>
        <v>1.4100000000000001</v>
      </c>
      <c r="R91" s="14">
        <f t="shared" si="2"/>
        <v>1.56</v>
      </c>
      <c r="S91" s="14">
        <f t="shared" si="2"/>
        <v>1.56</v>
      </c>
      <c r="T91" s="14">
        <f t="shared" si="2"/>
        <v>1.4100000000000001</v>
      </c>
      <c r="U91" s="14">
        <f t="shared" si="2"/>
        <v>1.125</v>
      </c>
      <c r="V91" s="14">
        <f t="shared" si="2"/>
        <v>0.72499999999999998</v>
      </c>
      <c r="W91" s="14">
        <f t="shared" si="2"/>
        <v>0.25</v>
      </c>
    </row>
    <row r="92" spans="2:24" ht="14.45" thickBot="1">
      <c r="B92" s="22"/>
      <c r="C92" s="38"/>
      <c r="D92" s="38"/>
      <c r="E92" s="25"/>
      <c r="F92" s="25"/>
      <c r="H92" s="32"/>
      <c r="J92" s="34"/>
      <c r="K92" s="14">
        <f>3.742*144</f>
        <v>538.84799999999996</v>
      </c>
      <c r="L92" s="76">
        <f>K90-K91</f>
        <v>537.83659999999998</v>
      </c>
      <c r="N92" s="14">
        <f>AVERAGE(N91:W91)</f>
        <v>1.014</v>
      </c>
    </row>
    <row r="93" spans="2:24">
      <c r="B93" s="27" t="s">
        <v>143</v>
      </c>
      <c r="C93" s="27"/>
      <c r="D93" s="27"/>
      <c r="E93" s="27"/>
      <c r="F93" s="27"/>
      <c r="G93" s="27"/>
      <c r="H93" s="70"/>
      <c r="J93" s="21"/>
      <c r="K93" s="34"/>
      <c r="N93" s="14">
        <f>3.5-N92</f>
        <v>2.4859999999999998</v>
      </c>
    </row>
    <row r="94" spans="2:24" ht="15">
      <c r="B94" s="15"/>
      <c r="C94" s="53" t="s">
        <v>108</v>
      </c>
      <c r="D94" s="53" t="s">
        <v>109</v>
      </c>
      <c r="E94" s="53" t="s">
        <v>110</v>
      </c>
      <c r="F94" s="53" t="s">
        <v>111</v>
      </c>
      <c r="G94" s="53" t="s">
        <v>112</v>
      </c>
      <c r="H94" s="53" t="s">
        <v>113</v>
      </c>
      <c r="J94" s="21"/>
      <c r="K94" s="34">
        <f>5.3995*144</f>
        <v>777.52800000000002</v>
      </c>
      <c r="L94" s="14">
        <v>5.3994999999999997</v>
      </c>
    </row>
    <row r="95" spans="2:24">
      <c r="B95" s="15" t="s">
        <v>144</v>
      </c>
      <c r="C95" s="35">
        <f>9+8.5/12-6.125/12</f>
        <v>9.1979166666666679</v>
      </c>
      <c r="D95" s="35">
        <v>3.5</v>
      </c>
      <c r="E95" s="35">
        <v>0.5</v>
      </c>
      <c r="F95" s="36">
        <f>C95*D95*E95</f>
        <v>16.096354166666668</v>
      </c>
      <c r="G95" s="37">
        <f>4*7</f>
        <v>28</v>
      </c>
      <c r="H95" s="28">
        <f>F95*G95/27</f>
        <v>16.692515432098766</v>
      </c>
      <c r="J95" s="21"/>
      <c r="K95" s="34"/>
      <c r="L95" s="14">
        <v>1.6576</v>
      </c>
    </row>
    <row r="96" spans="2:24" ht="15">
      <c r="B96" s="43"/>
      <c r="C96" s="146" t="s">
        <v>145</v>
      </c>
      <c r="D96" s="147"/>
      <c r="E96" s="53" t="s">
        <v>110</v>
      </c>
      <c r="F96" s="53" t="s">
        <v>111</v>
      </c>
      <c r="G96" s="39" t="s">
        <v>112</v>
      </c>
      <c r="H96" s="53" t="s">
        <v>113</v>
      </c>
      <c r="J96" s="21"/>
      <c r="K96" s="34"/>
      <c r="L96" s="14">
        <v>3.742</v>
      </c>
    </row>
    <row r="97" spans="2:16">
      <c r="B97" s="15" t="s">
        <v>146</v>
      </c>
      <c r="C97" s="148">
        <f>0.2858*2+0.3301*2</f>
        <v>1.2318</v>
      </c>
      <c r="D97" s="149"/>
      <c r="E97" s="30">
        <f>E95</f>
        <v>0.5</v>
      </c>
      <c r="F97" s="36">
        <f>-C97*E97</f>
        <v>-0.6159</v>
      </c>
      <c r="G97" s="56">
        <f>G95</f>
        <v>28</v>
      </c>
      <c r="H97" s="28">
        <f>F97*G97/27</f>
        <v>-0.63871111111111112</v>
      </c>
      <c r="J97" s="21"/>
      <c r="K97" s="34"/>
    </row>
    <row r="98" spans="2:16">
      <c r="B98" s="22"/>
      <c r="C98" s="38"/>
      <c r="D98" s="38"/>
      <c r="E98" s="25"/>
      <c r="F98" s="25"/>
      <c r="H98" s="33">
        <f>SUM(H95:H97)</f>
        <v>16.053804320987656</v>
      </c>
      <c r="J98" s="21"/>
      <c r="K98" s="34"/>
    </row>
    <row r="99" spans="2:16" ht="14.45" thickBot="1">
      <c r="B99" s="22"/>
      <c r="C99" s="38"/>
      <c r="D99" s="38"/>
      <c r="E99" s="25"/>
      <c r="F99" s="25"/>
      <c r="H99" s="125"/>
      <c r="J99" s="21"/>
      <c r="K99" s="34"/>
    </row>
    <row r="100" spans="2:16">
      <c r="B100" s="70" t="s">
        <v>147</v>
      </c>
      <c r="C100" s="70"/>
      <c r="D100" s="70"/>
      <c r="E100" s="141"/>
      <c r="F100" s="141"/>
      <c r="G100" s="141"/>
      <c r="H100" s="70"/>
      <c r="J100" s="21"/>
      <c r="K100" s="34"/>
    </row>
    <row r="101" spans="2:16" ht="15">
      <c r="B101" s="55"/>
      <c r="C101" s="53" t="s">
        <v>108</v>
      </c>
      <c r="D101" s="53" t="s">
        <v>109</v>
      </c>
      <c r="E101" s="53" t="s">
        <v>110</v>
      </c>
      <c r="F101" s="53" t="s">
        <v>111</v>
      </c>
      <c r="G101" s="53" t="s">
        <v>112</v>
      </c>
      <c r="H101" s="53" t="s">
        <v>113</v>
      </c>
    </row>
    <row r="102" spans="2:16">
      <c r="B102" s="15" t="s">
        <v>148</v>
      </c>
      <c r="C102" s="35">
        <v>20</v>
      </c>
      <c r="D102" s="35">
        <f>C54</f>
        <v>74.833333333333329</v>
      </c>
      <c r="E102" s="35">
        <v>1</v>
      </c>
      <c r="F102" s="36">
        <f>C102*D102*E102</f>
        <v>1496.6666666666665</v>
      </c>
      <c r="G102" s="37">
        <v>2</v>
      </c>
      <c r="H102" s="28">
        <f>F102*G102/27</f>
        <v>110.86419753086419</v>
      </c>
    </row>
    <row r="103" spans="2:16">
      <c r="B103" s="73" t="s">
        <v>149</v>
      </c>
      <c r="C103" s="35">
        <f>16.5-4/COS(RADIANS(C56))+2/12</f>
        <v>12.651387316493276</v>
      </c>
      <c r="D103" s="35">
        <f>D137+2/12</f>
        <v>1.3333333333333335</v>
      </c>
      <c r="E103" s="29">
        <f>4/12</f>
        <v>0.33333333333333331</v>
      </c>
      <c r="F103" s="28">
        <f>-C103*D103*E103</f>
        <v>-5.6228388073303446</v>
      </c>
      <c r="G103" s="31">
        <f>2*G102</f>
        <v>4</v>
      </c>
      <c r="H103" s="28">
        <f>F103*G103/27</f>
        <v>-0.83301315664153253</v>
      </c>
    </row>
    <row r="104" spans="2:16">
      <c r="B104" s="73" t="s">
        <v>150</v>
      </c>
      <c r="C104" s="35">
        <f>C103+D103+D104</f>
        <v>15.23472064982661</v>
      </c>
      <c r="D104" s="35">
        <f>+AVERAGE(1,1.5)</f>
        <v>1.25</v>
      </c>
      <c r="E104" s="29">
        <v>0.5</v>
      </c>
      <c r="F104" s="28">
        <f>+C104*D104*E104</f>
        <v>9.5217004061416315</v>
      </c>
      <c r="G104" s="31">
        <f>G103</f>
        <v>4</v>
      </c>
      <c r="H104" s="28">
        <f>F104*G104/27</f>
        <v>1.4106222823913528</v>
      </c>
      <c r="I104" s="21"/>
    </row>
    <row r="105" spans="2:16">
      <c r="H105" s="36">
        <f>SUM(H102:H104)</f>
        <v>111.44180665661402</v>
      </c>
    </row>
    <row r="106" spans="2:16" ht="14.45" thickBot="1">
      <c r="H106" s="67"/>
      <c r="J106" s="72"/>
    </row>
    <row r="107" spans="2:16">
      <c r="B107" s="70" t="s">
        <v>151</v>
      </c>
      <c r="C107" s="70"/>
      <c r="D107" s="70"/>
      <c r="E107" s="141"/>
      <c r="F107" s="141"/>
      <c r="G107" s="141"/>
      <c r="H107" s="70"/>
    </row>
    <row r="108" spans="2:16" ht="15">
      <c r="B108" s="55"/>
      <c r="C108" s="39" t="s">
        <v>145</v>
      </c>
      <c r="D108" s="39" t="s">
        <v>108</v>
      </c>
      <c r="E108" s="53" t="s">
        <v>111</v>
      </c>
      <c r="F108" s="39" t="s">
        <v>112</v>
      </c>
      <c r="G108" s="53" t="s">
        <v>113</v>
      </c>
      <c r="H108" s="34"/>
    </row>
    <row r="109" spans="2:16">
      <c r="B109" s="15" t="s">
        <v>152</v>
      </c>
      <c r="C109" s="28">
        <f>3.5*9/12+0.5*3.5*8/12</f>
        <v>3.791666666666667</v>
      </c>
      <c r="D109" s="35">
        <f>2*C102+C89</f>
        <v>236.02083333333334</v>
      </c>
      <c r="E109" s="28">
        <f>C109*D109</f>
        <v>894.91232638888903</v>
      </c>
      <c r="F109" s="40">
        <v>2</v>
      </c>
      <c r="G109" s="28">
        <f>E109*F109/27</f>
        <v>66.289801954732525</v>
      </c>
      <c r="H109" s="38"/>
    </row>
    <row r="110" spans="2:16">
      <c r="B110" s="22"/>
      <c r="C110" s="21"/>
      <c r="E110" s="21"/>
      <c r="F110" s="58"/>
      <c r="G110" s="33">
        <f>SUM(G109:G109)</f>
        <v>66.289801954732525</v>
      </c>
      <c r="H110" s="21"/>
      <c r="J110" s="72"/>
    </row>
    <row r="111" spans="2:16" ht="14.45" thickBot="1">
      <c r="B111" s="22"/>
      <c r="C111" s="21"/>
      <c r="D111" s="21"/>
      <c r="E111" s="21"/>
      <c r="F111" s="21"/>
      <c r="G111" s="21"/>
      <c r="H111" s="21"/>
      <c r="J111"/>
      <c r="K111"/>
      <c r="L111"/>
      <c r="M111"/>
      <c r="N111"/>
      <c r="O111"/>
      <c r="P111"/>
    </row>
    <row r="112" spans="2:16">
      <c r="B112" s="70" t="s">
        <v>153</v>
      </c>
      <c r="C112" s="70"/>
      <c r="D112" s="70"/>
      <c r="E112" s="141"/>
      <c r="F112" s="141"/>
      <c r="G112" s="141"/>
      <c r="H112" s="70"/>
      <c r="J112" s="21"/>
      <c r="K112" s="34"/>
    </row>
    <row r="113" spans="2:11" ht="15">
      <c r="B113" s="43"/>
      <c r="C113" s="53" t="s">
        <v>108</v>
      </c>
      <c r="D113" s="53" t="s">
        <v>109</v>
      </c>
      <c r="E113" s="39" t="s">
        <v>110</v>
      </c>
      <c r="F113" s="53" t="s">
        <v>111</v>
      </c>
      <c r="G113" s="39" t="s">
        <v>112</v>
      </c>
      <c r="H113" s="53" t="s">
        <v>113</v>
      </c>
      <c r="J113" s="21"/>
      <c r="K113" s="34"/>
    </row>
    <row r="114" spans="2:11">
      <c r="B114" s="15" t="s">
        <v>154</v>
      </c>
      <c r="C114" s="35">
        <f>C54/COS(RADIANS(C56))</f>
        <v>75.11918450949382</v>
      </c>
      <c r="D114" s="35">
        <v>3</v>
      </c>
      <c r="E114" s="35">
        <v>2</v>
      </c>
      <c r="F114" s="28">
        <f>C114*D114*E114</f>
        <v>450.71510705696289</v>
      </c>
      <c r="G114" s="40">
        <v>2</v>
      </c>
      <c r="H114" s="28">
        <f>F114*G114/27</f>
        <v>33.386304226441695</v>
      </c>
      <c r="J114" s="21"/>
      <c r="K114" s="34"/>
    </row>
    <row r="115" spans="2:11">
      <c r="B115" s="15" t="s">
        <v>155</v>
      </c>
      <c r="C115" s="35">
        <f>C114</f>
        <v>75.11918450949382</v>
      </c>
      <c r="D115" s="35">
        <v>1</v>
      </c>
      <c r="E115" s="35">
        <v>1</v>
      </c>
      <c r="F115" s="28">
        <f>C115*D115*E115</f>
        <v>75.11918450949382</v>
      </c>
      <c r="G115" s="40">
        <v>2</v>
      </c>
      <c r="H115" s="28">
        <f>F115*G115/27</f>
        <v>5.5643840377402833</v>
      </c>
      <c r="I115" s="21"/>
      <c r="J115" s="21"/>
      <c r="K115" s="34"/>
    </row>
    <row r="116" spans="2:11">
      <c r="B116" s="22"/>
      <c r="D116" s="21"/>
      <c r="E116" s="21"/>
      <c r="F116" s="21"/>
      <c r="G116" s="21"/>
      <c r="H116" s="28">
        <f>SUM(H114:H115)</f>
        <v>38.950688264181977</v>
      </c>
      <c r="J116" s="21"/>
      <c r="K116" s="34"/>
    </row>
    <row r="117" spans="2:11" ht="14.45" thickBot="1">
      <c r="B117" s="22"/>
      <c r="C117" s="21"/>
      <c r="D117" s="21"/>
      <c r="E117" s="21"/>
      <c r="F117" s="21"/>
      <c r="G117" s="21"/>
      <c r="H117" s="21"/>
      <c r="J117" s="21"/>
      <c r="K117" s="34"/>
    </row>
    <row r="118" spans="2:11">
      <c r="B118" s="70" t="s">
        <v>156</v>
      </c>
      <c r="C118" s="70"/>
      <c r="D118" s="70"/>
      <c r="E118" s="141"/>
      <c r="F118" s="141"/>
      <c r="G118" s="141"/>
      <c r="H118" s="70"/>
      <c r="J118" s="21"/>
      <c r="K118" s="34"/>
    </row>
    <row r="119" spans="2:11" ht="15">
      <c r="B119" s="43"/>
      <c r="C119" s="146" t="s">
        <v>145</v>
      </c>
      <c r="D119" s="147"/>
      <c r="E119" s="53" t="s">
        <v>110</v>
      </c>
      <c r="F119" s="53" t="s">
        <v>111</v>
      </c>
      <c r="G119" s="39" t="s">
        <v>112</v>
      </c>
      <c r="H119" s="53" t="s">
        <v>113</v>
      </c>
      <c r="J119" s="21"/>
      <c r="K119" s="34"/>
    </row>
    <row r="120" spans="2:11">
      <c r="B120" s="15" t="s">
        <v>132</v>
      </c>
      <c r="C120" s="144">
        <v>404.73140000000001</v>
      </c>
      <c r="D120" s="145"/>
      <c r="E120" s="60">
        <v>4</v>
      </c>
      <c r="F120" s="28">
        <f>C120*E120</f>
        <v>1618.9256</v>
      </c>
      <c r="G120" s="31">
        <v>1</v>
      </c>
      <c r="H120" s="28">
        <f t="shared" ref="H120:H125" si="3">F120*G120/27</f>
        <v>59.96020740740741</v>
      </c>
      <c r="I120" s="77" t="s">
        <v>157</v>
      </c>
      <c r="J120" s="21"/>
      <c r="K120" s="34"/>
    </row>
    <row r="121" spans="2:11">
      <c r="B121" s="15" t="s">
        <v>158</v>
      </c>
      <c r="C121" s="144">
        <f>PI()*(16/12)^2/4</f>
        <v>1.3962634015954636</v>
      </c>
      <c r="D121" s="145"/>
      <c r="E121" s="62">
        <v>2</v>
      </c>
      <c r="F121" s="28">
        <f>-C121*E121</f>
        <v>-2.7925268031909272</v>
      </c>
      <c r="G121" s="61">
        <v>8</v>
      </c>
      <c r="H121" s="28">
        <f>F121*G121/27</f>
        <v>-0.82741534909360803</v>
      </c>
      <c r="J121" s="21"/>
      <c r="K121" s="34"/>
    </row>
    <row r="122" spans="2:11">
      <c r="B122" s="15" t="s">
        <v>159</v>
      </c>
      <c r="C122" s="144">
        <v>350.79610000000002</v>
      </c>
      <c r="D122" s="145"/>
      <c r="E122" s="60">
        <v>4</v>
      </c>
      <c r="F122" s="28">
        <f>C122*E122</f>
        <v>1403.1844000000001</v>
      </c>
      <c r="G122" s="31">
        <v>1</v>
      </c>
      <c r="H122" s="28">
        <f t="shared" si="3"/>
        <v>51.969792592592597</v>
      </c>
      <c r="I122" s="77" t="s">
        <v>157</v>
      </c>
      <c r="J122" s="21"/>
      <c r="K122" s="34">
        <f>(798.428-8.75/12*75.12)*4/27</f>
        <v>110.17081481481482</v>
      </c>
    </row>
    <row r="123" spans="2:11" ht="15">
      <c r="B123" s="43"/>
      <c r="C123" s="53" t="s">
        <v>108</v>
      </c>
      <c r="D123" s="53" t="s">
        <v>109</v>
      </c>
      <c r="E123" s="53" t="s">
        <v>110</v>
      </c>
      <c r="F123" s="53" t="s">
        <v>111</v>
      </c>
      <c r="G123" s="39" t="s">
        <v>112</v>
      </c>
      <c r="H123" s="53" t="s">
        <v>113</v>
      </c>
      <c r="J123" s="21"/>
      <c r="K123" s="34"/>
    </row>
    <row r="124" spans="2:11">
      <c r="B124" s="15" t="s">
        <v>160</v>
      </c>
      <c r="C124" s="28">
        <f>C54/COS(RADIANS(C56))</f>
        <v>75.11918450949382</v>
      </c>
      <c r="D124" s="28">
        <v>0.5</v>
      </c>
      <c r="E124" s="60">
        <f>4/12</f>
        <v>0.33333333333333331</v>
      </c>
      <c r="F124" s="28">
        <f>-C124*D124*E124</f>
        <v>-12.519864084915636</v>
      </c>
      <c r="G124" s="31">
        <v>1</v>
      </c>
      <c r="H124" s="28">
        <f t="shared" si="3"/>
        <v>-0.46369866981169022</v>
      </c>
      <c r="J124" s="21"/>
      <c r="K124" s="34"/>
    </row>
    <row r="125" spans="2:11">
      <c r="B125" s="15" t="s">
        <v>161</v>
      </c>
      <c r="C125" s="60">
        <f>(2)/COS(RADIANS($C$56))+8/12</f>
        <v>2.6743063417533612</v>
      </c>
      <c r="D125" s="62" t="s">
        <v>120</v>
      </c>
      <c r="E125" s="62" t="s">
        <v>120</v>
      </c>
      <c r="F125" s="28">
        <f>-C125*($K$90-$K$91)/144</f>
        <v>-9.9884710431046226</v>
      </c>
      <c r="G125" s="61">
        <v>8</v>
      </c>
      <c r="H125" s="28">
        <f t="shared" si="3"/>
        <v>-2.9595469757347028</v>
      </c>
      <c r="J125" s="21"/>
      <c r="K125" s="34"/>
    </row>
    <row r="126" spans="2:11" ht="15">
      <c r="B126" s="43"/>
      <c r="C126" s="146" t="s">
        <v>145</v>
      </c>
      <c r="D126" s="147"/>
      <c r="E126" s="53" t="s">
        <v>110</v>
      </c>
      <c r="F126" s="53" t="s">
        <v>111</v>
      </c>
      <c r="G126" s="39" t="s">
        <v>112</v>
      </c>
      <c r="H126" s="53" t="s">
        <v>113</v>
      </c>
      <c r="J126" s="21"/>
      <c r="K126" s="34"/>
    </row>
    <row r="127" spans="2:11">
      <c r="B127" s="15" t="s">
        <v>133</v>
      </c>
      <c r="C127" s="144">
        <v>404.73140000000001</v>
      </c>
      <c r="D127" s="145"/>
      <c r="E127" s="60">
        <v>4</v>
      </c>
      <c r="F127" s="28">
        <f>C127*E127</f>
        <v>1618.9256</v>
      </c>
      <c r="G127" s="31">
        <v>1</v>
      </c>
      <c r="H127" s="28">
        <f>F127*G127/27</f>
        <v>59.96020740740741</v>
      </c>
      <c r="I127" s="77" t="s">
        <v>157</v>
      </c>
      <c r="J127" s="21"/>
      <c r="K127" s="34"/>
    </row>
    <row r="128" spans="2:11">
      <c r="B128" s="15" t="s">
        <v>162</v>
      </c>
      <c r="C128" s="144">
        <f>PI()*(16/12)^2/4</f>
        <v>1.3962634015954636</v>
      </c>
      <c r="D128" s="145"/>
      <c r="E128" s="62">
        <v>2</v>
      </c>
      <c r="F128" s="28">
        <f>-C128*E128</f>
        <v>-2.7925268031909272</v>
      </c>
      <c r="G128" s="61">
        <v>8</v>
      </c>
      <c r="H128" s="28">
        <f>F128*G128/27</f>
        <v>-0.82741534909360803</v>
      </c>
      <c r="J128" s="21"/>
      <c r="K128" s="34"/>
    </row>
    <row r="129" spans="2:25">
      <c r="B129" s="15" t="s">
        <v>163</v>
      </c>
      <c r="C129" s="144">
        <v>350.79610000000002</v>
      </c>
      <c r="D129" s="145"/>
      <c r="E129" s="60">
        <v>4</v>
      </c>
      <c r="F129" s="28">
        <f>C129*E129</f>
        <v>1403.1844000000001</v>
      </c>
      <c r="G129" s="31">
        <v>1</v>
      </c>
      <c r="H129" s="28">
        <f>F129*G129/27</f>
        <v>51.969792592592597</v>
      </c>
      <c r="I129" s="77" t="s">
        <v>157</v>
      </c>
      <c r="J129" s="21"/>
      <c r="K129" s="34"/>
    </row>
    <row r="130" spans="2:25" ht="15">
      <c r="B130" s="43"/>
      <c r="C130" s="53" t="s">
        <v>108</v>
      </c>
      <c r="D130" s="53" t="s">
        <v>109</v>
      </c>
      <c r="E130" s="53" t="s">
        <v>110</v>
      </c>
      <c r="F130" s="53" t="s">
        <v>111</v>
      </c>
      <c r="G130" s="39" t="s">
        <v>112</v>
      </c>
      <c r="H130" s="53" t="s">
        <v>113</v>
      </c>
      <c r="J130" s="21"/>
      <c r="K130" s="34"/>
    </row>
    <row r="131" spans="2:25">
      <c r="B131" s="15" t="s">
        <v>164</v>
      </c>
      <c r="C131" s="28">
        <f>C54/COS(RADIANS(C56))</f>
        <v>75.11918450949382</v>
      </c>
      <c r="D131" s="28">
        <v>0.5</v>
      </c>
      <c r="E131" s="60">
        <f>4/12</f>
        <v>0.33333333333333331</v>
      </c>
      <c r="F131" s="28">
        <f>-C131*D131*E131</f>
        <v>-12.519864084915636</v>
      </c>
      <c r="G131" s="31">
        <v>1</v>
      </c>
      <c r="H131" s="28">
        <f>F131*G131/27</f>
        <v>-0.46369866981169022</v>
      </c>
      <c r="J131" s="21"/>
      <c r="K131" s="34"/>
      <c r="L131" s="78"/>
    </row>
    <row r="132" spans="2:25">
      <c r="B132" s="15" t="s">
        <v>165</v>
      </c>
      <c r="C132" s="60">
        <f>(2)/COS(RADIANS($C$56))+8/12</f>
        <v>2.6743063417533612</v>
      </c>
      <c r="D132" s="62" t="s">
        <v>120</v>
      </c>
      <c r="E132" s="62" t="s">
        <v>120</v>
      </c>
      <c r="F132" s="28">
        <f>-C132*($K$90-$K$91)/144</f>
        <v>-9.9884710431046226</v>
      </c>
      <c r="G132" s="61">
        <v>8</v>
      </c>
      <c r="H132" s="28">
        <f>F132*G132/27</f>
        <v>-2.9595469757347028</v>
      </c>
      <c r="J132" s="21"/>
      <c r="K132" s="34"/>
    </row>
    <row r="133" spans="2:25">
      <c r="B133" s="22"/>
      <c r="H133" s="36">
        <f>SUM(H120:H132)</f>
        <v>215.35867801072004</v>
      </c>
      <c r="J133" s="21"/>
      <c r="K133" s="34"/>
    </row>
    <row r="134" spans="2:25" ht="14.45" thickBot="1">
      <c r="B134" s="22"/>
      <c r="H134" s="67"/>
      <c r="J134" s="21"/>
      <c r="K134" s="34"/>
    </row>
    <row r="135" spans="2:25">
      <c r="B135" s="70" t="s">
        <v>166</v>
      </c>
      <c r="C135" s="70"/>
      <c r="D135" s="70"/>
      <c r="E135" s="141"/>
      <c r="F135" s="141"/>
      <c r="G135" s="141"/>
      <c r="H135" s="70"/>
      <c r="J135" s="21"/>
      <c r="K135" s="34"/>
    </row>
    <row r="136" spans="2:25" ht="15">
      <c r="B136" s="43"/>
      <c r="C136" s="53" t="s">
        <v>108</v>
      </c>
      <c r="D136" s="53" t="s">
        <v>109</v>
      </c>
      <c r="E136" s="53" t="s">
        <v>167</v>
      </c>
      <c r="F136" s="53" t="s">
        <v>111</v>
      </c>
      <c r="G136" s="39" t="s">
        <v>112</v>
      </c>
      <c r="H136" s="53" t="s">
        <v>113</v>
      </c>
      <c r="J136" s="21"/>
      <c r="K136" s="34"/>
    </row>
    <row r="137" spans="2:25">
      <c r="B137" s="15" t="s">
        <v>168</v>
      </c>
      <c r="C137" s="29">
        <f>16.5-4/COS(RADIANS(C56))</f>
        <v>12.48472064982661</v>
      </c>
      <c r="D137" s="29">
        <f>14/12</f>
        <v>1.1666666666666667</v>
      </c>
      <c r="E137" s="60">
        <f>AVERAGE(2571.31-2561.93,3)</f>
        <v>6.1900000000000546</v>
      </c>
      <c r="F137" s="28">
        <f>C137*D137*E137</f>
        <v>90.160490959498631</v>
      </c>
      <c r="G137" s="31">
        <v>1</v>
      </c>
      <c r="H137" s="28">
        <f>F137*G137/27</f>
        <v>3.3392774429443937</v>
      </c>
      <c r="I137" s="21"/>
      <c r="J137" s="21"/>
      <c r="K137" s="34"/>
    </row>
    <row r="138" spans="2:25">
      <c r="B138" s="15" t="s">
        <v>169</v>
      </c>
      <c r="C138" s="29">
        <v>1.75</v>
      </c>
      <c r="D138" s="29">
        <v>1.75</v>
      </c>
      <c r="E138" s="60">
        <f>2571.31-2561.93</f>
        <v>9.3800000000001091</v>
      </c>
      <c r="F138" s="28">
        <f>C138*D138*E138/2</f>
        <v>14.363125000000167</v>
      </c>
      <c r="G138" s="31">
        <v>1</v>
      </c>
      <c r="H138" s="28">
        <f>F138*G138/27</f>
        <v>0.53196759259259874</v>
      </c>
      <c r="I138" s="21"/>
      <c r="J138" s="21"/>
      <c r="K138" s="34"/>
    </row>
    <row r="139" spans="2:25">
      <c r="B139" s="15" t="s">
        <v>170</v>
      </c>
      <c r="C139" s="28">
        <f>C137</f>
        <v>12.48472064982661</v>
      </c>
      <c r="D139" s="29">
        <f>14/12</f>
        <v>1.1666666666666667</v>
      </c>
      <c r="E139" s="60">
        <f>AVERAGE(2571.5-2561.93,3)</f>
        <v>6.2850000000000819</v>
      </c>
      <c r="F139" s="28">
        <f>C139*D139*E139</f>
        <v>91.544214164854807</v>
      </c>
      <c r="G139" s="31">
        <v>1</v>
      </c>
      <c r="H139" s="28">
        <f t="shared" ref="H139:H144" si="4">F139*G139/27</f>
        <v>3.390526450550178</v>
      </c>
      <c r="I139" s="21"/>
      <c r="J139" s="21"/>
      <c r="K139" s="34"/>
    </row>
    <row r="140" spans="2:25">
      <c r="B140" s="15" t="s">
        <v>171</v>
      </c>
      <c r="C140" s="29">
        <v>1.75</v>
      </c>
      <c r="D140" s="29">
        <v>1.75</v>
      </c>
      <c r="E140" s="60">
        <f>2571.5-2561.93</f>
        <v>9.5700000000001637</v>
      </c>
      <c r="F140" s="28">
        <f>C140*D140*E140/2</f>
        <v>14.654062500000251</v>
      </c>
      <c r="G140" s="31">
        <v>1</v>
      </c>
      <c r="H140" s="28">
        <f t="shared" si="4"/>
        <v>0.54274305555556479</v>
      </c>
      <c r="I140" s="21"/>
      <c r="J140" s="21"/>
      <c r="K140" s="34"/>
    </row>
    <row r="141" spans="2:25">
      <c r="B141" s="15" t="s">
        <v>172</v>
      </c>
      <c r="C141" s="28">
        <f>C139</f>
        <v>12.48472064982661</v>
      </c>
      <c r="D141" s="29">
        <f>14/12</f>
        <v>1.1666666666666667</v>
      </c>
      <c r="E141" s="60">
        <f>AVERAGE(2565.39-2556.14,3)</f>
        <v>6.125</v>
      </c>
      <c r="F141" s="28">
        <f>C141*D141*E141</f>
        <v>89.213732976885979</v>
      </c>
      <c r="G141" s="31">
        <v>1</v>
      </c>
      <c r="H141" s="28">
        <f>F141*G141/27</f>
        <v>3.3042123324772583</v>
      </c>
      <c r="I141" s="21"/>
      <c r="J141" s="21"/>
      <c r="K141" s="34"/>
      <c r="M141" s="64"/>
      <c r="O141" s="63"/>
      <c r="S141" s="34" t="s">
        <v>173</v>
      </c>
      <c r="T141" s="14">
        <f>W141+4500</f>
        <v>4577.95</v>
      </c>
      <c r="U141" s="64" t="e">
        <f>#REF!+7+11.875/12</f>
        <v>#REF!</v>
      </c>
      <c r="V141" s="14" t="e">
        <f>U141*#REF!+#REF!</f>
        <v>#REF!</v>
      </c>
      <c r="W141" s="63">
        <v>77.95</v>
      </c>
      <c r="X141" s="14" t="e">
        <f>T141-V141-3.5</f>
        <v>#REF!</v>
      </c>
      <c r="Y141" s="14" t="e">
        <f>X141*12</f>
        <v>#REF!</v>
      </c>
    </row>
    <row r="142" spans="2:25">
      <c r="B142" s="15" t="s">
        <v>174</v>
      </c>
      <c r="C142" s="29">
        <v>1.75</v>
      </c>
      <c r="D142" s="29">
        <v>1.75</v>
      </c>
      <c r="E142" s="60">
        <f>2565.39-2556.14</f>
        <v>9.25</v>
      </c>
      <c r="F142" s="28">
        <f>C142*D142*E142/2</f>
        <v>14.1640625</v>
      </c>
      <c r="G142" s="31">
        <v>1</v>
      </c>
      <c r="H142" s="28">
        <f>F142*G142/27</f>
        <v>0.52459490740740744</v>
      </c>
      <c r="I142" s="21"/>
      <c r="J142" s="21"/>
      <c r="K142" s="34"/>
      <c r="M142" s="64"/>
      <c r="O142" s="63"/>
      <c r="S142" s="34" t="s">
        <v>175</v>
      </c>
      <c r="T142" s="14">
        <f>W142+4500</f>
        <v>4577.79</v>
      </c>
      <c r="U142" s="64" t="e">
        <f>U141+7+11.875/12</f>
        <v>#REF!</v>
      </c>
      <c r="V142" s="14" t="e">
        <f>U142*#REF!+#REF!</f>
        <v>#REF!</v>
      </c>
      <c r="W142" s="63">
        <v>77.790000000000006</v>
      </c>
      <c r="X142" s="14" t="e">
        <f>T142-V142-3.5</f>
        <v>#REF!</v>
      </c>
      <c r="Y142" s="14" t="e">
        <f>X142*12</f>
        <v>#REF!</v>
      </c>
    </row>
    <row r="143" spans="2:25">
      <c r="B143" s="15" t="s">
        <v>176</v>
      </c>
      <c r="C143" s="28">
        <f>C141</f>
        <v>12.48472064982661</v>
      </c>
      <c r="D143" s="29">
        <f>14/12</f>
        <v>1.1666666666666667</v>
      </c>
      <c r="E143" s="60">
        <f>AVERAGE(2565.59-2556.14,3)</f>
        <v>6.2250000000001364</v>
      </c>
      <c r="F143" s="28">
        <f>C143*D143*E143</f>
        <v>90.670283719367745</v>
      </c>
      <c r="G143" s="31">
        <v>1</v>
      </c>
      <c r="H143" s="28">
        <f>F143*G143/27</f>
        <v>3.3581586562728796</v>
      </c>
      <c r="I143" s="21"/>
      <c r="J143" s="21"/>
      <c r="K143" s="34"/>
      <c r="M143" s="64"/>
      <c r="O143" s="63"/>
      <c r="S143" s="34" t="s">
        <v>177</v>
      </c>
      <c r="T143" s="14">
        <f>W143+4500</f>
        <v>4576.09</v>
      </c>
      <c r="U143" s="64" t="e">
        <f>U142+8+5.75/12</f>
        <v>#REF!</v>
      </c>
      <c r="V143" s="14" t="e">
        <f>U143*#REF!+#REF!</f>
        <v>#REF!</v>
      </c>
      <c r="W143" s="63">
        <v>76.09</v>
      </c>
      <c r="X143" s="14" t="e">
        <f>T143-V143-3.5</f>
        <v>#REF!</v>
      </c>
      <c r="Y143" s="14" t="e">
        <f>X143*12</f>
        <v>#REF!</v>
      </c>
    </row>
    <row r="144" spans="2:25">
      <c r="B144" s="15" t="s">
        <v>178</v>
      </c>
      <c r="C144" s="29">
        <v>1.75</v>
      </c>
      <c r="D144" s="29">
        <v>1.75</v>
      </c>
      <c r="E144" s="60">
        <f>2565.59-2556.14</f>
        <v>9.4500000000002728</v>
      </c>
      <c r="F144" s="28">
        <f>C144*D144*E144/2</f>
        <v>14.470312500000418</v>
      </c>
      <c r="G144" s="31">
        <v>1</v>
      </c>
      <c r="H144" s="28">
        <f t="shared" si="4"/>
        <v>0.5359375000000155</v>
      </c>
      <c r="I144" s="21"/>
      <c r="K144" s="21"/>
      <c r="L144" s="34"/>
      <c r="M144" s="21"/>
    </row>
    <row r="145" spans="2:15">
      <c r="C145" s="42"/>
      <c r="D145" s="42"/>
      <c r="E145" s="64"/>
      <c r="F145" s="21"/>
      <c r="G145" s="59"/>
      <c r="H145" s="36">
        <f>SUM(H137:H144)</f>
        <v>15.527417937800294</v>
      </c>
      <c r="I145" s="21"/>
      <c r="K145" s="21"/>
      <c r="L145" s="34"/>
      <c r="M145" s="21"/>
      <c r="O145" s="21"/>
    </row>
    <row r="146" spans="2:15" ht="14.45" thickBot="1">
      <c r="B146" s="22"/>
      <c r="H146" s="21"/>
      <c r="K146" s="21"/>
      <c r="L146" s="34"/>
      <c r="M146" s="21"/>
      <c r="O146" s="21"/>
    </row>
    <row r="147" spans="2:15">
      <c r="B147" s="70" t="s">
        <v>179</v>
      </c>
      <c r="C147" s="70"/>
      <c r="D147" s="70"/>
      <c r="E147" s="141"/>
      <c r="F147" s="141"/>
      <c r="G147" s="141"/>
      <c r="H147" s="70"/>
      <c r="K147" s="34"/>
    </row>
    <row r="148" spans="2:15" ht="15">
      <c r="B148" s="43"/>
      <c r="C148" s="53" t="s">
        <v>108</v>
      </c>
      <c r="D148" s="53" t="s">
        <v>109</v>
      </c>
      <c r="E148" s="53" t="s">
        <v>167</v>
      </c>
      <c r="F148" s="53" t="s">
        <v>111</v>
      </c>
      <c r="G148" s="39" t="s">
        <v>112</v>
      </c>
      <c r="H148" s="53" t="s">
        <v>113</v>
      </c>
      <c r="J148" s="21"/>
      <c r="K148" s="34"/>
    </row>
    <row r="149" spans="2:15">
      <c r="B149" s="15" t="s">
        <v>180</v>
      </c>
      <c r="C149" s="60">
        <v>15</v>
      </c>
      <c r="D149" s="29">
        <v>15</v>
      </c>
      <c r="E149" s="60">
        <v>4</v>
      </c>
      <c r="F149" s="28">
        <f>C149*D149*E149</f>
        <v>900</v>
      </c>
      <c r="G149" s="31">
        <v>4</v>
      </c>
      <c r="H149" s="28">
        <f>F149*G149/27</f>
        <v>133.33333333333334</v>
      </c>
      <c r="J149" s="21"/>
      <c r="K149" s="34"/>
    </row>
    <row r="150" spans="2:15">
      <c r="B150" s="15" t="s">
        <v>181</v>
      </c>
      <c r="C150" s="60">
        <f>(10/12)/COS(RADIANS($C$56))+8/12</f>
        <v>1.5031831979527894</v>
      </c>
      <c r="D150" s="62" t="s">
        <v>120</v>
      </c>
      <c r="E150" s="62" t="s">
        <v>120</v>
      </c>
      <c r="F150" s="28">
        <f>-C150*($K$90-$K$91)/144</f>
        <v>-5.614353752528161</v>
      </c>
      <c r="G150" s="61">
        <v>16</v>
      </c>
      <c r="H150" s="28">
        <f>F150*G150/27</f>
        <v>-3.3270244459426142</v>
      </c>
      <c r="I150" s="21"/>
      <c r="J150" s="21"/>
      <c r="K150" s="34"/>
    </row>
    <row r="151" spans="2:15" ht="15">
      <c r="B151" s="15"/>
      <c r="C151" s="146" t="s">
        <v>145</v>
      </c>
      <c r="D151" s="147"/>
      <c r="E151" s="53" t="s">
        <v>167</v>
      </c>
      <c r="F151" s="53" t="s">
        <v>111</v>
      </c>
      <c r="G151" s="39" t="s">
        <v>112</v>
      </c>
      <c r="H151" s="53" t="s">
        <v>113</v>
      </c>
      <c r="I151" s="21"/>
      <c r="J151" s="21"/>
      <c r="K151" s="34"/>
    </row>
    <row r="152" spans="2:15">
      <c r="B152" s="15" t="s">
        <v>182</v>
      </c>
      <c r="C152" s="144">
        <v>404.95359999999999</v>
      </c>
      <c r="D152" s="145"/>
      <c r="E152" s="62">
        <v>5</v>
      </c>
      <c r="F152" s="28">
        <f>C152*E152</f>
        <v>2024.768</v>
      </c>
      <c r="G152" s="31">
        <v>1</v>
      </c>
      <c r="H152" s="28">
        <f>F152*G152/27</f>
        <v>74.991407407407408</v>
      </c>
      <c r="I152" s="77" t="s">
        <v>157</v>
      </c>
    </row>
    <row r="153" spans="2:15">
      <c r="B153" s="15" t="s">
        <v>183</v>
      </c>
      <c r="C153" s="144">
        <f>361.2777-(2559.06-2558.89)*7*(9+8.5/12)/COS(RADIANS(C56))</f>
        <v>349.68065306850986</v>
      </c>
      <c r="D153" s="145"/>
      <c r="E153" s="62">
        <v>4</v>
      </c>
      <c r="F153" s="28">
        <f>C153*E153</f>
        <v>1398.7226122740394</v>
      </c>
      <c r="G153" s="61">
        <v>1</v>
      </c>
      <c r="H153" s="28">
        <f>F153*G153/27</f>
        <v>51.804541195334792</v>
      </c>
      <c r="I153" s="21"/>
    </row>
    <row r="154" spans="2:15">
      <c r="B154" s="15" t="s">
        <v>184</v>
      </c>
      <c r="C154" s="144">
        <f>13.1096</f>
        <v>13.1096</v>
      </c>
      <c r="D154" s="145"/>
      <c r="E154" s="121">
        <f>E153</f>
        <v>4</v>
      </c>
      <c r="F154" s="28">
        <f>-C154*E154</f>
        <v>-52.438400000000001</v>
      </c>
      <c r="G154" s="61">
        <v>2</v>
      </c>
      <c r="H154" s="28">
        <f>F154*G154/27</f>
        <v>-3.8843259259259262</v>
      </c>
      <c r="I154" s="21"/>
    </row>
    <row r="155" spans="2:15">
      <c r="B155" s="15" t="s">
        <v>185</v>
      </c>
      <c r="C155" s="150">
        <v>17.787800000000001</v>
      </c>
      <c r="D155" s="151"/>
      <c r="E155" s="62">
        <f>2559.06-2538.35-4</f>
        <v>16.710000000000036</v>
      </c>
      <c r="F155" s="28">
        <f>C155*E155</f>
        <v>297.23413800000066</v>
      </c>
      <c r="G155" s="31">
        <v>4</v>
      </c>
      <c r="H155" s="28">
        <f>F155*G155/27</f>
        <v>44.034687111111211</v>
      </c>
    </row>
    <row r="156" spans="2:15">
      <c r="B156" s="15" t="s">
        <v>186</v>
      </c>
      <c r="C156" s="144">
        <f>PI()*(16/12)^2/4</f>
        <v>1.3962634015954636</v>
      </c>
      <c r="D156" s="145"/>
      <c r="E156" s="62">
        <v>2</v>
      </c>
      <c r="F156" s="28">
        <f>-C156*E156</f>
        <v>-2.7925268031909272</v>
      </c>
      <c r="G156" s="61">
        <f>G149*8</f>
        <v>32</v>
      </c>
      <c r="H156" s="28">
        <f>F156*G156/27</f>
        <v>-3.3096613963744321</v>
      </c>
    </row>
    <row r="157" spans="2:15">
      <c r="C157" s="64"/>
      <c r="D157" s="65"/>
      <c r="E157" s="65"/>
      <c r="F157" s="21"/>
      <c r="G157" s="59"/>
      <c r="H157" s="36">
        <f>SUM(H149:H156)</f>
        <v>293.6429572789437</v>
      </c>
    </row>
    <row r="158" spans="2:15" ht="14.45" thickBot="1">
      <c r="B158" s="22"/>
      <c r="H158" s="21"/>
    </row>
    <row r="159" spans="2:15">
      <c r="B159" s="27" t="s">
        <v>96</v>
      </c>
      <c r="C159" s="27"/>
      <c r="D159" s="27"/>
      <c r="E159" s="27"/>
      <c r="F159" s="27"/>
      <c r="G159" s="27"/>
      <c r="H159" s="70"/>
    </row>
    <row r="160" spans="2:15" ht="15">
      <c r="B160" s="46"/>
      <c r="C160" s="53" t="s">
        <v>108</v>
      </c>
      <c r="D160" s="53" t="s">
        <v>109</v>
      </c>
      <c r="E160" s="53" t="s">
        <v>112</v>
      </c>
      <c r="F160" s="53" t="s">
        <v>187</v>
      </c>
      <c r="G160"/>
    </row>
    <row r="161" spans="2:8" hidden="1">
      <c r="B161" s="15" t="s">
        <v>188</v>
      </c>
      <c r="C161" s="29">
        <f>4/COS(RADIANS(C56))</f>
        <v>4.0152793501733894</v>
      </c>
      <c r="D161" s="29">
        <f>AVERAGE(2567.27,2567.1)-2561.93</f>
        <v>5.2550000000001091</v>
      </c>
      <c r="E161" s="41">
        <v>2</v>
      </c>
      <c r="F161" s="28">
        <f>C161*D161*E161</f>
        <v>42.200585970323196</v>
      </c>
      <c r="G161"/>
    </row>
    <row r="162" spans="2:8" hidden="1">
      <c r="B162" s="15" t="s">
        <v>189</v>
      </c>
      <c r="C162" s="29">
        <f>4/COS(RADIANS(C56))</f>
        <v>4.0152793501733894</v>
      </c>
      <c r="D162" s="29">
        <f>AVERAGE(2561.31,2561.48)-2556.14</f>
        <v>5.2550000000001091</v>
      </c>
      <c r="E162" s="41">
        <v>2</v>
      </c>
      <c r="F162" s="28">
        <f t="shared" ref="F162:F178" si="5">C162*D162*E162</f>
        <v>42.200585970323196</v>
      </c>
      <c r="G162"/>
    </row>
    <row r="163" spans="2:8" hidden="1">
      <c r="B163" s="15" t="s">
        <v>190</v>
      </c>
      <c r="C163" s="29">
        <f>4/COS(RADIANS(C56))</f>
        <v>4.0152793501733894</v>
      </c>
      <c r="D163" s="29">
        <f>AVERAGE(2572.44,2572.25)-AVERAGE(2567.27,2567.1)-8.75/12</f>
        <v>4.4308333333336423</v>
      </c>
      <c r="E163" s="41">
        <v>2</v>
      </c>
      <c r="F163" s="28">
        <f t="shared" si="5"/>
        <v>35.582067174789003</v>
      </c>
      <c r="G163"/>
    </row>
    <row r="164" spans="2:8" hidden="1">
      <c r="B164" s="15" t="s">
        <v>191</v>
      </c>
      <c r="C164" s="29">
        <f>4/COS(RADIANS(C56))</f>
        <v>4.0152793501733894</v>
      </c>
      <c r="D164" s="29">
        <f>AVERAGE(2566.46,2566.65)-AVERAGE(2561.31,2561.48)-8.75/12</f>
        <v>4.4308333333336423</v>
      </c>
      <c r="E164" s="41">
        <v>2</v>
      </c>
      <c r="F164" s="28">
        <f t="shared" si="5"/>
        <v>35.582067174789003</v>
      </c>
      <c r="G164"/>
    </row>
    <row r="165" spans="2:8" hidden="1">
      <c r="B165" s="15" t="s">
        <v>168</v>
      </c>
      <c r="C165" s="28">
        <f>C137</f>
        <v>12.48472064982661</v>
      </c>
      <c r="D165" s="29">
        <f>E137-1</f>
        <v>5.1900000000000546</v>
      </c>
      <c r="E165" s="41">
        <v>1</v>
      </c>
      <c r="F165" s="28">
        <f t="shared" si="5"/>
        <v>64.795700172600789</v>
      </c>
      <c r="G165"/>
    </row>
    <row r="166" spans="2:8" hidden="1">
      <c r="B166" s="15" t="s">
        <v>170</v>
      </c>
      <c r="C166" s="28">
        <f>C139</f>
        <v>12.48472064982661</v>
      </c>
      <c r="D166" s="60">
        <f>E139-1</f>
        <v>5.2850000000000819</v>
      </c>
      <c r="E166" s="41">
        <v>1</v>
      </c>
      <c r="F166" s="28">
        <f t="shared" si="5"/>
        <v>65.98174863433465</v>
      </c>
      <c r="G166"/>
    </row>
    <row r="167" spans="2:8" hidden="1">
      <c r="B167" s="15" t="s">
        <v>172</v>
      </c>
      <c r="C167" s="28">
        <f>C141</f>
        <v>12.48472064982661</v>
      </c>
      <c r="D167" s="29">
        <f>E141-1</f>
        <v>5.125</v>
      </c>
      <c r="E167" s="41">
        <v>1</v>
      </c>
      <c r="F167" s="28">
        <f t="shared" si="5"/>
        <v>63.984193330361371</v>
      </c>
      <c r="G167"/>
    </row>
    <row r="168" spans="2:8" hidden="1">
      <c r="B168" s="15" t="s">
        <v>176</v>
      </c>
      <c r="C168" s="28">
        <f>C143</f>
        <v>12.48472064982661</v>
      </c>
      <c r="D168" s="60">
        <f>E143-1</f>
        <v>5.2250000000001364</v>
      </c>
      <c r="E168" s="61">
        <v>1</v>
      </c>
      <c r="F168" s="28">
        <f t="shared" si="5"/>
        <v>65.232665395345734</v>
      </c>
      <c r="G168"/>
      <c r="H168" s="21"/>
    </row>
    <row r="169" spans="2:8" hidden="1">
      <c r="B169" s="15" t="s">
        <v>192</v>
      </c>
      <c r="C169" s="60">
        <f>2*PI()*1.75/2</f>
        <v>5.497787143782138</v>
      </c>
      <c r="D169" s="60">
        <f>E155-1</f>
        <v>15.710000000000036</v>
      </c>
      <c r="E169" s="61">
        <f>G155*2</f>
        <v>8</v>
      </c>
      <c r="F169" s="28">
        <f t="shared" si="5"/>
        <v>690.96188823054069</v>
      </c>
      <c r="G169"/>
    </row>
    <row r="170" spans="2:8" hidden="1">
      <c r="B170" s="15" t="s">
        <v>193</v>
      </c>
      <c r="C170" s="60">
        <f>2+4/12</f>
        <v>2.3333333333333335</v>
      </c>
      <c r="D170" s="28">
        <f>D169</f>
        <v>15.710000000000036</v>
      </c>
      <c r="E170" s="31">
        <f>E169</f>
        <v>8</v>
      </c>
      <c r="F170" s="28">
        <f t="shared" si="5"/>
        <v>293.25333333333401</v>
      </c>
      <c r="G170"/>
    </row>
    <row r="171" spans="2:8" hidden="1">
      <c r="B171" s="15" t="s">
        <v>194</v>
      </c>
      <c r="C171" s="60">
        <f>E152/COS(RADIANS(C56))</f>
        <v>5.019099187716737</v>
      </c>
      <c r="D171" s="60">
        <f>AVERAGE(2563.89,2564.07)-2558.89</f>
        <v>5.0900000000001455</v>
      </c>
      <c r="E171" s="61">
        <v>2</v>
      </c>
      <c r="F171" s="28">
        <f t="shared" si="5"/>
        <v>51.094429730957842</v>
      </c>
      <c r="G171"/>
      <c r="H171" s="21"/>
    </row>
    <row r="172" spans="2:8" hidden="1">
      <c r="B172" s="15" t="s">
        <v>195</v>
      </c>
      <c r="C172" s="60">
        <f>75+1.375/12</f>
        <v>75.114583333333329</v>
      </c>
      <c r="D172" s="28">
        <f>E152</f>
        <v>5</v>
      </c>
      <c r="E172" s="31">
        <v>1</v>
      </c>
      <c r="F172" s="28">
        <f t="shared" si="5"/>
        <v>375.57291666666663</v>
      </c>
      <c r="G172"/>
    </row>
    <row r="173" spans="2:8" hidden="1">
      <c r="B173" s="15" t="s">
        <v>196</v>
      </c>
      <c r="C173" s="60">
        <f>E153/COS(RADIANS(C56))</f>
        <v>4.0152793501733894</v>
      </c>
      <c r="D173" s="60">
        <f>(AVERAGE(2.5,3.2)+0.5+6*12+5.9543+3.5)/12</f>
        <v>7.0670250000000001</v>
      </c>
      <c r="E173" s="31">
        <v>2</v>
      </c>
      <c r="F173" s="28">
        <f t="shared" si="5"/>
        <v>56.752159099318199</v>
      </c>
      <c r="G173"/>
    </row>
    <row r="174" spans="2:8" hidden="1">
      <c r="B174" s="15" t="s">
        <v>197</v>
      </c>
      <c r="C174" s="71">
        <f>16+0.2844/12+2*E90</f>
        <v>16.440366666666669</v>
      </c>
      <c r="D174" s="28">
        <f>(C50-E122/2-E153/2)*2</f>
        <v>185</v>
      </c>
      <c r="E174" s="31">
        <v>8</v>
      </c>
      <c r="F174" s="28">
        <f t="shared" si="5"/>
        <v>24331.742666666672</v>
      </c>
      <c r="G174"/>
    </row>
    <row r="175" spans="2:8" hidden="1">
      <c r="B175" s="15" t="s">
        <v>198</v>
      </c>
      <c r="C175" s="28">
        <f>C89</f>
        <v>196.02083333333334</v>
      </c>
      <c r="D175" s="60">
        <f>8/12</f>
        <v>0.66666666666666663</v>
      </c>
      <c r="E175" s="41">
        <v>2</v>
      </c>
      <c r="F175" s="28">
        <f t="shared" si="5"/>
        <v>261.36111111111109</v>
      </c>
      <c r="G175"/>
    </row>
    <row r="176" spans="2:8" hidden="1">
      <c r="B176" s="15" t="s">
        <v>199</v>
      </c>
      <c r="C176" s="28">
        <f>C102</f>
        <v>20</v>
      </c>
      <c r="D176" s="28">
        <f>E102</f>
        <v>1</v>
      </c>
      <c r="E176" s="41">
        <v>4</v>
      </c>
      <c r="F176" s="28">
        <f t="shared" si="5"/>
        <v>80</v>
      </c>
      <c r="G176"/>
    </row>
    <row r="177" spans="2:8" hidden="1">
      <c r="B177" s="15" t="s">
        <v>200</v>
      </c>
      <c r="C177" s="28">
        <f>D109</f>
        <v>236.02083333333334</v>
      </c>
      <c r="D177" s="60">
        <f>SQRT(8^2+42^2)/12+0.75+3.5</f>
        <v>7.8129263877386581</v>
      </c>
      <c r="E177" s="41">
        <v>2</v>
      </c>
      <c r="F177" s="28">
        <f t="shared" si="5"/>
        <v>3688.0267936121359</v>
      </c>
      <c r="G177"/>
    </row>
    <row r="178" spans="2:8">
      <c r="B178" s="15" t="s">
        <v>201</v>
      </c>
      <c r="C178" s="28">
        <f>D42</f>
        <v>374</v>
      </c>
      <c r="D178" s="28">
        <f>4.5/12</f>
        <v>0.375</v>
      </c>
      <c r="E178" s="41">
        <v>1</v>
      </c>
      <c r="F178" s="28">
        <f t="shared" si="5"/>
        <v>140.25</v>
      </c>
      <c r="G178"/>
    </row>
    <row r="179" spans="2:8" ht="15">
      <c r="B179" s="15"/>
      <c r="C179" s="146" t="s">
        <v>145</v>
      </c>
      <c r="D179" s="147"/>
      <c r="E179" s="53" t="s">
        <v>112</v>
      </c>
      <c r="F179" s="53" t="s">
        <v>187</v>
      </c>
      <c r="G179"/>
      <c r="H179" s="21"/>
    </row>
    <row r="180" spans="2:8" hidden="1">
      <c r="B180" s="15" t="s">
        <v>202</v>
      </c>
      <c r="C180" s="152">
        <f>C120-1*(75+1.375/12)</f>
        <v>329.61681666666669</v>
      </c>
      <c r="D180" s="153"/>
      <c r="E180" s="41">
        <v>1</v>
      </c>
      <c r="F180" s="28">
        <f>C180*E180</f>
        <v>329.61681666666669</v>
      </c>
      <c r="G180"/>
    </row>
    <row r="181" spans="2:8" hidden="1">
      <c r="B181" s="15" t="s">
        <v>203</v>
      </c>
      <c r="C181" s="152">
        <f>C127-1*(75+1.375/12)</f>
        <v>329.61681666666669</v>
      </c>
      <c r="D181" s="153"/>
      <c r="E181" s="41">
        <v>1</v>
      </c>
      <c r="F181" s="28">
        <f t="shared" ref="F181:F187" si="6">C181*E181</f>
        <v>329.61681666666669</v>
      </c>
      <c r="G181"/>
    </row>
    <row r="182" spans="2:8" hidden="1">
      <c r="B182" s="15" t="s">
        <v>204</v>
      </c>
      <c r="C182" s="152">
        <f>C122-(K90/144-3.5*49/144)*G125</f>
        <v>317.18326666666667</v>
      </c>
      <c r="D182" s="153"/>
      <c r="E182" s="41">
        <v>1</v>
      </c>
      <c r="F182" s="28">
        <f t="shared" si="6"/>
        <v>317.18326666666667</v>
      </c>
      <c r="G182"/>
    </row>
    <row r="183" spans="2:8" hidden="1">
      <c r="B183" s="15" t="s">
        <v>205</v>
      </c>
      <c r="C183" s="152">
        <f>C129-(K90/144-3.5*49/144)*G132</f>
        <v>317.18326666666667</v>
      </c>
      <c r="D183" s="153"/>
      <c r="E183" s="41">
        <v>1</v>
      </c>
      <c r="F183" s="28">
        <f t="shared" si="6"/>
        <v>317.18326666666667</v>
      </c>
      <c r="G183"/>
      <c r="H183" s="21"/>
    </row>
    <row r="184" spans="2:8" hidden="1">
      <c r="B184" s="15" t="s">
        <v>206</v>
      </c>
      <c r="C184" s="152">
        <f>C152</f>
        <v>404.95359999999999</v>
      </c>
      <c r="D184" s="153"/>
      <c r="E184" s="41">
        <v>2</v>
      </c>
      <c r="F184" s="28">
        <f t="shared" si="6"/>
        <v>809.90719999999999</v>
      </c>
      <c r="G184"/>
    </row>
    <row r="185" spans="2:8" hidden="1">
      <c r="B185" s="15" t="s">
        <v>207</v>
      </c>
      <c r="C185" s="152">
        <f>C153-(K90/144-3.5*49/144)*G125</f>
        <v>316.0678197351765</v>
      </c>
      <c r="D185" s="153"/>
      <c r="E185" s="61">
        <v>2</v>
      </c>
      <c r="F185" s="28">
        <f t="shared" si="6"/>
        <v>632.135639470353</v>
      </c>
      <c r="G185"/>
    </row>
    <row r="186" spans="2:8" hidden="1">
      <c r="B186" s="15" t="s">
        <v>208</v>
      </c>
      <c r="C186" s="152">
        <f>C155</f>
        <v>17.787800000000001</v>
      </c>
      <c r="D186" s="153"/>
      <c r="E186" s="69">
        <f>G155</f>
        <v>4</v>
      </c>
      <c r="F186" s="28">
        <f>-C186*E186</f>
        <v>-71.151200000000003</v>
      </c>
      <c r="G186"/>
    </row>
    <row r="187" spans="2:8">
      <c r="B187" s="15" t="s">
        <v>209</v>
      </c>
      <c r="C187" s="152">
        <f>D41-1*(188+11.75/12+170+3.75/12)</f>
        <v>5753.708333333333</v>
      </c>
      <c r="D187" s="153"/>
      <c r="E187" s="41">
        <v>1</v>
      </c>
      <c r="F187" s="28">
        <f t="shared" si="6"/>
        <v>5753.708333333333</v>
      </c>
      <c r="G187"/>
      <c r="H187" s="21"/>
    </row>
    <row r="188" spans="2:8">
      <c r="B188" s="22"/>
      <c r="C188" s="21"/>
      <c r="D188" s="42"/>
      <c r="E188" s="20"/>
      <c r="F188" s="36">
        <f>F178+F187</f>
        <v>5893.958333333333</v>
      </c>
      <c r="G188"/>
    </row>
    <row r="189" spans="2:8">
      <c r="B189" s="22"/>
      <c r="C189" s="21"/>
      <c r="D189" s="42"/>
    </row>
    <row r="190" spans="2:8" ht="14.45" thickBot="1">
      <c r="B190" s="22"/>
      <c r="F190" s="21"/>
    </row>
    <row r="191" spans="2:8">
      <c r="B191" s="70" t="s">
        <v>210</v>
      </c>
      <c r="C191" s="70"/>
      <c r="D191" s="70"/>
      <c r="E191" s="70"/>
      <c r="F191" s="70"/>
      <c r="G191" s="70"/>
      <c r="H191" s="70"/>
    </row>
    <row r="192" spans="2:8">
      <c r="B192" s="15"/>
      <c r="C192" s="15" t="s">
        <v>211</v>
      </c>
      <c r="D192"/>
      <c r="E192"/>
      <c r="F192"/>
    </row>
    <row r="193" spans="2:6">
      <c r="B193" s="15" t="s">
        <v>212</v>
      </c>
      <c r="C193" s="28">
        <f>C55*(C102*G102+C89)/9</f>
        <v>1888.1666666666667</v>
      </c>
      <c r="D193"/>
      <c r="E193"/>
      <c r="F193"/>
    </row>
    <row r="194" spans="2:6">
      <c r="B194" s="22"/>
    </row>
    <row r="195" spans="2:6">
      <c r="B195" s="22"/>
    </row>
  </sheetData>
  <mergeCells count="38">
    <mergeCell ref="C184:D184"/>
    <mergeCell ref="C185:D185"/>
    <mergeCell ref="C186:D186"/>
    <mergeCell ref="C187:D187"/>
    <mergeCell ref="C179:D179"/>
    <mergeCell ref="C180:D180"/>
    <mergeCell ref="C181:D181"/>
    <mergeCell ref="C182:D182"/>
    <mergeCell ref="C183:D183"/>
    <mergeCell ref="C156:D156"/>
    <mergeCell ref="C96:D96"/>
    <mergeCell ref="C97:D97"/>
    <mergeCell ref="C154:D154"/>
    <mergeCell ref="C119:D119"/>
    <mergeCell ref="C120:D120"/>
    <mergeCell ref="C121:D121"/>
    <mergeCell ref="C122:D122"/>
    <mergeCell ref="C126:D126"/>
    <mergeCell ref="C151:D151"/>
    <mergeCell ref="C155:D155"/>
    <mergeCell ref="C153:D153"/>
    <mergeCell ref="C152:D152"/>
    <mergeCell ref="E80:G80"/>
    <mergeCell ref="E112:G112"/>
    <mergeCell ref="A7:H8"/>
    <mergeCell ref="A9:D9"/>
    <mergeCell ref="E147:G147"/>
    <mergeCell ref="E118:G118"/>
    <mergeCell ref="E135:G135"/>
    <mergeCell ref="E107:G107"/>
    <mergeCell ref="E100:G100"/>
    <mergeCell ref="E9:G9"/>
    <mergeCell ref="E64:G64"/>
    <mergeCell ref="E73:G73"/>
    <mergeCell ref="E59:G59"/>
    <mergeCell ref="C127:D127"/>
    <mergeCell ref="C128:D128"/>
    <mergeCell ref="C129:D129"/>
  </mergeCells>
  <phoneticPr fontId="33" type="noConversion"/>
  <pageMargins left="0.7" right="0.7" top="0.75" bottom="0.75" header="0.3" footer="0.3"/>
  <pageSetup scale="59" fitToHeight="0" orientation="portrait" r:id="rId1"/>
  <headerFooter alignWithMargins="0">
    <oddFooter>&amp;LParametrix&amp;C&amp;Z
&amp;F&amp;RPAGE: &amp;P</oddFooter>
  </headerFooter>
  <rowBreaks count="2" manualBreakCount="2">
    <brk id="79" max="7" man="1"/>
    <brk id="158" max="7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89A00-1403-41B2-9715-613A27C2E44D}">
  <sheetPr codeName="Sheet2"/>
  <dimension ref="A1:O26"/>
  <sheetViews>
    <sheetView zoomScaleNormal="100" workbookViewId="0">
      <selection activeCell="B30" sqref="B30"/>
    </sheetView>
  </sheetViews>
  <sheetFormatPr defaultRowHeight="13.15"/>
  <cols>
    <col min="1" max="1" width="10.5703125" bestFit="1" customWidth="1"/>
    <col min="2" max="2" width="58.140625" customWidth="1"/>
    <col min="3" max="8" width="14.7109375" customWidth="1"/>
  </cols>
  <sheetData>
    <row r="1" spans="1:15" ht="13.9">
      <c r="A1" s="1"/>
      <c r="B1" s="1"/>
      <c r="C1" s="2" t="s">
        <v>0</v>
      </c>
      <c r="D1" s="3" t="s">
        <v>1</v>
      </c>
      <c r="E1" s="3"/>
      <c r="F1" s="4" t="s">
        <v>2</v>
      </c>
      <c r="G1" s="3"/>
      <c r="H1" s="5"/>
    </row>
    <row r="2" spans="1:15" ht="13.9">
      <c r="A2" s="1"/>
      <c r="B2" s="1"/>
      <c r="C2" s="2" t="s">
        <v>3</v>
      </c>
      <c r="D2" s="3"/>
      <c r="E2" s="3"/>
      <c r="F2" s="4" t="s">
        <v>4</v>
      </c>
      <c r="G2" s="3"/>
      <c r="H2" s="5"/>
    </row>
    <row r="3" spans="1:15" ht="13.9">
      <c r="A3" s="1"/>
      <c r="B3" s="1"/>
      <c r="C3" s="2" t="s">
        <v>5</v>
      </c>
      <c r="D3" s="3" t="s">
        <v>6</v>
      </c>
      <c r="E3" s="3"/>
      <c r="F3" s="4" t="s">
        <v>7</v>
      </c>
      <c r="G3" s="7">
        <v>44413</v>
      </c>
      <c r="H3" s="5"/>
    </row>
    <row r="4" spans="1:15" ht="13.9">
      <c r="A4" s="1"/>
      <c r="B4" s="1"/>
      <c r="C4" s="2" t="s">
        <v>8</v>
      </c>
      <c r="D4" s="3"/>
      <c r="E4" s="3"/>
      <c r="F4" s="4" t="s">
        <v>7</v>
      </c>
      <c r="G4" s="7"/>
      <c r="H4" s="8"/>
    </row>
    <row r="5" spans="1:15" ht="13.9">
      <c r="A5" s="1"/>
      <c r="B5" s="1"/>
      <c r="C5" s="9" t="s">
        <v>9</v>
      </c>
      <c r="D5" s="10" t="s">
        <v>213</v>
      </c>
      <c r="E5" s="10"/>
      <c r="F5" s="11"/>
      <c r="G5" s="12"/>
      <c r="H5" s="6"/>
    </row>
    <row r="6" spans="1:15" ht="13.9">
      <c r="A6" s="1"/>
      <c r="B6" s="1"/>
      <c r="C6" s="9"/>
      <c r="D6" s="13"/>
      <c r="E6" s="13"/>
      <c r="F6" s="11"/>
      <c r="G6" s="12"/>
      <c r="H6" s="6"/>
    </row>
    <row r="7" spans="1:15" ht="13.9">
      <c r="A7" s="1"/>
      <c r="B7" s="142" t="s">
        <v>214</v>
      </c>
      <c r="C7" s="142"/>
      <c r="D7" s="142"/>
      <c r="E7" s="142"/>
      <c r="F7" s="142"/>
      <c r="G7" s="142"/>
      <c r="H7" s="142"/>
    </row>
    <row r="8" spans="1:15" ht="14.45" thickBot="1">
      <c r="A8" s="1"/>
      <c r="B8" s="154"/>
      <c r="C8" s="154"/>
      <c r="D8" s="154"/>
      <c r="E8" s="154"/>
      <c r="F8" s="154"/>
      <c r="G8" s="154"/>
      <c r="H8" s="154"/>
    </row>
    <row r="9" spans="1:15" ht="13.9">
      <c r="A9" s="1"/>
      <c r="B9" s="141" t="s">
        <v>12</v>
      </c>
      <c r="C9" s="141"/>
      <c r="D9" s="141"/>
      <c r="E9" s="141"/>
      <c r="F9" s="141"/>
      <c r="G9" s="141"/>
      <c r="H9" s="70"/>
    </row>
    <row r="10" spans="1:15" ht="18" thickBot="1">
      <c r="A10" s="88"/>
      <c r="B10" s="89"/>
      <c r="C10" s="90"/>
      <c r="D10" s="94"/>
      <c r="E10" s="94"/>
      <c r="F10" s="95"/>
      <c r="G10" s="14"/>
      <c r="H10" s="14"/>
    </row>
    <row r="11" spans="1:15" ht="18.600000000000001" thickBot="1">
      <c r="A11" s="91" t="s">
        <v>13</v>
      </c>
      <c r="B11" s="91" t="s">
        <v>14</v>
      </c>
      <c r="C11" s="91" t="s">
        <v>15</v>
      </c>
      <c r="D11" s="91" t="s">
        <v>16</v>
      </c>
      <c r="E11" s="92" t="s">
        <v>17</v>
      </c>
      <c r="F11" s="92" t="s">
        <v>18</v>
      </c>
      <c r="G11" s="14"/>
      <c r="H11" s="14"/>
    </row>
    <row r="12" spans="1:15" ht="13.9" hidden="1">
      <c r="A12" s="97" t="s">
        <v>19</v>
      </c>
      <c r="B12" s="119" t="s">
        <v>107</v>
      </c>
      <c r="C12" s="98" t="s">
        <v>21</v>
      </c>
      <c r="D12" s="103">
        <f>ROUNDUP(H22,0)</f>
        <v>0</v>
      </c>
      <c r="E12" s="100">
        <v>30</v>
      </c>
      <c r="F12" s="101">
        <f t="shared" ref="F12:F17" si="0">D12*E12</f>
        <v>0</v>
      </c>
      <c r="G12" s="14" t="s">
        <v>22</v>
      </c>
      <c r="H12" s="14"/>
    </row>
    <row r="13" spans="1:15" ht="13.9" hidden="1">
      <c r="A13" s="97" t="s">
        <v>23</v>
      </c>
      <c r="B13" s="119" t="s">
        <v>24</v>
      </c>
      <c r="C13" s="98" t="s">
        <v>21</v>
      </c>
      <c r="D13" s="103">
        <f>ROUNDUP(H26,0)</f>
        <v>0</v>
      </c>
      <c r="E13" s="100">
        <v>50</v>
      </c>
      <c r="F13" s="101">
        <f t="shared" si="0"/>
        <v>0</v>
      </c>
      <c r="G13" s="14"/>
      <c r="H13" s="14"/>
    </row>
    <row r="14" spans="1:15" ht="13.9">
      <c r="A14" s="97" t="s">
        <v>68</v>
      </c>
      <c r="B14" s="128" t="s">
        <v>69</v>
      </c>
      <c r="C14" s="107" t="s">
        <v>37</v>
      </c>
      <c r="D14" s="103">
        <f>ROUNDUP(D15/9-380.208*(2+4/12)/9,0)</f>
        <v>187</v>
      </c>
      <c r="E14" s="100">
        <v>30</v>
      </c>
      <c r="F14" s="101">
        <f t="shared" si="0"/>
        <v>5610</v>
      </c>
      <c r="G14" s="14"/>
      <c r="H14" s="14"/>
      <c r="I14" s="14"/>
      <c r="J14" s="14"/>
      <c r="K14" s="14"/>
      <c r="L14" s="14"/>
      <c r="M14" s="68"/>
      <c r="O14" s="137"/>
    </row>
    <row r="15" spans="1:15" ht="13.9">
      <c r="A15" s="109" t="s">
        <v>215</v>
      </c>
      <c r="B15" s="132" t="s">
        <v>216</v>
      </c>
      <c r="C15" s="110" t="s">
        <v>85</v>
      </c>
      <c r="D15" s="111">
        <f>ROUNDUP(2594.0554-28.0742,0)</f>
        <v>2566</v>
      </c>
      <c r="E15" s="113">
        <v>65</v>
      </c>
      <c r="F15" s="101">
        <f t="shared" si="0"/>
        <v>166790</v>
      </c>
      <c r="G15" s="14"/>
      <c r="H15" s="14"/>
    </row>
    <row r="16" spans="1:15" ht="13.9">
      <c r="A16" s="109" t="s">
        <v>217</v>
      </c>
      <c r="B16" s="132" t="s">
        <v>218</v>
      </c>
      <c r="C16" s="110" t="s">
        <v>32</v>
      </c>
      <c r="D16" s="111">
        <f>ROUNDUP(380+5.836/12,0)</f>
        <v>381</v>
      </c>
      <c r="E16" s="113">
        <v>120</v>
      </c>
      <c r="F16" s="101">
        <f t="shared" si="0"/>
        <v>45720</v>
      </c>
      <c r="G16" s="14"/>
      <c r="H16" s="14"/>
    </row>
    <row r="17" spans="1:8" ht="14.45" thickBot="1">
      <c r="A17" s="115" t="s">
        <v>95</v>
      </c>
      <c r="B17" s="133" t="s">
        <v>96</v>
      </c>
      <c r="C17" s="116" t="s">
        <v>85</v>
      </c>
      <c r="D17" s="126">
        <f>ROUNDUP(F26,0)</f>
        <v>3506</v>
      </c>
      <c r="E17" s="117">
        <v>3</v>
      </c>
      <c r="F17" s="118">
        <f t="shared" si="0"/>
        <v>10518</v>
      </c>
      <c r="G17" s="14"/>
      <c r="H17" s="14"/>
    </row>
    <row r="20" spans="1:8" ht="15">
      <c r="B20" s="15"/>
      <c r="C20" s="146" t="s">
        <v>145</v>
      </c>
      <c r="D20" s="147"/>
      <c r="E20" s="53" t="s">
        <v>112</v>
      </c>
      <c r="F20" s="53" t="s">
        <v>187</v>
      </c>
    </row>
    <row r="21" spans="1:8" ht="13.9">
      <c r="B21" s="15" t="s">
        <v>219</v>
      </c>
      <c r="C21" s="152">
        <v>690.86929999999995</v>
      </c>
      <c r="D21" s="153"/>
      <c r="E21" s="41">
        <v>1</v>
      </c>
      <c r="F21" s="28">
        <f>C21*E21</f>
        <v>690.86929999999995</v>
      </c>
    </row>
    <row r="22" spans="1:8" ht="15">
      <c r="B22" s="46"/>
      <c r="C22" s="53" t="s">
        <v>108</v>
      </c>
      <c r="D22" s="53" t="s">
        <v>109</v>
      </c>
      <c r="E22" s="53" t="s">
        <v>112</v>
      </c>
      <c r="F22" s="53" t="s">
        <v>187</v>
      </c>
    </row>
    <row r="23" spans="1:8" ht="13.9">
      <c r="B23" s="15" t="s">
        <v>220</v>
      </c>
      <c r="C23" s="29">
        <f>380+2.7999/12</f>
        <v>380.23332499999998</v>
      </c>
      <c r="D23" s="29">
        <v>1</v>
      </c>
      <c r="E23" s="41">
        <v>1</v>
      </c>
      <c r="F23" s="28">
        <f>C23*D23*E23</f>
        <v>380.23332499999998</v>
      </c>
    </row>
    <row r="24" spans="1:8" ht="13.9">
      <c r="B24" s="15" t="s">
        <v>201</v>
      </c>
      <c r="C24" s="28">
        <f>D16</f>
        <v>381</v>
      </c>
      <c r="D24" s="29">
        <f>2+8/12+4.5/12+4/12+1</f>
        <v>4.375</v>
      </c>
      <c r="E24" s="41">
        <v>1</v>
      </c>
      <c r="F24" s="28">
        <f>C24*D24*E24</f>
        <v>1666.875</v>
      </c>
    </row>
    <row r="25" spans="1:8" ht="13.9">
      <c r="B25" s="15" t="s">
        <v>221</v>
      </c>
      <c r="C25" s="28">
        <f>D16</f>
        <v>381</v>
      </c>
      <c r="D25" s="29">
        <f>(1^2+(1.5/12)^2)^0.5*2</f>
        <v>2.0155644370746373</v>
      </c>
      <c r="E25" s="41">
        <v>1</v>
      </c>
      <c r="F25" s="28">
        <f>C25*D25*E25</f>
        <v>767.93005052543685</v>
      </c>
    </row>
    <row r="26" spans="1:8" ht="13.9">
      <c r="F26" s="28">
        <f>SUM(F21:F25)</f>
        <v>3505.9076755254368</v>
      </c>
    </row>
  </sheetData>
  <mergeCells count="5">
    <mergeCell ref="B7:H8"/>
    <mergeCell ref="B9:D9"/>
    <mergeCell ref="E9:G9"/>
    <mergeCell ref="C20:D20"/>
    <mergeCell ref="C21:D21"/>
  </mergeCells>
  <pageMargins left="0.7" right="0.7" top="0.75" bottom="0.75" header="0.3" footer="0.3"/>
  <pageSetup scale="58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?mso-contentType ?>
<SharedContentType xmlns="Microsoft.SharePoint.Taxonomy.ContentTypeSync" SourceId="3bee4c5c-8f43-4f7f-9637-07f983ecca3d" ContentTypeId="0x0101007BD61AFCC8A643B8924AB3F7EE1826010208" PreviousValue="false"/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Project Excel Workbook" ma:contentTypeID="0x0101007BD61AFCC8A643B8924AB3F7EE182601020800C0B9CDECDE076E4CB20CFF0535C35BE8" ma:contentTypeVersion="22" ma:contentTypeDescription="Base content type for project documents" ma:contentTypeScope="" ma:versionID="49b6114c0779aec72c8f5022ff954722">
  <xsd:schema xmlns:xsd="http://www.w3.org/2001/XMLSchema" xmlns:xs="http://www.w3.org/2001/XMLSchema" xmlns:p="http://schemas.microsoft.com/office/2006/metadata/properties" xmlns:ns1="http://schemas.microsoft.com/sharepoint/v3" xmlns:ns2="980b2c76-4eb4-4926-991a-bb246786b55e" targetNamespace="http://schemas.microsoft.com/office/2006/metadata/properties" ma:root="true" ma:fieldsID="cfed98a51d0cc364500b5c61fc19c04b" ns1:_="" ns2:_="">
    <xsd:import namespace="http://schemas.microsoft.com/sharepoint/v3"/>
    <xsd:import namespace="980b2c76-4eb4-4926-991a-bb246786b55e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2:TaxCatchAll" minOccurs="0"/>
                <xsd:element ref="ns2:TaxCatchAllLabel" minOccurs="0"/>
                <xsd:element ref="ns2:TaxKeywordTaxHTField" minOccurs="0"/>
                <xsd:element ref="ns1:AverageRating" minOccurs="0"/>
                <xsd:element ref="ns1:RatingCount" minOccurs="0"/>
                <xsd:element ref="ns1:RatedBy" minOccurs="0"/>
                <xsd:element ref="ns1:Ratings" minOccurs="0"/>
                <xsd:element ref="ns1:LikesCount" minOccurs="0"/>
                <xsd:element ref="ns1:LikedB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AverageRating" ma:index="15" nillable="true" ma:displayName="Rating (0-5)" ma:decimals="2" ma:description="Average value of all the ratings that have been submitted" ma:internalName="AverageRating" ma:readOnly="true">
      <xsd:simpleType>
        <xsd:restriction base="dms:Number"/>
      </xsd:simpleType>
    </xsd:element>
    <xsd:element name="RatingCount" ma:index="16" nillable="true" ma:displayName="Number of Ratings" ma:decimals="0" ma:description="Number of ratings submitted" ma:internalName="RatingCount" ma:readOnly="true">
      <xsd:simpleType>
        <xsd:restriction base="dms:Number"/>
      </xsd:simpleType>
    </xsd:element>
    <xsd:element name="RatedBy" ma:index="17" nillable="true" ma:displayName="Rated By" ma:description="Users rated the item." ma:hidden="true" ma:list="UserInfo" ma:internalName="RatedBy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Ratings" ma:index="18" nillable="true" ma:displayName="User ratings" ma:description="User ratings for the item" ma:hidden="true" ma:internalName="Ratings">
      <xsd:simpleType>
        <xsd:restriction base="dms:Note"/>
      </xsd:simpleType>
    </xsd:element>
    <xsd:element name="LikesCount" ma:index="19" nillable="true" ma:displayName="Number of Likes" ma:internalName="LikesCount">
      <xsd:simpleType>
        <xsd:restriction base="dms:Unknown"/>
      </xsd:simpleType>
    </xsd:element>
    <xsd:element name="LikedBy" ma:index="20" nillable="true" ma:displayName="Liked By" ma:hidden="true" ma:list="UserInfo" ma:internalName="LikedBy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80b2c76-4eb4-4926-991a-bb246786b55e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TaxCatchAll" ma:index="11" nillable="true" ma:displayName="Taxonomy Catch All Column" ma:description="" ma:hidden="true" ma:list="{be7c68a5-4138-4431-898f-e85597ccf636}" ma:internalName="TaxCatchAll" ma:showField="CatchAllData" ma:web="0d5729ad-030c-4dc6-9525-94211034971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2" nillable="true" ma:displayName="Taxonomy Catch All Column1" ma:description="" ma:hidden="true" ma:list="{be7c68a5-4138-4431-898f-e85597ccf636}" ma:internalName="TaxCatchAllLabel" ma:readOnly="true" ma:showField="CatchAllDataLabel" ma:web="0d5729ad-030c-4dc6-9525-94211034971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KeywordTaxHTField" ma:index="13" nillable="true" ma:taxonomy="true" ma:internalName="TaxKeywordTaxHTField" ma:taxonomyFieldName="TaxKeyword" ma:displayName="Enterprise Keywords" ma:fieldId="{23f27201-bee3-471e-b2e7-b64fd8b7ca38}" ma:taxonomyMulti="true" ma:sspId="3bee4c5c-8f43-4f7f-9637-07f983ecca3d" ma:termSetId="00000000-0000-0000-0000-000000000000" ma:anchorId="00000000-0000-0000-0000-000000000000" ma:open="true" ma:isKeyword="tru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5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KeywordTaxHTField xmlns="980b2c76-4eb4-4926-991a-bb246786b55e">
      <Terms xmlns="http://schemas.microsoft.com/office/infopath/2007/PartnerControls"/>
    </TaxKeywordTaxHTField>
    <LikesCount xmlns="http://schemas.microsoft.com/sharepoint/v3" xsi:nil="true"/>
    <Ratings xmlns="http://schemas.microsoft.com/sharepoint/v3" xsi:nil="true"/>
    <LikedBy xmlns="http://schemas.microsoft.com/sharepoint/v3">
      <UserInfo>
        <DisplayName/>
        <AccountId xsi:nil="true"/>
        <AccountType/>
      </UserInfo>
    </LikedBy>
    <TaxCatchAll xmlns="980b2c76-4eb4-4926-991a-bb246786b55e"/>
    <RatedBy xmlns="http://schemas.microsoft.com/sharepoint/v3">
      <UserInfo>
        <DisplayName/>
        <AccountId xsi:nil="true"/>
        <AccountType/>
      </UserInfo>
    </RatedBy>
    <_dlc_DocId xmlns="980b2c76-4eb4-4926-991a-bb246786b55e">388004-1160128281-653</_dlc_DocId>
    <_dlc_DocIdUrl xmlns="980b2c76-4eb4-4926-991a-bb246786b55e">
      <Url>https://mottmac.sharepoint.com/teams/pj-b5471/_layouts/15/DocIdRedir.aspx?ID=388004-1160128281-653</Url>
      <Description>388004-1160128281-653</Description>
    </_dlc_DocIdUrl>
  </documentManagement>
</p:properties>
</file>

<file path=customXml/itemProps1.xml><?xml version="1.0" encoding="utf-8"?>
<ds:datastoreItem xmlns:ds="http://schemas.openxmlformats.org/officeDocument/2006/customXml" ds:itemID="{32A3F1C5-F61C-4D2E-8264-1E76E1ED6586}"/>
</file>

<file path=customXml/itemProps2.xml><?xml version="1.0" encoding="utf-8"?>
<ds:datastoreItem xmlns:ds="http://schemas.openxmlformats.org/officeDocument/2006/customXml" ds:itemID="{0209B3FF-3806-4355-A787-D9F123A2F31A}"/>
</file>

<file path=customXml/itemProps3.xml><?xml version="1.0" encoding="utf-8"?>
<ds:datastoreItem xmlns:ds="http://schemas.openxmlformats.org/officeDocument/2006/customXml" ds:itemID="{925C07EA-662F-464C-BF84-9AFBBFDF817B}"/>
</file>

<file path=customXml/itemProps4.xml><?xml version="1.0" encoding="utf-8"?>
<ds:datastoreItem xmlns:ds="http://schemas.openxmlformats.org/officeDocument/2006/customXml" ds:itemID="{2F1D9525-3B99-4679-90F4-B477451F08EB}"/>
</file>

<file path=customXml/itemProps5.xml><?xml version="1.0" encoding="utf-8"?>
<ds:datastoreItem xmlns:ds="http://schemas.openxmlformats.org/officeDocument/2006/customXml" ds:itemID="{8816ED57-1CAA-40D3-B303-1448435EEAB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Hatch Mott MacDonald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sli44465</dc:creator>
  <cp:keywords/>
  <dc:description/>
  <cp:lastModifiedBy>Izzy Timms</cp:lastModifiedBy>
  <cp:revision/>
  <dcterms:created xsi:type="dcterms:W3CDTF">2008-01-13T22:08:26Z</dcterms:created>
  <dcterms:modified xsi:type="dcterms:W3CDTF">2023-02-14T18:05:17Z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0x0101007BD61AFCC8A643B8924AB3F7EE182601020800C0B9CDECDE076E4CB20CFF0535C35BE8</vt:lpwstr>
  </property>
  <property fmtid="{D5CDD505-2E9C-101B-9397-08002B2CF9AE}" pid="3" name="_dlc_DocIdItemGuid">
    <vt:lpwstr>a486c2c5-7fbe-40a5-986d-d2297ddb02ef</vt:lpwstr>
  </property>
  <property fmtid="{D5CDD505-2E9C-101B-9397-08002B2CF9AE}" pid="4" name="TaxKeyword">
    <vt:lpwstr/>
  </property>
  <property fmtid="{D5CDD505-2E9C-101B-9397-08002B2CF9AE}" pid="5" name="SharedWithUsers">
    <vt:lpwstr>33;#Prothero, Judy</vt:lpwstr>
  </property>
</Properties>
</file>