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28a55d12aef49c/Career_Management_rev1/Oregon Lottery/"/>
    </mc:Choice>
  </mc:AlternateContent>
  <xr:revisionPtr revIDLastSave="36" documentId="8_{4238D8AC-8C3F-491E-A8A0-7D788B7AC60D}" xr6:coauthVersionLast="47" xr6:coauthVersionMax="47" xr10:uidLastSave="{6C2CFDD6-7797-4546-AD37-58139658902A}"/>
  <bookViews>
    <workbookView xWindow="28680" yWindow="-120" windowWidth="29040" windowHeight="15720" tabRatio="656" xr2:uid="{00000000-000D-0000-FFFF-FFFF00000000}"/>
  </bookViews>
  <sheets>
    <sheet name="Summary 11PM-5AM" sheetId="2" r:id="rId1"/>
    <sheet name="Assumptions 11PM-5AM" sheetId="3" r:id="rId2"/>
    <sheet name="Summary 12AM-6AM" sheetId="4" r:id="rId3"/>
    <sheet name="Assumptions 12AM-6AM" sheetId="5" r:id="rId4"/>
    <sheet name="Summary Variance" sheetId="7" r:id="rId5"/>
    <sheet name="Key" sheetId="6" state="hidden" r:id="rId6"/>
  </sheets>
  <externalReferences>
    <externalReference r:id="rId7"/>
  </externalReferences>
  <definedNames>
    <definedName name="EndTime">[1]Roseburg!$B$1361</definedName>
    <definedName name="Fiscal_Year">[1]Roseburg!$B$1363</definedName>
    <definedName name="NvsASD">"V2017-04-17"</definedName>
    <definedName name="NvsAutoDrillOk">"VN"</definedName>
    <definedName name="NvsElapsedTime">0.000300925923511386</definedName>
    <definedName name="NvsEndTime">42868.0470601852</definedName>
    <definedName name="NvsInstLang">"VENG"</definedName>
    <definedName name="NvsInstSpec">"%,FDEPTID,V243"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"%,X,RZT.ACCOUNT.,CZF.."</definedName>
    <definedName name="NvsPanelBusUnit">"V"</definedName>
    <definedName name="NvsPanelEffdt">"V2007-06-28"</definedName>
    <definedName name="NvsPanelSetid">"VSMC"</definedName>
    <definedName name="NvsReqBU">"VSMC"</definedName>
    <definedName name="NvsReqBUOnly">"VN"</definedName>
    <definedName name="NvsTransLed">"VN"</definedName>
    <definedName name="NvsTreeASD">"V2017-04-17"</definedName>
    <definedName name="NvsValTbl.BUSINESS_UNIT">"BUS_UNIT_TBL_FS"</definedName>
    <definedName name="Period">[1]Roseburg!$B$1362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1" hidden="1">2</definedName>
    <definedName name="solver_drv" localSheetId="3" hidden="1">2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0" hidden="1">1</definedName>
    <definedName name="solver_eng" localSheetId="2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mip" localSheetId="1" hidden="1">2147483647</definedName>
    <definedName name="solver_mip" localSheetId="3" hidden="1">2147483647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0" hidden="1">0</definedName>
    <definedName name="solver_num" localSheetId="2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1" hidden="1">'Assumptions 11PM-5AM'!#REF!</definedName>
    <definedName name="solver_opt" localSheetId="3" hidden="1">'Assumptions 12AM-6AM'!#REF!</definedName>
    <definedName name="solver_opt" localSheetId="0" hidden="1">'Summary 11PM-5AM'!$D$18</definedName>
    <definedName name="solver_opt" localSheetId="2" hidden="1">'Summary 12AM-6AM'!$D$18</definedName>
    <definedName name="solver_opt" localSheetId="4" hidden="1">'Summary Variance'!$D$18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1" hidden="1">2</definedName>
    <definedName name="solver_rbv" localSheetId="3" hidden="1">2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lx" localSheetId="1" hidden="1">2</definedName>
    <definedName name="solver_rlx" localSheetId="3" hidden="1">2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1" hidden="1">2</definedName>
    <definedName name="solver_scl" localSheetId="3" hidden="1">2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1" hidden="1">3</definedName>
    <definedName name="solver_typ" localSheetId="3" hidden="1">3</definedName>
    <definedName name="solver_typ" localSheetId="0" hidden="1">3</definedName>
    <definedName name="solver_typ" localSheetId="2" hidden="1">3</definedName>
    <definedName name="solver_typ" localSheetId="4" hidden="1">3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" i="7" l="1"/>
  <c r="P24" i="7"/>
  <c r="O24" i="7"/>
  <c r="N24" i="7"/>
  <c r="M24" i="7"/>
  <c r="L24" i="7"/>
  <c r="K24" i="7"/>
  <c r="J24" i="7"/>
  <c r="I24" i="7"/>
  <c r="H24" i="7"/>
  <c r="G24" i="7"/>
  <c r="F24" i="7"/>
  <c r="E24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S10" i="7"/>
  <c r="R10" i="7"/>
  <c r="R14" i="7" s="1"/>
  <c r="Q10" i="7"/>
  <c r="P10" i="7"/>
  <c r="O10" i="7"/>
  <c r="O14" i="7" s="1"/>
  <c r="N10" i="7"/>
  <c r="N14" i="7" s="1"/>
  <c r="M10" i="7"/>
  <c r="M14" i="7" s="1"/>
  <c r="L10" i="7"/>
  <c r="K10" i="7"/>
  <c r="K14" i="7" s="1"/>
  <c r="J10" i="7"/>
  <c r="J14" i="7" s="1"/>
  <c r="I10" i="7"/>
  <c r="I14" i="7" s="1"/>
  <c r="H10" i="7"/>
  <c r="H14" i="7" s="1"/>
  <c r="G10" i="7"/>
  <c r="G14" i="7" s="1"/>
  <c r="F10" i="7"/>
  <c r="F14" i="7" s="1"/>
  <c r="E10" i="7"/>
  <c r="E14" i="7" s="1"/>
  <c r="D10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S14" i="7"/>
  <c r="Q14" i="7"/>
  <c r="P14" i="7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J124" i="5"/>
  <c r="I124" i="5"/>
  <c r="H124" i="5"/>
  <c r="G124" i="5"/>
  <c r="F124" i="5"/>
  <c r="J123" i="5"/>
  <c r="I123" i="5"/>
  <c r="H123" i="5"/>
  <c r="G123" i="5"/>
  <c r="F123" i="5"/>
  <c r="J122" i="5"/>
  <c r="I122" i="5"/>
  <c r="H122" i="5"/>
  <c r="G122" i="5"/>
  <c r="F122" i="5"/>
  <c r="K122" i="5" s="1"/>
  <c r="J121" i="5"/>
  <c r="I121" i="5"/>
  <c r="H121" i="5"/>
  <c r="G121" i="5"/>
  <c r="F121" i="5"/>
  <c r="K121" i="5" s="1"/>
  <c r="J120" i="5"/>
  <c r="I120" i="5"/>
  <c r="H120" i="5"/>
  <c r="G120" i="5"/>
  <c r="F120" i="5"/>
  <c r="J119" i="5"/>
  <c r="I119" i="5"/>
  <c r="H119" i="5"/>
  <c r="G119" i="5"/>
  <c r="F119" i="5"/>
  <c r="J118" i="5"/>
  <c r="I118" i="5"/>
  <c r="H118" i="5"/>
  <c r="G118" i="5"/>
  <c r="F118" i="5"/>
  <c r="I114" i="5"/>
  <c r="H114" i="5"/>
  <c r="G114" i="5"/>
  <c r="F114" i="5"/>
  <c r="J113" i="5"/>
  <c r="J114" i="5" s="1"/>
  <c r="I113" i="5"/>
  <c r="H113" i="5"/>
  <c r="G113" i="5"/>
  <c r="F113" i="5"/>
  <c r="K112" i="5"/>
  <c r="K111" i="5"/>
  <c r="K110" i="5"/>
  <c r="K109" i="5"/>
  <c r="K108" i="5"/>
  <c r="K107" i="5"/>
  <c r="K106" i="5"/>
  <c r="J102" i="5"/>
  <c r="I102" i="5"/>
  <c r="H102" i="5"/>
  <c r="G102" i="5"/>
  <c r="K102" i="5" s="1"/>
  <c r="F102" i="5"/>
  <c r="J101" i="5"/>
  <c r="I101" i="5"/>
  <c r="H101" i="5"/>
  <c r="G101" i="5"/>
  <c r="F101" i="5"/>
  <c r="K101" i="5" s="1"/>
  <c r="K100" i="5"/>
  <c r="K99" i="5"/>
  <c r="K98" i="5"/>
  <c r="K97" i="5"/>
  <c r="K96" i="5"/>
  <c r="K95" i="5"/>
  <c r="K94" i="5"/>
  <c r="I90" i="5"/>
  <c r="H90" i="5"/>
  <c r="G90" i="5"/>
  <c r="F90" i="5"/>
  <c r="J89" i="5"/>
  <c r="J90" i="5" s="1"/>
  <c r="I89" i="5"/>
  <c r="H89" i="5"/>
  <c r="G89" i="5"/>
  <c r="F89" i="5"/>
  <c r="K89" i="5" s="1"/>
  <c r="K88" i="5"/>
  <c r="K87" i="5"/>
  <c r="K86" i="5"/>
  <c r="K85" i="5"/>
  <c r="K84" i="5"/>
  <c r="K83" i="5"/>
  <c r="K82" i="5"/>
  <c r="J78" i="5"/>
  <c r="I78" i="5"/>
  <c r="H78" i="5"/>
  <c r="G78" i="5"/>
  <c r="K78" i="5" s="1"/>
  <c r="F78" i="5"/>
  <c r="J77" i="5"/>
  <c r="I77" i="5"/>
  <c r="H77" i="5"/>
  <c r="G77" i="5"/>
  <c r="F77" i="5"/>
  <c r="K76" i="5"/>
  <c r="K75" i="5"/>
  <c r="K74" i="5"/>
  <c r="K73" i="5"/>
  <c r="K72" i="5"/>
  <c r="K71" i="5"/>
  <c r="K70" i="5"/>
  <c r="I66" i="5"/>
  <c r="H66" i="5"/>
  <c r="G66" i="5"/>
  <c r="F66" i="5"/>
  <c r="J65" i="5"/>
  <c r="J66" i="5" s="1"/>
  <c r="I65" i="5"/>
  <c r="H65" i="5"/>
  <c r="G65" i="5"/>
  <c r="F65" i="5"/>
  <c r="K65" i="5" s="1"/>
  <c r="K64" i="5"/>
  <c r="K63" i="5"/>
  <c r="K62" i="5"/>
  <c r="K61" i="5"/>
  <c r="K60" i="5"/>
  <c r="K59" i="5"/>
  <c r="K58" i="5"/>
  <c r="F36" i="5"/>
  <c r="F31" i="5"/>
  <c r="F32" i="5" s="1"/>
  <c r="F30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I24" i="5" s="1"/>
  <c r="H23" i="5"/>
  <c r="H24" i="5" s="1"/>
  <c r="G23" i="5"/>
  <c r="G24" i="5" s="1"/>
  <c r="F23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P8" i="5"/>
  <c r="L8" i="5"/>
  <c r="J8" i="5"/>
  <c r="H8" i="5"/>
  <c r="U8" i="5"/>
  <c r="T8" i="5"/>
  <c r="S8" i="5"/>
  <c r="R8" i="5"/>
  <c r="Q8" i="5"/>
  <c r="O8" i="5"/>
  <c r="N8" i="5"/>
  <c r="M8" i="5"/>
  <c r="K8" i="5"/>
  <c r="I8" i="5"/>
  <c r="G8" i="5"/>
  <c r="F8" i="5"/>
  <c r="J39" i="4"/>
  <c r="J40" i="4" s="1"/>
  <c r="J41" i="4" s="1"/>
  <c r="J42" i="4" s="1"/>
  <c r="J43" i="4" s="1"/>
  <c r="J44" i="4" s="1"/>
  <c r="J45" i="4" s="1"/>
  <c r="J46" i="4" s="1"/>
  <c r="J47" i="4" s="1"/>
  <c r="J48" i="4" s="1"/>
  <c r="C39" i="4"/>
  <c r="C40" i="4" s="1"/>
  <c r="C41" i="4" s="1"/>
  <c r="C42" i="4" s="1"/>
  <c r="C43" i="4" s="1"/>
  <c r="C44" i="4" s="1"/>
  <c r="C45" i="4" s="1"/>
  <c r="C46" i="4" s="1"/>
  <c r="C47" i="4" s="1"/>
  <c r="C48" i="4" s="1"/>
  <c r="Q14" i="4"/>
  <c r="M14" i="4"/>
  <c r="J14" i="4"/>
  <c r="I14" i="4"/>
  <c r="F14" i="4"/>
  <c r="E14" i="4"/>
  <c r="S7" i="4"/>
  <c r="S7" i="7" s="1"/>
  <c r="R7" i="4"/>
  <c r="R8" i="4" s="1"/>
  <c r="Q7" i="4"/>
  <c r="P7" i="4"/>
  <c r="O7" i="4"/>
  <c r="O7" i="7" s="1"/>
  <c r="N7" i="4"/>
  <c r="N7" i="7" s="1"/>
  <c r="M7" i="4"/>
  <c r="L7" i="4"/>
  <c r="L8" i="4" s="1"/>
  <c r="K7" i="4"/>
  <c r="J7" i="4"/>
  <c r="J7" i="7" s="1"/>
  <c r="I7" i="4"/>
  <c r="H7" i="4"/>
  <c r="D7" i="4"/>
  <c r="S8" i="4"/>
  <c r="Q8" i="4"/>
  <c r="P8" i="4"/>
  <c r="O8" i="4"/>
  <c r="N8" i="4"/>
  <c r="K8" i="4"/>
  <c r="J8" i="4"/>
  <c r="I8" i="4"/>
  <c r="H8" i="4"/>
  <c r="D8" i="4"/>
  <c r="K112" i="3"/>
  <c r="K111" i="3"/>
  <c r="K110" i="3"/>
  <c r="K109" i="3"/>
  <c r="K108" i="3"/>
  <c r="K107" i="3"/>
  <c r="I114" i="3"/>
  <c r="H114" i="3"/>
  <c r="G114" i="3"/>
  <c r="F114" i="3"/>
  <c r="J113" i="3"/>
  <c r="I113" i="3"/>
  <c r="H113" i="3"/>
  <c r="G113" i="3"/>
  <c r="F113" i="3"/>
  <c r="K100" i="3"/>
  <c r="K99" i="3"/>
  <c r="K98" i="3"/>
  <c r="K97" i="3"/>
  <c r="K96" i="3"/>
  <c r="K95" i="3"/>
  <c r="I102" i="3"/>
  <c r="H102" i="3"/>
  <c r="G102" i="3"/>
  <c r="F102" i="3"/>
  <c r="K94" i="3"/>
  <c r="I101" i="3"/>
  <c r="H101" i="3"/>
  <c r="G101" i="3"/>
  <c r="F101" i="3"/>
  <c r="K88" i="3"/>
  <c r="K87" i="3"/>
  <c r="K86" i="3"/>
  <c r="K85" i="3"/>
  <c r="K84" i="3"/>
  <c r="K83" i="3"/>
  <c r="I90" i="3"/>
  <c r="H90" i="3"/>
  <c r="G90" i="3"/>
  <c r="F90" i="3"/>
  <c r="J89" i="3"/>
  <c r="I89" i="3"/>
  <c r="H89" i="3"/>
  <c r="G89" i="3"/>
  <c r="F89" i="3"/>
  <c r="K76" i="3"/>
  <c r="K75" i="3"/>
  <c r="K74" i="3"/>
  <c r="K73" i="3"/>
  <c r="K72" i="3"/>
  <c r="I78" i="3"/>
  <c r="H78" i="3"/>
  <c r="G78" i="3"/>
  <c r="F78" i="3"/>
  <c r="K70" i="3"/>
  <c r="I77" i="3"/>
  <c r="H77" i="3"/>
  <c r="G77" i="3"/>
  <c r="F77" i="3"/>
  <c r="J124" i="3"/>
  <c r="I124" i="3"/>
  <c r="H124" i="3"/>
  <c r="G124" i="3"/>
  <c r="F124" i="3"/>
  <c r="K63" i="3"/>
  <c r="I123" i="3"/>
  <c r="H123" i="3"/>
  <c r="G123" i="3"/>
  <c r="F123" i="3"/>
  <c r="J122" i="3"/>
  <c r="I122" i="3"/>
  <c r="H122" i="3"/>
  <c r="G122" i="3"/>
  <c r="F122" i="3"/>
  <c r="K61" i="3"/>
  <c r="I121" i="3"/>
  <c r="H121" i="3"/>
  <c r="G121" i="3"/>
  <c r="F121" i="3"/>
  <c r="J120" i="3"/>
  <c r="I120" i="3"/>
  <c r="H120" i="3"/>
  <c r="G120" i="3"/>
  <c r="F120" i="3"/>
  <c r="K59" i="3"/>
  <c r="I119" i="3"/>
  <c r="H119" i="3"/>
  <c r="G119" i="3"/>
  <c r="F119" i="3"/>
  <c r="J118" i="3"/>
  <c r="I118" i="3"/>
  <c r="H118" i="3"/>
  <c r="G118" i="3"/>
  <c r="F118" i="3"/>
  <c r="F36" i="3"/>
  <c r="Q16" i="7" s="1"/>
  <c r="F31" i="3"/>
  <c r="F32" i="3" s="1"/>
  <c r="F30" i="3"/>
  <c r="S21" i="3"/>
  <c r="O21" i="3"/>
  <c r="K21" i="3"/>
  <c r="U21" i="3"/>
  <c r="T21" i="3"/>
  <c r="Q21" i="3"/>
  <c r="P21" i="3"/>
  <c r="M21" i="3"/>
  <c r="L21" i="3"/>
  <c r="I21" i="3"/>
  <c r="H21" i="3"/>
  <c r="G21" i="3"/>
  <c r="R21" i="3"/>
  <c r="N21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U23" i="3"/>
  <c r="T23" i="3"/>
  <c r="S12" i="3"/>
  <c r="R12" i="3"/>
  <c r="Q23" i="3"/>
  <c r="P23" i="3"/>
  <c r="O12" i="3"/>
  <c r="N12" i="3"/>
  <c r="M23" i="3"/>
  <c r="L23" i="3"/>
  <c r="K12" i="3"/>
  <c r="J12" i="3"/>
  <c r="I23" i="3"/>
  <c r="H23" i="3"/>
  <c r="G12" i="3"/>
  <c r="F1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T13" i="7" l="1"/>
  <c r="T6" i="7"/>
  <c r="T10" i="7"/>
  <c r="T12" i="7"/>
  <c r="S8" i="7"/>
  <c r="T5" i="7"/>
  <c r="T11" i="7"/>
  <c r="D14" i="7"/>
  <c r="J8" i="7"/>
  <c r="O8" i="7"/>
  <c r="K7" i="7"/>
  <c r="K8" i="7" s="1"/>
  <c r="M8" i="4"/>
  <c r="K124" i="5"/>
  <c r="K24" i="5"/>
  <c r="N8" i="7"/>
  <c r="L24" i="5"/>
  <c r="K118" i="5"/>
  <c r="M24" i="5"/>
  <c r="G125" i="5"/>
  <c r="T4" i="7"/>
  <c r="N24" i="5"/>
  <c r="H125" i="5"/>
  <c r="R7" i="7"/>
  <c r="R8" i="7" s="1"/>
  <c r="H126" i="3"/>
  <c r="O24" i="5"/>
  <c r="I125" i="5"/>
  <c r="E7" i="4"/>
  <c r="P24" i="5"/>
  <c r="J125" i="5"/>
  <c r="J126" i="5" s="1"/>
  <c r="K114" i="5"/>
  <c r="F7" i="4"/>
  <c r="Q24" i="5"/>
  <c r="K77" i="5"/>
  <c r="F126" i="5"/>
  <c r="G7" i="4"/>
  <c r="R24" i="5"/>
  <c r="G126" i="5"/>
  <c r="S24" i="5"/>
  <c r="K113" i="5"/>
  <c r="H126" i="5"/>
  <c r="K126" i="5" s="1"/>
  <c r="I125" i="3"/>
  <c r="T24" i="5"/>
  <c r="I126" i="5"/>
  <c r="U24" i="5"/>
  <c r="K123" i="5"/>
  <c r="F24" i="5"/>
  <c r="K120" i="5"/>
  <c r="J24" i="5"/>
  <c r="L14" i="7"/>
  <c r="L16" i="7"/>
  <c r="P16" i="7"/>
  <c r="D16" i="7"/>
  <c r="H16" i="7"/>
  <c r="F16" i="7"/>
  <c r="J16" i="7"/>
  <c r="J18" i="7" s="1"/>
  <c r="N16" i="7"/>
  <c r="R16" i="7"/>
  <c r="G16" i="7"/>
  <c r="K16" i="7"/>
  <c r="O16" i="7"/>
  <c r="O18" i="7" s="1"/>
  <c r="S16" i="7"/>
  <c r="S18" i="7" s="1"/>
  <c r="S20" i="7" s="1"/>
  <c r="E16" i="7"/>
  <c r="I16" i="7"/>
  <c r="M16" i="7"/>
  <c r="K66" i="5"/>
  <c r="K90" i="5"/>
  <c r="F125" i="5"/>
  <c r="K119" i="5"/>
  <c r="H24" i="3"/>
  <c r="L24" i="3"/>
  <c r="P24" i="3"/>
  <c r="T24" i="3"/>
  <c r="F125" i="3"/>
  <c r="K118" i="3"/>
  <c r="I126" i="3"/>
  <c r="K122" i="3"/>
  <c r="K113" i="3"/>
  <c r="J114" i="3"/>
  <c r="K114" i="3" s="1"/>
  <c r="I24" i="3"/>
  <c r="M24" i="3"/>
  <c r="Q24" i="3"/>
  <c r="U24" i="3"/>
  <c r="G125" i="3"/>
  <c r="F126" i="3"/>
  <c r="H125" i="3"/>
  <c r="G126" i="3"/>
  <c r="K120" i="3"/>
  <c r="K124" i="3"/>
  <c r="K89" i="3"/>
  <c r="J90" i="3"/>
  <c r="K90" i="3" s="1"/>
  <c r="H12" i="3"/>
  <c r="L12" i="3"/>
  <c r="P12" i="3"/>
  <c r="T12" i="3"/>
  <c r="F23" i="3"/>
  <c r="J23" i="3"/>
  <c r="N23" i="3"/>
  <c r="R23" i="3"/>
  <c r="H65" i="3"/>
  <c r="F66" i="3"/>
  <c r="J77" i="3"/>
  <c r="J101" i="3"/>
  <c r="J119" i="3"/>
  <c r="K119" i="3" s="1"/>
  <c r="J121" i="3"/>
  <c r="K121" i="3" s="1"/>
  <c r="J123" i="3"/>
  <c r="K123" i="3" s="1"/>
  <c r="I12" i="3"/>
  <c r="M12" i="3"/>
  <c r="Q12" i="3"/>
  <c r="U12" i="3"/>
  <c r="G23" i="3"/>
  <c r="K23" i="3"/>
  <c r="O23" i="3"/>
  <c r="S23" i="3"/>
  <c r="K58" i="3"/>
  <c r="K60" i="3"/>
  <c r="K62" i="3"/>
  <c r="K64" i="3"/>
  <c r="I65" i="3"/>
  <c r="G66" i="3"/>
  <c r="K71" i="3"/>
  <c r="K82" i="3"/>
  <c r="K106" i="3"/>
  <c r="F65" i="3"/>
  <c r="J65" i="3"/>
  <c r="H66" i="3"/>
  <c r="G65" i="3"/>
  <c r="I66" i="3"/>
  <c r="N18" i="7" l="1"/>
  <c r="T14" i="7"/>
  <c r="K125" i="5"/>
  <c r="G7" i="7"/>
  <c r="G8" i="7" s="1"/>
  <c r="G18" i="7" s="1"/>
  <c r="G20" i="7" s="1"/>
  <c r="G8" i="4"/>
  <c r="N24" i="3"/>
  <c r="F7" i="7"/>
  <c r="F8" i="7" s="1"/>
  <c r="F18" i="7" s="1"/>
  <c r="F20" i="7" s="1"/>
  <c r="F8" i="4"/>
  <c r="K18" i="7"/>
  <c r="K20" i="7" s="1"/>
  <c r="S24" i="3"/>
  <c r="K24" i="3"/>
  <c r="G24" i="3"/>
  <c r="O24" i="3"/>
  <c r="F24" i="3"/>
  <c r="R18" i="7"/>
  <c r="R20" i="7" s="1"/>
  <c r="R24" i="3"/>
  <c r="E7" i="7"/>
  <c r="E8" i="7" s="1"/>
  <c r="E18" i="7" s="1"/>
  <c r="E20" i="7" s="1"/>
  <c r="E8" i="4"/>
  <c r="J24" i="3"/>
  <c r="N20" i="7"/>
  <c r="J20" i="7"/>
  <c r="O20" i="7"/>
  <c r="N14" i="4"/>
  <c r="H14" i="4"/>
  <c r="R14" i="4"/>
  <c r="P14" i="4"/>
  <c r="L14" i="4"/>
  <c r="D14" i="4"/>
  <c r="S14" i="4"/>
  <c r="O14" i="4"/>
  <c r="K14" i="4"/>
  <c r="G14" i="4"/>
  <c r="J102" i="3"/>
  <c r="K102" i="3" s="1"/>
  <c r="K101" i="3"/>
  <c r="J125" i="3"/>
  <c r="J78" i="3"/>
  <c r="K78" i="3" s="1"/>
  <c r="K77" i="3"/>
  <c r="K65" i="3"/>
  <c r="J66" i="3"/>
  <c r="K66" i="3" s="1"/>
  <c r="M7" i="7" l="1"/>
  <c r="M8" i="7" s="1"/>
  <c r="M18" i="7" s="1"/>
  <c r="M20" i="7" s="1"/>
  <c r="P7" i="7"/>
  <c r="P8" i="7" s="1"/>
  <c r="P18" i="7" s="1"/>
  <c r="P20" i="7" s="1"/>
  <c r="L7" i="7"/>
  <c r="L8" i="7" s="1"/>
  <c r="L18" i="7" s="1"/>
  <c r="L20" i="7" s="1"/>
  <c r="I7" i="7"/>
  <c r="I8" i="7" s="1"/>
  <c r="I18" i="7" s="1"/>
  <c r="I20" i="7" s="1"/>
  <c r="D7" i="7"/>
  <c r="Q7" i="7"/>
  <c r="Q8" i="7" s="1"/>
  <c r="Q18" i="7" s="1"/>
  <c r="Q20" i="7" s="1"/>
  <c r="H7" i="7"/>
  <c r="H8" i="7" s="1"/>
  <c r="H18" i="7" s="1"/>
  <c r="J126" i="3"/>
  <c r="K126" i="3" s="1"/>
  <c r="K125" i="3"/>
  <c r="T7" i="7" l="1"/>
  <c r="D8" i="7"/>
  <c r="H20" i="7"/>
  <c r="T8" i="7" l="1"/>
  <c r="D18" i="7"/>
  <c r="P16" i="4"/>
  <c r="P18" i="4" s="1"/>
  <c r="L16" i="4"/>
  <c r="L18" i="4" s="1"/>
  <c r="H16" i="4"/>
  <c r="H18" i="4" s="1"/>
  <c r="H20" i="4" s="1"/>
  <c r="D16" i="4"/>
  <c r="D18" i="4" s="1"/>
  <c r="N16" i="4"/>
  <c r="N18" i="4" s="1"/>
  <c r="Q16" i="4"/>
  <c r="Q18" i="4" s="1"/>
  <c r="I16" i="4"/>
  <c r="I18" i="4" s="1"/>
  <c r="S16" i="4"/>
  <c r="S18" i="4" s="1"/>
  <c r="O16" i="4"/>
  <c r="O18" i="4" s="1"/>
  <c r="K16" i="4"/>
  <c r="K18" i="4" s="1"/>
  <c r="G16" i="4"/>
  <c r="G18" i="4" s="1"/>
  <c r="R16" i="4"/>
  <c r="R18" i="4" s="1"/>
  <c r="J16" i="4"/>
  <c r="J18" i="4" s="1"/>
  <c r="F16" i="4"/>
  <c r="F18" i="4" s="1"/>
  <c r="M16" i="4"/>
  <c r="M18" i="4" s="1"/>
  <c r="E16" i="4"/>
  <c r="E18" i="4" s="1"/>
  <c r="D20" i="7" l="1"/>
  <c r="T20" i="7" s="1"/>
  <c r="T18" i="7"/>
  <c r="E20" i="4"/>
  <c r="E24" i="4"/>
  <c r="D20" i="4"/>
  <c r="D22" i="4" s="1"/>
  <c r="D24" i="4"/>
  <c r="M24" i="4"/>
  <c r="M20" i="4"/>
  <c r="M22" i="4" s="1"/>
  <c r="G20" i="4"/>
  <c r="G22" i="4" s="1"/>
  <c r="G24" i="4"/>
  <c r="I20" i="4"/>
  <c r="I22" i="4" s="1"/>
  <c r="I24" i="4"/>
  <c r="S20" i="4"/>
  <c r="S24" i="4"/>
  <c r="F24" i="4"/>
  <c r="F20" i="4"/>
  <c r="F22" i="4" s="1"/>
  <c r="K20" i="4"/>
  <c r="K22" i="4" s="1"/>
  <c r="K24" i="4"/>
  <c r="Q20" i="4"/>
  <c r="Q22" i="4" s="1"/>
  <c r="Q24" i="4"/>
  <c r="L20" i="4"/>
  <c r="L22" i="4" s="1"/>
  <c r="L24" i="4"/>
  <c r="R24" i="4"/>
  <c r="R20" i="4"/>
  <c r="R22" i="4" s="1"/>
  <c r="J20" i="4"/>
  <c r="J22" i="4" s="1"/>
  <c r="J24" i="4"/>
  <c r="O24" i="4"/>
  <c r="O20" i="4"/>
  <c r="O22" i="4" s="1"/>
  <c r="N24" i="4"/>
  <c r="N20" i="4"/>
  <c r="N22" i="4" s="1"/>
  <c r="P20" i="4"/>
  <c r="P22" i="4" s="1"/>
  <c r="P24" i="4"/>
  <c r="S22" i="4" l="1"/>
  <c r="D37" i="4"/>
  <c r="E22" i="4"/>
  <c r="E28" i="4"/>
  <c r="D26" i="4" l="1"/>
  <c r="K37" i="4" s="1"/>
  <c r="D22" i="7" l="1"/>
</calcChain>
</file>

<file path=xl/sharedStrings.xml><?xml version="1.0" encoding="utf-8"?>
<sst xmlns="http://schemas.openxmlformats.org/spreadsheetml/2006/main" count="642" uniqueCount="191">
  <si>
    <t>Hermiston          Total</t>
  </si>
  <si>
    <t>Kennewick          Total</t>
  </si>
  <si>
    <t>Sherwood           Total</t>
  </si>
  <si>
    <t>Richland           Total</t>
  </si>
  <si>
    <t>Kent               Total</t>
  </si>
  <si>
    <t>Moses Lake         Total</t>
  </si>
  <si>
    <t>Scottsbluff        Total</t>
  </si>
  <si>
    <t>Coeur D Alene      Total</t>
  </si>
  <si>
    <t>Spokane Valley     Total</t>
  </si>
  <si>
    <t>Wandermere         Total</t>
  </si>
  <si>
    <t>Walla Walla        Total</t>
  </si>
  <si>
    <t>Pendleton          Total</t>
  </si>
  <si>
    <t>Roseburg           Total</t>
  </si>
  <si>
    <t>Idaho Falls        Total</t>
  </si>
  <si>
    <t>Moscow             Total</t>
  </si>
  <si>
    <t>The Dalles         Total</t>
  </si>
  <si>
    <t>P1-P4 2017</t>
  </si>
  <si>
    <t>Late Night Closure Analysis</t>
  </si>
  <si>
    <t>Herminston</t>
  </si>
  <si>
    <t xml:space="preserve">Kennewick         </t>
  </si>
  <si>
    <t xml:space="preserve">Sherwood          </t>
  </si>
  <si>
    <t xml:space="preserve">Richland          </t>
  </si>
  <si>
    <t xml:space="preserve">Kent              </t>
  </si>
  <si>
    <t xml:space="preserve">Moses Lake        </t>
  </si>
  <si>
    <t xml:space="preserve">Scottsbluff       </t>
  </si>
  <si>
    <t xml:space="preserve">Coeur D Alene     </t>
  </si>
  <si>
    <t xml:space="preserve">Spokane Valley    </t>
  </si>
  <si>
    <t xml:space="preserve">Wandermere        </t>
  </si>
  <si>
    <t xml:space="preserve">Walla Walla       </t>
  </si>
  <si>
    <t xml:space="preserve">Pendleton         </t>
  </si>
  <si>
    <t>Roseburg</t>
  </si>
  <si>
    <t>Idaho Falls</t>
  </si>
  <si>
    <t>Moscow</t>
  </si>
  <si>
    <t>The Dalles</t>
  </si>
  <si>
    <t>Total Sales Less Gaming</t>
  </si>
  <si>
    <t>Gaming Sales</t>
  </si>
  <si>
    <t>Ingr. Costs</t>
  </si>
  <si>
    <t>Labor Costs</t>
  </si>
  <si>
    <t>Gross Margin</t>
  </si>
  <si>
    <t>Consumables</t>
  </si>
  <si>
    <t>Supplies</t>
  </si>
  <si>
    <t>Utilities</t>
  </si>
  <si>
    <t>Financial Charges</t>
  </si>
  <si>
    <t>Total Contr. Exp</t>
  </si>
  <si>
    <t>Brand Deterioration</t>
  </si>
  <si>
    <t>Total Savings (Loss)</t>
  </si>
  <si>
    <t>Annualized</t>
  </si>
  <si>
    <t>Go/ No Go</t>
  </si>
  <si>
    <t>No-Go Reason</t>
  </si>
  <si>
    <t>UberEats, Brand</t>
  </si>
  <si>
    <t>Proposed Savings Yr</t>
  </si>
  <si>
    <t>Brand Det. Input</t>
  </si>
  <si>
    <t>Brand Det. Break Even</t>
  </si>
  <si>
    <t>n/a</t>
  </si>
  <si>
    <t>Sensitivity Analysis</t>
  </si>
  <si>
    <t>Restaurant:</t>
  </si>
  <si>
    <t>All Restaurants</t>
  </si>
  <si>
    <t xml:space="preserve">Brand Det. Input </t>
  </si>
  <si>
    <t>Total Savings Annual</t>
  </si>
  <si>
    <t>Total Net Sales</t>
  </si>
  <si>
    <t>Total Late Night Sales Less Gaming</t>
  </si>
  <si>
    <t>Total Unit Sales Less Gaming</t>
  </si>
  <si>
    <t>LN to Total Sales Less Gaming</t>
  </si>
  <si>
    <t>120</t>
  </si>
  <si>
    <t>122</t>
  </si>
  <si>
    <t>Total Cook Hours</t>
  </si>
  <si>
    <t>Total Cook Pay</t>
  </si>
  <si>
    <t>Effective Cook Wage</t>
  </si>
  <si>
    <t>151</t>
  </si>
  <si>
    <t>160</t>
  </si>
  <si>
    <t>150</t>
  </si>
  <si>
    <t>201</t>
  </si>
  <si>
    <t>Total Server Hours</t>
  </si>
  <si>
    <t>Total Server Pay</t>
  </si>
  <si>
    <t>Effective Server Wage</t>
  </si>
  <si>
    <t>021</t>
  </si>
  <si>
    <t>030</t>
  </si>
  <si>
    <t>Total AM Hours</t>
  </si>
  <si>
    <t>Total AM Pay</t>
  </si>
  <si>
    <t>Effective AM Wage</t>
  </si>
  <si>
    <t>130</t>
  </si>
  <si>
    <t>140</t>
  </si>
  <si>
    <t>Total DMO Hours</t>
  </si>
  <si>
    <t>Total DMO Pay</t>
  </si>
  <si>
    <t>Effective DMO Wage</t>
  </si>
  <si>
    <t>Total Hours</t>
  </si>
  <si>
    <t>Total Pay</t>
  </si>
  <si>
    <t>Effective Wage</t>
  </si>
  <si>
    <t>Periods/Weeks</t>
  </si>
  <si>
    <t>Assumptions</t>
  </si>
  <si>
    <t>Total Days Removed</t>
  </si>
  <si>
    <t>Store hours would be closed from 11PM to 5AM Sunday through Thursday night, leaving Friday and Saturday night open 24 hours.</t>
  </si>
  <si>
    <t>Total Hours Per Day</t>
  </si>
  <si>
    <t>Historical data uses P1-P4 2017 and annualized to determine an annual savings amount.</t>
  </si>
  <si>
    <t>Total labor costs for hours closed are removed and used as savings.</t>
  </si>
  <si>
    <t xml:space="preserve">Total Hours </t>
  </si>
  <si>
    <t>Sales loss is food, bakery, liquor, retail, and lottery</t>
  </si>
  <si>
    <t>Total Hours Removed</t>
  </si>
  <si>
    <t xml:space="preserve">Lottery allocation is based on lottery beverage comps </t>
  </si>
  <si>
    <t>Percent</t>
  </si>
  <si>
    <t>Consumable savings are based on all consumable expense multiplied by the % of sales for late night.</t>
  </si>
  <si>
    <t>Supplies savings are based on janitorial supplies and cleaning chemicals multiplied by the % of sales for late night.</t>
  </si>
  <si>
    <t>Payroll Tax/ Benefits % of Wage</t>
  </si>
  <si>
    <t>Utility savings are based on electric multiplied by the total hours that the restaurants would be closed plus gas, water, sewer, and utility adjustment multiplied by the % of sales for late night.</t>
  </si>
  <si>
    <t>Financial Charge savings are based on all financial changes multiplied by the % of sales for late night.</t>
  </si>
  <si>
    <t>Brand Deterioration break even is the total reduction of total sales per restaurant represented in percent to result in zero savings.</t>
  </si>
  <si>
    <t>Notes</t>
  </si>
  <si>
    <t>How many hours would the store be closed?</t>
  </si>
  <si>
    <t>how much labor? 1 cook/ 1 server</t>
  </si>
  <si>
    <t>potential loss of sales by store including cost of food</t>
  </si>
  <si>
    <t>How many days a week would store be closed? Sun-Thurs, open Fri and Sat</t>
  </si>
  <si>
    <t>how much period cost allocations for hours</t>
  </si>
  <si>
    <t>Pick potential restaurants on outside areas with low volume potential</t>
  </si>
  <si>
    <t>Loss of customer loyalty due to closing early</t>
  </si>
  <si>
    <t xml:space="preserve">Allocate controllable expenses by percentage of total sales </t>
  </si>
  <si>
    <t>Lottery Sales even percentage across</t>
  </si>
  <si>
    <t>Consumables - All consumables used</t>
  </si>
  <si>
    <t>Supplies - only cleaning chemicals used</t>
  </si>
  <si>
    <t>Utilities - Electric, gas, water, sewer, utility adj.</t>
  </si>
  <si>
    <t>Financial Charges - per sales</t>
  </si>
  <si>
    <t>Call Steve about lottery traffic times</t>
  </si>
  <si>
    <t>Total For Day</t>
  </si>
  <si>
    <t>% of Total LN</t>
  </si>
  <si>
    <t>Sun</t>
  </si>
  <si>
    <t>Mon</t>
  </si>
  <si>
    <t>Tue</t>
  </si>
  <si>
    <t>Wed</t>
  </si>
  <si>
    <t>Thu</t>
  </si>
  <si>
    <t>Fri</t>
  </si>
  <si>
    <t>Sat</t>
  </si>
  <si>
    <t>Total</t>
  </si>
  <si>
    <t>Total Adj.</t>
  </si>
  <si>
    <t>Total Lottery</t>
  </si>
  <si>
    <t>Late Night Closure Analysis Time Adj</t>
  </si>
  <si>
    <t>Stay Open</t>
  </si>
  <si>
    <t>Lottery Hours</t>
  </si>
  <si>
    <t>Hours Removed</t>
  </si>
  <si>
    <t>Units</t>
  </si>
  <si>
    <t>Late Night</t>
  </si>
  <si>
    <t>Thursday</t>
  </si>
  <si>
    <t>P-01 W-01</t>
  </si>
  <si>
    <t>Friday</t>
  </si>
  <si>
    <t>P-01 W-02</t>
  </si>
  <si>
    <t>Saturday</t>
  </si>
  <si>
    <t>P-01 W-03</t>
  </si>
  <si>
    <t>Sunday</t>
  </si>
  <si>
    <t>P-01 W-04</t>
  </si>
  <si>
    <t>Monday</t>
  </si>
  <si>
    <t>P-02 W-01</t>
  </si>
  <si>
    <t>Non-Late</t>
  </si>
  <si>
    <t>Tuesday</t>
  </si>
  <si>
    <t>P-02 W-02</t>
  </si>
  <si>
    <t>Wednesday</t>
  </si>
  <si>
    <t>P-02 W-03</t>
  </si>
  <si>
    <t>P-02 W-04</t>
  </si>
  <si>
    <t>P-03 W-01</t>
  </si>
  <si>
    <t>P-03 W-02</t>
  </si>
  <si>
    <t>P-03 W-03</t>
  </si>
  <si>
    <t>P-03 W-04</t>
  </si>
  <si>
    <t>P-04 W-01</t>
  </si>
  <si>
    <t>P-04 W-02</t>
  </si>
  <si>
    <t>P-04 W-03</t>
  </si>
  <si>
    <t>P-04 W-04</t>
  </si>
  <si>
    <t>P-05 W-01</t>
  </si>
  <si>
    <t>P-05 W-02</t>
  </si>
  <si>
    <t>P-05 W-03</t>
  </si>
  <si>
    <t>Variance</t>
  </si>
  <si>
    <t>Close</t>
  </si>
  <si>
    <t>Non-Profitable</t>
  </si>
  <si>
    <t/>
  </si>
  <si>
    <t>Restaurant 1 Lottery</t>
  </si>
  <si>
    <t>Restaurant 1</t>
  </si>
  <si>
    <t>Restaurant 2</t>
  </si>
  <si>
    <t>Restaurant 3</t>
  </si>
  <si>
    <t>Restaurant 4</t>
  </si>
  <si>
    <t>Restaurant 5</t>
  </si>
  <si>
    <t>Restaurant 6</t>
  </si>
  <si>
    <t>Restaurant 7</t>
  </si>
  <si>
    <t>Restaurant 8</t>
  </si>
  <si>
    <t>Restaurant 9</t>
  </si>
  <si>
    <t>Restaurant 10</t>
  </si>
  <si>
    <t>Restaurant 11</t>
  </si>
  <si>
    <t>Restaurant 12</t>
  </si>
  <si>
    <t>Restaurant 13</t>
  </si>
  <si>
    <t>Restaurant 14</t>
  </si>
  <si>
    <t>Restaurant 15</t>
  </si>
  <si>
    <t>Restaurant 16</t>
  </si>
  <si>
    <t>Restaurant 2 Lottery</t>
  </si>
  <si>
    <t>Restaurant 3 Lottery</t>
  </si>
  <si>
    <t>Restaurant 4 Lottery</t>
  </si>
  <si>
    <t>Restaurant 5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</si>
</sst>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9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FF8001"/>
      </left>
      <right style="double">
        <color rgb="FFFF8001"/>
      </right>
      <top style="double">
        <color rgb="FFFF8001"/>
      </top>
      <bottom style="double">
        <color rgb="FFFF8001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</cellStyleXfs>
  <cellXfs count="126">
    <xf numFmtId="0" fontId="0" fillId="0" borderId="0" xfId="0"/>
    <xf numFmtId="0" fontId="8" fillId="0" borderId="0" xfId="0" applyFont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0" fillId="0" borderId="11" xfId="0" applyBorder="1"/>
    <xf numFmtId="164" fontId="0" fillId="0" borderId="0" xfId="1" applyNumberFormat="1" applyFont="1" applyBorder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0" fontId="6" fillId="5" borderId="7" xfId="0" applyFont="1" applyFill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/>
    <xf numFmtId="164" fontId="6" fillId="5" borderId="10" xfId="0" applyNumberFormat="1" applyFont="1" applyFill="1" applyBorder="1"/>
    <xf numFmtId="0" fontId="0" fillId="0" borderId="12" xfId="0" applyBorder="1"/>
    <xf numFmtId="0" fontId="0" fillId="0" borderId="13" xfId="0" applyBorder="1"/>
    <xf numFmtId="164" fontId="6" fillId="5" borderId="8" xfId="1" applyNumberFormat="1" applyFont="1" applyFill="1" applyBorder="1"/>
    <xf numFmtId="164" fontId="6" fillId="5" borderId="9" xfId="1" applyNumberFormat="1" applyFont="1" applyFill="1" applyBorder="1"/>
    <xf numFmtId="164" fontId="6" fillId="5" borderId="10" xfId="1" applyNumberFormat="1" applyFont="1" applyFill="1" applyBorder="1"/>
    <xf numFmtId="0" fontId="6" fillId="6" borderId="14" xfId="0" applyFont="1" applyFill="1" applyBorder="1"/>
    <xf numFmtId="164" fontId="6" fillId="6" borderId="15" xfId="0" applyNumberFormat="1" applyFont="1" applyFill="1" applyBorder="1"/>
    <xf numFmtId="164" fontId="6" fillId="6" borderId="16" xfId="0" applyNumberFormat="1" applyFont="1" applyFill="1" applyBorder="1"/>
    <xf numFmtId="164" fontId="6" fillId="6" borderId="17" xfId="0" applyNumberFormat="1" applyFont="1" applyFill="1" applyBorder="1"/>
    <xf numFmtId="0" fontId="6" fillId="7" borderId="4" xfId="0" applyFont="1" applyFill="1" applyBorder="1"/>
    <xf numFmtId="164" fontId="6" fillId="7" borderId="5" xfId="0" applyNumberFormat="1" applyFont="1" applyFill="1" applyBorder="1"/>
    <xf numFmtId="164" fontId="6" fillId="7" borderId="18" xfId="0" applyNumberFormat="1" applyFont="1" applyFill="1" applyBorder="1"/>
    <xf numFmtId="164" fontId="6" fillId="7" borderId="6" xfId="0" applyNumberFormat="1" applyFont="1" applyFill="1" applyBorder="1"/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9" xfId="0" applyBorder="1"/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" xfId="0" applyBorder="1"/>
    <xf numFmtId="164" fontId="3" fillId="3" borderId="2" xfId="4" applyNumberFormat="1"/>
    <xf numFmtId="10" fontId="2" fillId="2" borderId="1" xfId="3" applyNumberFormat="1"/>
    <xf numFmtId="3" fontId="7" fillId="0" borderId="0" xfId="0" applyNumberFormat="1" applyFont="1"/>
    <xf numFmtId="10" fontId="0" fillId="0" borderId="0" xfId="0" applyNumberFormat="1" applyAlignment="1">
      <alignment horizontal="left" indent="3"/>
    </xf>
    <xf numFmtId="164" fontId="0" fillId="0" borderId="0" xfId="1" applyNumberFormat="1" applyFont="1"/>
    <xf numFmtId="10" fontId="0" fillId="0" borderId="0" xfId="2" applyNumberFormat="1" applyFont="1" applyAlignment="1">
      <alignment horizontal="left"/>
    </xf>
    <xf numFmtId="10" fontId="10" fillId="3" borderId="2" xfId="2" applyNumberFormat="1" applyFont="1" applyFill="1" applyBorder="1" applyAlignment="1">
      <alignment horizontal="right"/>
    </xf>
    <xf numFmtId="10" fontId="3" fillId="3" borderId="2" xfId="2" applyNumberFormat="1" applyFont="1" applyFill="1" applyBorder="1"/>
    <xf numFmtId="10" fontId="0" fillId="0" borderId="0" xfId="2" applyNumberFormat="1" applyFont="1"/>
    <xf numFmtId="10" fontId="0" fillId="0" borderId="0" xfId="0" applyNumberFormat="1"/>
    <xf numFmtId="10" fontId="11" fillId="0" borderId="0" xfId="0" applyNumberFormat="1" applyFont="1" applyAlignment="1">
      <alignment horizontal="left"/>
    </xf>
    <xf numFmtId="10" fontId="0" fillId="0" borderId="2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10" fontId="6" fillId="0" borderId="7" xfId="0" applyNumberFormat="1" applyFont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10" fontId="0" fillId="0" borderId="11" xfId="0" applyNumberFormat="1" applyBorder="1" applyAlignment="1">
      <alignment horizontal="left" indent="3"/>
    </xf>
    <xf numFmtId="164" fontId="7" fillId="8" borderId="13" xfId="1" applyNumberFormat="1" applyFont="1" applyFill="1" applyBorder="1"/>
    <xf numFmtId="164" fontId="7" fillId="9" borderId="13" xfId="1" applyNumberFormat="1" applyFont="1" applyFill="1" applyBorder="1"/>
    <xf numFmtId="10" fontId="0" fillId="0" borderId="11" xfId="0" applyNumberFormat="1" applyBorder="1"/>
    <xf numFmtId="164" fontId="0" fillId="8" borderId="13" xfId="1" applyNumberFormat="1" applyFont="1" applyFill="1" applyBorder="1"/>
    <xf numFmtId="164" fontId="0" fillId="9" borderId="13" xfId="1" applyNumberFormat="1" applyFont="1" applyFill="1" applyBorder="1"/>
    <xf numFmtId="10" fontId="0" fillId="0" borderId="19" xfId="0" applyNumberFormat="1" applyBorder="1"/>
    <xf numFmtId="164" fontId="0" fillId="8" borderId="22" xfId="1" applyNumberFormat="1" applyFont="1" applyFill="1" applyBorder="1"/>
    <xf numFmtId="164" fontId="0" fillId="9" borderId="22" xfId="1" applyNumberFormat="1" applyFont="1" applyFill="1" applyBorder="1"/>
    <xf numFmtId="164" fontId="5" fillId="2" borderId="25" xfId="6" applyNumberFormat="1" applyFill="1" applyBorder="1"/>
    <xf numFmtId="10" fontId="4" fillId="3" borderId="1" xfId="5" applyNumberFormat="1"/>
    <xf numFmtId="0" fontId="0" fillId="0" borderId="0" xfId="0" quotePrefix="1"/>
    <xf numFmtId="44" fontId="3" fillId="3" borderId="2" xfId="4" applyNumberFormat="1"/>
    <xf numFmtId="0" fontId="0" fillId="0" borderId="8" xfId="0" applyBorder="1"/>
    <xf numFmtId="164" fontId="2" fillId="2" borderId="1" xfId="1" applyNumberFormat="1" applyFont="1" applyFill="1" applyBorder="1"/>
    <xf numFmtId="0" fontId="11" fillId="0" borderId="0" xfId="0" applyFont="1"/>
    <xf numFmtId="0" fontId="0" fillId="0" borderId="0" xfId="0" applyAlignment="1">
      <alignment horizontal="left" indent="1"/>
    </xf>
    <xf numFmtId="164" fontId="4" fillId="3" borderId="1" xfId="5" applyNumberFormat="1"/>
    <xf numFmtId="10" fontId="5" fillId="2" borderId="3" xfId="6" applyNumberFormat="1" applyFill="1"/>
    <xf numFmtId="0" fontId="0" fillId="10" borderId="0" xfId="0" applyFill="1"/>
    <xf numFmtId="0" fontId="8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8" borderId="4" xfId="0" applyFont="1" applyFill="1" applyBorder="1"/>
    <xf numFmtId="0" fontId="0" fillId="8" borderId="5" xfId="0" applyFill="1" applyBorder="1" applyAlignment="1">
      <alignment horizontal="left" indent="1"/>
    </xf>
    <xf numFmtId="0" fontId="0" fillId="8" borderId="5" xfId="0" applyFill="1" applyBorder="1"/>
    <xf numFmtId="0" fontId="0" fillId="8" borderId="6" xfId="0" applyFill="1" applyBorder="1"/>
    <xf numFmtId="0" fontId="0" fillId="0" borderId="7" xfId="0" applyBorder="1"/>
    <xf numFmtId="0" fontId="6" fillId="0" borderId="11" xfId="0" applyFont="1" applyBorder="1"/>
    <xf numFmtId="10" fontId="0" fillId="0" borderId="13" xfId="2" applyNumberFormat="1" applyFont="1" applyBorder="1"/>
    <xf numFmtId="0" fontId="6" fillId="0" borderId="19" xfId="0" applyFont="1" applyBorder="1"/>
    <xf numFmtId="0" fontId="6" fillId="0" borderId="20" xfId="0" applyFont="1" applyBorder="1" applyAlignment="1">
      <alignment horizontal="center"/>
    </xf>
    <xf numFmtId="10" fontId="3" fillId="3" borderId="26" xfId="4" applyNumberFormat="1" applyBorder="1"/>
    <xf numFmtId="43" fontId="0" fillId="0" borderId="0" xfId="0" applyNumberFormat="1"/>
    <xf numFmtId="0" fontId="0" fillId="0" borderId="0" xfId="0" applyAlignment="1">
      <alignment wrapText="1"/>
    </xf>
    <xf numFmtId="164" fontId="12" fillId="0" borderId="0" xfId="1" applyNumberFormat="1" applyFont="1" applyBorder="1"/>
    <xf numFmtId="164" fontId="12" fillId="0" borderId="12" xfId="1" applyNumberFormat="1" applyFont="1" applyBorder="1"/>
    <xf numFmtId="164" fontId="12" fillId="0" borderId="13" xfId="1" applyNumberFormat="1" applyFont="1" applyBorder="1"/>
    <xf numFmtId="164" fontId="12" fillId="0" borderId="0" xfId="0" applyNumberFormat="1" applyFont="1"/>
    <xf numFmtId="164" fontId="12" fillId="0" borderId="12" xfId="0" applyNumberFormat="1" applyFont="1" applyBorder="1"/>
    <xf numFmtId="164" fontId="12" fillId="0" borderId="13" xfId="0" applyNumberFormat="1" applyFont="1" applyBorder="1"/>
    <xf numFmtId="164" fontId="13" fillId="5" borderId="8" xfId="0" applyNumberFormat="1" applyFont="1" applyFill="1" applyBorder="1"/>
    <xf numFmtId="164" fontId="13" fillId="5" borderId="9" xfId="0" applyNumberFormat="1" applyFont="1" applyFill="1" applyBorder="1"/>
    <xf numFmtId="164" fontId="13" fillId="5" borderId="10" xfId="0" applyNumberFormat="1" applyFont="1" applyFill="1" applyBorder="1"/>
    <xf numFmtId="0" fontId="12" fillId="0" borderId="0" xfId="0" applyFont="1"/>
    <xf numFmtId="0" fontId="12" fillId="0" borderId="12" xfId="0" applyFont="1" applyBorder="1"/>
    <xf numFmtId="0" fontId="12" fillId="0" borderId="13" xfId="0" applyFont="1" applyBorder="1"/>
    <xf numFmtId="164" fontId="13" fillId="5" borderId="8" xfId="1" applyNumberFormat="1" applyFont="1" applyFill="1" applyBorder="1"/>
    <xf numFmtId="164" fontId="13" fillId="5" borderId="9" xfId="1" applyNumberFormat="1" applyFont="1" applyFill="1" applyBorder="1"/>
    <xf numFmtId="164" fontId="13" fillId="5" borderId="10" xfId="1" applyNumberFormat="1" applyFont="1" applyFill="1" applyBorder="1"/>
    <xf numFmtId="164" fontId="13" fillId="6" borderId="15" xfId="0" applyNumberFormat="1" applyFont="1" applyFill="1" applyBorder="1"/>
    <xf numFmtId="164" fontId="13" fillId="6" borderId="16" xfId="0" applyNumberFormat="1" applyFont="1" applyFill="1" applyBorder="1"/>
    <xf numFmtId="164" fontId="13" fillId="6" borderId="17" xfId="0" applyNumberFormat="1" applyFont="1" applyFill="1" applyBorder="1"/>
    <xf numFmtId="164" fontId="13" fillId="7" borderId="5" xfId="0" applyNumberFormat="1" applyFont="1" applyFill="1" applyBorder="1"/>
    <xf numFmtId="164" fontId="13" fillId="7" borderId="18" xfId="0" applyNumberFormat="1" applyFont="1" applyFill="1" applyBorder="1"/>
    <xf numFmtId="164" fontId="13" fillId="7" borderId="6" xfId="0" applyNumberFormat="1" applyFont="1" applyFill="1" applyBorder="1"/>
    <xf numFmtId="164" fontId="14" fillId="3" borderId="2" xfId="4" applyNumberFormat="1" applyFont="1"/>
    <xf numFmtId="10" fontId="14" fillId="3" borderId="2" xfId="2" applyNumberFormat="1" applyFont="1" applyFill="1" applyBorder="1"/>
    <xf numFmtId="0" fontId="6" fillId="12" borderId="10" xfId="0" applyFont="1" applyFill="1" applyBorder="1" applyAlignment="1">
      <alignment horizontal="center"/>
    </xf>
    <xf numFmtId="164" fontId="12" fillId="12" borderId="13" xfId="1" applyNumberFormat="1" applyFont="1" applyFill="1" applyBorder="1"/>
    <xf numFmtId="164" fontId="12" fillId="12" borderId="13" xfId="0" applyNumberFormat="1" applyFont="1" applyFill="1" applyBorder="1"/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10" fontId="3" fillId="3" borderId="23" xfId="2" applyNumberFormat="1" applyFont="1" applyFill="1" applyBorder="1" applyAlignment="1">
      <alignment horizontal="center"/>
    </xf>
    <xf numFmtId="10" fontId="3" fillId="3" borderId="24" xfId="2" applyNumberFormat="1" applyFont="1" applyFill="1" applyBorder="1" applyAlignment="1">
      <alignment horizontal="center"/>
    </xf>
    <xf numFmtId="0" fontId="9" fillId="11" borderId="19" xfId="0" applyFont="1" applyFill="1" applyBorder="1" applyAlignment="1">
      <alignment horizontal="left"/>
    </xf>
    <xf numFmtId="0" fontId="9" fillId="11" borderId="20" xfId="0" applyFont="1" applyFill="1" applyBorder="1" applyAlignment="1">
      <alignment horizontal="left"/>
    </xf>
    <xf numFmtId="0" fontId="15" fillId="7" borderId="4" xfId="0" applyFont="1" applyFill="1" applyBorder="1" applyAlignment="1">
      <alignment horizontal="center"/>
    </xf>
    <xf numFmtId="0" fontId="15" fillId="7" borderId="5" xfId="0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/>
    </xf>
  </cellXfs>
  <cellStyles count="7">
    <cellStyle name="Calculation" xfId="5" builtinId="22"/>
    <cellStyle name="Comma" xfId="1" builtinId="3"/>
    <cellStyle name="Input" xfId="3" builtinId="20"/>
    <cellStyle name="Linked Cell" xfId="6" builtinId="24"/>
    <cellStyle name="Normal" xfId="0" builtinId="0"/>
    <cellStyle name="Output" xfId="4" builtinId="21"/>
    <cellStyle name="Percent" xfId="2" builtinId="5"/>
  </cellStyles>
  <dxfs count="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Sensitivity Analysis - Brand Det.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11PM-5AM'!$D$36</c:f>
              <c:strCache>
                <c:ptCount val="1"/>
                <c:pt idx="0">
                  <c:v>Total Savings Annual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11PM-5AM'!$C$38:$C$48</c:f>
              <c:numCache>
                <c:formatCode>0.00%</c:formatCode>
                <c:ptCount val="11"/>
                <c:pt idx="0">
                  <c:v>0</c:v>
                </c:pt>
                <c:pt idx="1">
                  <c:v>-2.5000000000000001E-3</c:v>
                </c:pt>
                <c:pt idx="2">
                  <c:v>-5.0000000000000001E-3</c:v>
                </c:pt>
                <c:pt idx="3">
                  <c:v>-7.4999999999999997E-3</c:v>
                </c:pt>
                <c:pt idx="4">
                  <c:v>-0.01</c:v>
                </c:pt>
                <c:pt idx="5">
                  <c:v>-1.2500000000000001E-2</c:v>
                </c:pt>
                <c:pt idx="6">
                  <c:v>-1.5000000000000001E-2</c:v>
                </c:pt>
                <c:pt idx="7">
                  <c:v>-1.7500000000000002E-2</c:v>
                </c:pt>
                <c:pt idx="8">
                  <c:v>-0.02</c:v>
                </c:pt>
                <c:pt idx="9">
                  <c:v>-2.2499999999999999E-2</c:v>
                </c:pt>
                <c:pt idx="10">
                  <c:v>-2.4999999999999998E-2</c:v>
                </c:pt>
              </c:numCache>
            </c:numRef>
          </c:cat>
          <c:val>
            <c:numRef>
              <c:f>'Summary 11PM-5AM'!$D$38:$D$48</c:f>
              <c:numCache>
                <c:formatCode>_(* #,##0_);_(* \(#,##0\);_(* "-"??_);_(@_)</c:formatCode>
                <c:ptCount val="11"/>
                <c:pt idx="0">
                  <c:v>18752.20023820741</c:v>
                </c:pt>
                <c:pt idx="1">
                  <c:v>14882.532406957411</c:v>
                </c:pt>
                <c:pt idx="2">
                  <c:v>11012.86457570741</c:v>
                </c:pt>
                <c:pt idx="3">
                  <c:v>7143.1967444574129</c:v>
                </c:pt>
                <c:pt idx="4">
                  <c:v>3273.5289132074104</c:v>
                </c:pt>
                <c:pt idx="5">
                  <c:v>-596.13891804258856</c:v>
                </c:pt>
                <c:pt idx="6">
                  <c:v>-4465.8067492925875</c:v>
                </c:pt>
                <c:pt idx="7">
                  <c:v>-8335.4745805425864</c:v>
                </c:pt>
                <c:pt idx="8">
                  <c:v>-12205.142411792589</c:v>
                </c:pt>
                <c:pt idx="9">
                  <c:v>-16074.810243042586</c:v>
                </c:pt>
                <c:pt idx="10">
                  <c:v>-19944.47807429258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9-4A2D-B9AD-07FB1257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688824"/>
        <c:axId val="1003688496"/>
      </c:barChart>
      <c:catAx>
        <c:axId val="100368882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496"/>
        <c:crosses val="autoZero"/>
        <c:auto val="1"/>
        <c:lblAlgn val="ctr"/>
        <c:lblOffset val="100"/>
        <c:noMultiLvlLbl val="0"/>
      </c:catAx>
      <c:valAx>
        <c:axId val="10036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All Restr. </a:t>
            </a:r>
            <a:r>
              <a:rPr lang="en-US" b="1"/>
              <a:t>Sensitivity Analysis - Brand Det.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11PM-5AM'!$K$36</c:f>
              <c:strCache>
                <c:ptCount val="1"/>
                <c:pt idx="0">
                  <c:v>Total Savings Annual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11PM-5AM'!$J$38:$J$48</c:f>
              <c:numCache>
                <c:formatCode>0.00%</c:formatCode>
                <c:ptCount val="11"/>
                <c:pt idx="0">
                  <c:v>0</c:v>
                </c:pt>
                <c:pt idx="1">
                  <c:v>-2.5000000000000001E-3</c:v>
                </c:pt>
                <c:pt idx="2">
                  <c:v>-5.0000000000000001E-3</c:v>
                </c:pt>
                <c:pt idx="3">
                  <c:v>-7.4999999999999997E-3</c:v>
                </c:pt>
                <c:pt idx="4">
                  <c:v>-0.01</c:v>
                </c:pt>
                <c:pt idx="5">
                  <c:v>-1.2500000000000001E-2</c:v>
                </c:pt>
                <c:pt idx="6">
                  <c:v>-1.5000000000000001E-2</c:v>
                </c:pt>
                <c:pt idx="7">
                  <c:v>-1.7500000000000002E-2</c:v>
                </c:pt>
                <c:pt idx="8">
                  <c:v>-0.02</c:v>
                </c:pt>
                <c:pt idx="9">
                  <c:v>-2.2499999999999999E-2</c:v>
                </c:pt>
                <c:pt idx="10">
                  <c:v>-2.4999999999999998E-2</c:v>
                </c:pt>
              </c:numCache>
            </c:numRef>
          </c:cat>
          <c:val>
            <c:numRef>
              <c:f>'Summary 11PM-5AM'!$K$38:$K$48</c:f>
              <c:numCache>
                <c:formatCode>_(* #,##0_);_(* \(#,##0\);_(* "-"??_);_(@_)</c:formatCode>
                <c:ptCount val="11"/>
                <c:pt idx="0">
                  <c:v>147128.89437352188</c:v>
                </c:pt>
                <c:pt idx="1">
                  <c:v>106832.59526433962</c:v>
                </c:pt>
                <c:pt idx="2">
                  <c:v>73777.624994131271</c:v>
                </c:pt>
                <c:pt idx="3">
                  <c:v>48636.728408373026</c:v>
                </c:pt>
                <c:pt idx="4">
                  <c:v>28833.121127123024</c:v>
                </c:pt>
                <c:pt idx="5">
                  <c:v>13086.690981871123</c:v>
                </c:pt>
                <c:pt idx="6">
                  <c:v>7604.7038575220304</c:v>
                </c:pt>
                <c:pt idx="7">
                  <c:v>4502.2312700220291</c:v>
                </c:pt>
                <c:pt idx="8">
                  <c:v>1399.7586825220312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0-47C0-910C-FD9956F0B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688824"/>
        <c:axId val="1003688496"/>
      </c:barChart>
      <c:catAx>
        <c:axId val="100368882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496"/>
        <c:crosses val="autoZero"/>
        <c:auto val="1"/>
        <c:lblAlgn val="ctr"/>
        <c:lblOffset val="100"/>
        <c:noMultiLvlLbl val="0"/>
      </c:catAx>
      <c:valAx>
        <c:axId val="10036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Sensitivity Analysis - Brand Det.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12AM-6AM'!$D$36</c:f>
              <c:strCache>
                <c:ptCount val="1"/>
                <c:pt idx="0">
                  <c:v>Total Savings Annual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12AM-6AM'!$C$38:$C$48</c:f>
              <c:numCache>
                <c:formatCode>0.00%</c:formatCode>
                <c:ptCount val="11"/>
                <c:pt idx="0">
                  <c:v>0</c:v>
                </c:pt>
                <c:pt idx="1">
                  <c:v>-2.5000000000000001E-3</c:v>
                </c:pt>
                <c:pt idx="2">
                  <c:v>-5.0000000000000001E-3</c:v>
                </c:pt>
                <c:pt idx="3">
                  <c:v>-7.4999999999999997E-3</c:v>
                </c:pt>
                <c:pt idx="4">
                  <c:v>-0.01</c:v>
                </c:pt>
                <c:pt idx="5">
                  <c:v>-1.2500000000000001E-2</c:v>
                </c:pt>
                <c:pt idx="6">
                  <c:v>-1.5000000000000001E-2</c:v>
                </c:pt>
                <c:pt idx="7">
                  <c:v>-1.7500000000000002E-2</c:v>
                </c:pt>
                <c:pt idx="8">
                  <c:v>-0.02</c:v>
                </c:pt>
                <c:pt idx="9">
                  <c:v>-2.2499999999999999E-2</c:v>
                </c:pt>
                <c:pt idx="10">
                  <c:v>-2.4999999999999998E-2</c:v>
                </c:pt>
              </c:numCache>
            </c:numRef>
          </c:cat>
          <c:val>
            <c:numRef>
              <c:f>'Summary 12AM-6AM'!$D$38:$D$48</c:f>
              <c:numCache>
                <c:formatCode>_(* #,##0_);_(* \(#,##0\);_(* "-"??_);_(@_)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9-4CB3-85E3-124CF46DF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688824"/>
        <c:axId val="1003688496"/>
      </c:barChart>
      <c:catAx>
        <c:axId val="100368882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496"/>
        <c:crosses val="autoZero"/>
        <c:auto val="1"/>
        <c:lblAlgn val="ctr"/>
        <c:lblOffset val="100"/>
        <c:noMultiLvlLbl val="0"/>
      </c:catAx>
      <c:valAx>
        <c:axId val="10036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All Restr. </a:t>
            </a:r>
            <a:r>
              <a:rPr lang="en-US" b="1"/>
              <a:t>Sensitivity Analysis - Brand Det.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12AM-6AM'!$K$36</c:f>
              <c:strCache>
                <c:ptCount val="1"/>
                <c:pt idx="0">
                  <c:v>Total Savings Annual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12AM-6AM'!$J$38:$J$48</c:f>
              <c:numCache>
                <c:formatCode>0.00%</c:formatCode>
                <c:ptCount val="11"/>
                <c:pt idx="0">
                  <c:v>0</c:v>
                </c:pt>
                <c:pt idx="1">
                  <c:v>-2.5000000000000001E-3</c:v>
                </c:pt>
                <c:pt idx="2">
                  <c:v>-5.0000000000000001E-3</c:v>
                </c:pt>
                <c:pt idx="3">
                  <c:v>-7.4999999999999997E-3</c:v>
                </c:pt>
                <c:pt idx="4">
                  <c:v>-0.01</c:v>
                </c:pt>
                <c:pt idx="5">
                  <c:v>-1.2500000000000001E-2</c:v>
                </c:pt>
                <c:pt idx="6">
                  <c:v>-1.5000000000000001E-2</c:v>
                </c:pt>
                <c:pt idx="7">
                  <c:v>-1.7500000000000002E-2</c:v>
                </c:pt>
                <c:pt idx="8">
                  <c:v>-0.02</c:v>
                </c:pt>
                <c:pt idx="9">
                  <c:v>-2.2499999999999999E-2</c:v>
                </c:pt>
                <c:pt idx="10">
                  <c:v>-2.4999999999999998E-2</c:v>
                </c:pt>
              </c:numCache>
            </c:numRef>
          </c:cat>
          <c:val>
            <c:numRef>
              <c:f>'Summary 12AM-6AM'!$K$38:$K$48</c:f>
              <c:numCache>
                <c:formatCode>_(* #,##0_);_(* \(#,##0\);_(* "-"??_);_(@_)</c:formatCode>
                <c:ptCount val="11"/>
                <c:pt idx="0">
                  <c:v>183431.80624196885</c:v>
                </c:pt>
                <c:pt idx="1">
                  <c:v>138511.64467321886</c:v>
                </c:pt>
                <c:pt idx="2">
                  <c:v>99029.778611542337</c:v>
                </c:pt>
                <c:pt idx="3">
                  <c:v>68885.785912379812</c:v>
                </c:pt>
                <c:pt idx="4">
                  <c:v>44811.047259912419</c:v>
                </c:pt>
                <c:pt idx="5">
                  <c:v>24059.10956103796</c:v>
                </c:pt>
                <c:pt idx="6">
                  <c:v>11097.618414372944</c:v>
                </c:pt>
                <c:pt idx="7">
                  <c:v>5844.4431475620422</c:v>
                </c:pt>
                <c:pt idx="8">
                  <c:v>2741.9705600620441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6-4549-99B2-2D2CFF224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3688824"/>
        <c:axId val="1003688496"/>
      </c:barChart>
      <c:catAx>
        <c:axId val="100368882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496"/>
        <c:crosses val="autoZero"/>
        <c:auto val="1"/>
        <c:lblAlgn val="ctr"/>
        <c:lblOffset val="100"/>
        <c:noMultiLvlLbl val="0"/>
      </c:catAx>
      <c:valAx>
        <c:axId val="10036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688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785812</xdr:colOff>
      <xdr:row>33</xdr:row>
      <xdr:rowOff>42862</xdr:rowOff>
    </xdr:from>
    <xdr:to>
      <xdr:col>8</xdr:col>
      <xdr:colOff>900112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09F92-D0CF-463D-AFD1-77F7269BE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33</xdr:row>
      <xdr:rowOff>9525</xdr:rowOff>
    </xdr:from>
    <xdr:to>
      <xdr:col>15</xdr:col>
      <xdr:colOff>561975</xdr:colOff>
      <xdr:row>48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D108E7-C133-4FBE-8072-E1CDFC9575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785812</xdr:colOff>
      <xdr:row>33</xdr:row>
      <xdr:rowOff>42862</xdr:rowOff>
    </xdr:from>
    <xdr:to>
      <xdr:col>8</xdr:col>
      <xdr:colOff>900112</xdr:colOff>
      <xdr:row>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AB651-1EC3-4439-8A75-C06962F5A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33</xdr:row>
      <xdr:rowOff>9525</xdr:rowOff>
    </xdr:from>
    <xdr:to>
      <xdr:col>15</xdr:col>
      <xdr:colOff>561975</xdr:colOff>
      <xdr:row>48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1B3BD2-23FF-418E-91D8-7367E3047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te%20Night%20Closure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Assumptions"/>
      <sheetName val="Pivot_Criteria"/>
      <sheetName val="Pivot_Ingr"/>
      <sheetName val="Pivot_Sales"/>
      <sheetName val="Pivot_Lottery"/>
      <sheetName val="Data"/>
      <sheetName val="Data_2"/>
      <sheetName val="Key"/>
      <sheetName val="Herminston Lottery Comp"/>
      <sheetName val="Sherwood Lottery Comp"/>
      <sheetName val="Pendleton Lottery Comp"/>
      <sheetName val="Roseburg Lottery Comp"/>
      <sheetName val="The Dalles Lottery Comp"/>
      <sheetName val="Herminston"/>
      <sheetName val="Herminston Labor"/>
      <sheetName val="Kennewick"/>
      <sheetName val="Kennewick Labor"/>
      <sheetName val="Sherwood"/>
      <sheetName val="Sherwood Labor"/>
      <sheetName val="Richland"/>
      <sheetName val="Richland Labor"/>
      <sheetName val="Kent"/>
      <sheetName val="Kent Labor"/>
      <sheetName val="Moses Lake"/>
      <sheetName val="Moses Lake Labor"/>
      <sheetName val="Scottsbluff"/>
      <sheetName val="Scottsbluff Labor"/>
      <sheetName val="Coeur D Alene"/>
      <sheetName val="Coeur D Alene Labor"/>
      <sheetName val="Spokane Valley"/>
      <sheetName val="Spokane Valley Labor"/>
      <sheetName val="Wandermere"/>
      <sheetName val="Wandermere Labor"/>
      <sheetName val="Walla Walla"/>
      <sheetName val="Walla Walla Labor"/>
      <sheetName val="Pendleton"/>
      <sheetName val="Pendleton Labor"/>
      <sheetName val="Roseburg"/>
      <sheetName val="Roseburg Labor"/>
      <sheetName val="Idaho Falls"/>
      <sheetName val="Idaho Falls Labor"/>
      <sheetName val="Moscow"/>
      <sheetName val="Moscow Labor"/>
      <sheetName val="The Dalles"/>
      <sheetName val="The Dalles Labor"/>
    </sheetNames>
    <sheetDataSet>
      <sheetData sheetId="0">
        <row r="36">
          <cell r="D36" t="str">
            <v>Total Savings Annual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361">
          <cell r="B1361" t="str">
            <v>05/13/2017 1:07:46</v>
          </cell>
        </row>
        <row r="1362">
          <cell r="B1362" t="str">
            <v>4</v>
          </cell>
        </row>
        <row r="1363">
          <cell r="B1363" t="str">
            <v>2017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C1:S48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" sqref="A2"/>
    </sheetView>
  </sheetViews>
  <sheetFormatPr defaultRowHeight="15" x14ac:dyDescent="0.25"/>
  <cols>
    <col min="3" max="3" width="22.140625" customWidth="1"/>
    <col min="4" max="4" width="19.42578125" customWidth="1"/>
    <col min="5" max="10" width="16.7109375" customWidth="1"/>
    <col min="11" max="11" width="21" customWidth="1"/>
    <col min="12" max="19" width="16.7109375" customWidth="1"/>
  </cols>
  <sheetData>
    <row r="1" spans="3:19" ht="15" hidden="1" customHeight="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3:19" ht="26.25" x14ac:dyDescent="0.4">
      <c r="C2" s="1" t="s">
        <v>16</v>
      </c>
      <c r="D2" s="116" t="s">
        <v>17</v>
      </c>
      <c r="E2" s="117"/>
      <c r="F2" s="118"/>
    </row>
    <row r="3" spans="3:19" s="6" customFormat="1" x14ac:dyDescent="0.25"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3:19" x14ac:dyDescent="0.25">
      <c r="C4" s="7" t="s">
        <v>34</v>
      </c>
      <c r="D4" s="8">
        <v>-14779</v>
      </c>
      <c r="E4" s="9">
        <v>-17801</v>
      </c>
      <c r="F4" s="9">
        <v>-12798</v>
      </c>
      <c r="G4" s="9">
        <v>-17800</v>
      </c>
      <c r="H4" s="9">
        <v>-22611</v>
      </c>
      <c r="I4" s="9">
        <v>-17185</v>
      </c>
      <c r="J4" s="9">
        <v>-22900</v>
      </c>
      <c r="K4" s="9">
        <v>-13456</v>
      </c>
      <c r="L4" s="9">
        <v>-19467</v>
      </c>
      <c r="M4" s="9">
        <v>-15524</v>
      </c>
      <c r="N4" s="9">
        <v>-19481</v>
      </c>
      <c r="O4" s="9">
        <v>-9379</v>
      </c>
      <c r="P4" s="9">
        <v>-19317</v>
      </c>
      <c r="Q4" s="9">
        <v>-21003</v>
      </c>
      <c r="R4" s="9">
        <v>-17996</v>
      </c>
      <c r="S4" s="10">
        <v>-10244</v>
      </c>
    </row>
    <row r="5" spans="3:19" x14ac:dyDescent="0.25">
      <c r="C5" s="7" t="s">
        <v>35</v>
      </c>
      <c r="D5" s="8">
        <v>-5476.8751215559159</v>
      </c>
      <c r="E5" s="9">
        <v>0</v>
      </c>
      <c r="F5" s="9">
        <v>-4728.4232576985414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-3397.7634116693675</v>
      </c>
      <c r="P5" s="9">
        <v>-3248.6338735818476</v>
      </c>
      <c r="Q5" s="9">
        <v>0</v>
      </c>
      <c r="R5" s="9">
        <v>0</v>
      </c>
      <c r="S5" s="10">
        <v>-6814.0246555915728</v>
      </c>
    </row>
    <row r="6" spans="3:19" x14ac:dyDescent="0.25">
      <c r="C6" s="7" t="s">
        <v>36</v>
      </c>
      <c r="D6" s="8">
        <v>4138</v>
      </c>
      <c r="E6" s="9">
        <v>4247</v>
      </c>
      <c r="F6" s="9">
        <v>3365</v>
      </c>
      <c r="G6" s="9">
        <v>4444</v>
      </c>
      <c r="H6" s="9">
        <v>5580</v>
      </c>
      <c r="I6" s="9">
        <v>4334</v>
      </c>
      <c r="J6" s="9">
        <v>5539</v>
      </c>
      <c r="K6" s="9">
        <v>3380</v>
      </c>
      <c r="L6" s="9">
        <v>4811</v>
      </c>
      <c r="M6" s="9">
        <v>3731</v>
      </c>
      <c r="N6" s="9">
        <v>4606</v>
      </c>
      <c r="O6" s="9">
        <v>3203</v>
      </c>
      <c r="P6" s="9">
        <v>5011</v>
      </c>
      <c r="Q6" s="9">
        <v>5556</v>
      </c>
      <c r="R6" s="9">
        <v>4432</v>
      </c>
      <c r="S6" s="10">
        <v>3397</v>
      </c>
    </row>
    <row r="7" spans="3:19" x14ac:dyDescent="0.25">
      <c r="C7" s="7" t="s">
        <v>37</v>
      </c>
      <c r="D7" s="11">
        <v>13802.875926827193</v>
      </c>
      <c r="E7" s="12">
        <v>17006.577476193685</v>
      </c>
      <c r="F7" s="12">
        <v>12554.994423975819</v>
      </c>
      <c r="G7" s="12">
        <v>14281.348641714554</v>
      </c>
      <c r="H7" s="12">
        <v>17343.855909600927</v>
      </c>
      <c r="I7" s="12">
        <v>17203.107412400292</v>
      </c>
      <c r="J7" s="12">
        <v>17316.167896271258</v>
      </c>
      <c r="K7" s="12">
        <v>12256.908044182343</v>
      </c>
      <c r="L7" s="12">
        <v>14467.308601520286</v>
      </c>
      <c r="M7" s="12">
        <v>14663.767587517616</v>
      </c>
      <c r="N7" s="12">
        <v>13393.89394662381</v>
      </c>
      <c r="O7" s="12">
        <v>15800.728329437292</v>
      </c>
      <c r="P7" s="12">
        <v>17484.321794442894</v>
      </c>
      <c r="Q7" s="12">
        <v>8627.4137934474893</v>
      </c>
      <c r="R7" s="12">
        <v>8944.8328880065346</v>
      </c>
      <c r="S7" s="13">
        <v>15215.157978144176</v>
      </c>
    </row>
    <row r="8" spans="3:19" x14ac:dyDescent="0.25">
      <c r="C8" s="14" t="s">
        <v>38</v>
      </c>
      <c r="D8" s="15">
        <v>-2314.9991947287235</v>
      </c>
      <c r="E8" s="16">
        <v>3452.5774761936846</v>
      </c>
      <c r="F8" s="16">
        <v>-1606.4288337227226</v>
      </c>
      <c r="G8" s="16">
        <v>925.34864171455411</v>
      </c>
      <c r="H8" s="16">
        <v>312.85590960092668</v>
      </c>
      <c r="I8" s="16">
        <v>4352.1074124002917</v>
      </c>
      <c r="J8" s="16">
        <v>-44.832103728742368</v>
      </c>
      <c r="K8" s="16">
        <v>2180.9080441823426</v>
      </c>
      <c r="L8" s="16">
        <v>-188.69139847971383</v>
      </c>
      <c r="M8" s="16">
        <v>2870.7675875176155</v>
      </c>
      <c r="N8" s="16">
        <v>-1481.1060533761902</v>
      </c>
      <c r="O8" s="16">
        <v>6226.9649177679239</v>
      </c>
      <c r="P8" s="16">
        <v>-70.312079138951958</v>
      </c>
      <c r="Q8" s="16">
        <v>-6819.5862065525107</v>
      </c>
      <c r="R8" s="16">
        <v>-4619.1671119934654</v>
      </c>
      <c r="S8" s="17">
        <v>1554.1333225526032</v>
      </c>
    </row>
    <row r="9" spans="3:19" ht="6" customHeight="1" x14ac:dyDescent="0.25">
      <c r="C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spans="3:19" x14ac:dyDescent="0.25">
      <c r="C10" s="7" t="s">
        <v>39</v>
      </c>
      <c r="D10" s="8">
        <v>374.03689397151965</v>
      </c>
      <c r="E10" s="9">
        <v>401.91614353532538</v>
      </c>
      <c r="F10" s="9">
        <v>336.90226443034459</v>
      </c>
      <c r="G10" s="9">
        <v>473.47486985083157</v>
      </c>
      <c r="H10" s="9">
        <v>751.256902703788</v>
      </c>
      <c r="I10" s="9">
        <v>472.69885066602581</v>
      </c>
      <c r="J10" s="9">
        <v>405.81988652421757</v>
      </c>
      <c r="K10" s="9">
        <v>392.37242725457111</v>
      </c>
      <c r="L10" s="9">
        <v>463.43456385100779</v>
      </c>
      <c r="M10" s="9">
        <v>373.73009674635966</v>
      </c>
      <c r="N10" s="9">
        <v>616.57152583475636</v>
      </c>
      <c r="O10" s="9">
        <v>288.38023899857001</v>
      </c>
      <c r="P10" s="9">
        <v>580.27337487433545</v>
      </c>
      <c r="Q10" s="9">
        <v>630.5402828696316</v>
      </c>
      <c r="R10" s="9">
        <v>873.27407671096569</v>
      </c>
      <c r="S10" s="10">
        <v>404.12507702875092</v>
      </c>
    </row>
    <row r="11" spans="3:19" x14ac:dyDescent="0.25">
      <c r="C11" s="7" t="s">
        <v>40</v>
      </c>
      <c r="D11" s="8">
        <v>116.00169579907802</v>
      </c>
      <c r="E11" s="9">
        <v>152.16176678081686</v>
      </c>
      <c r="F11" s="9">
        <v>112.23436566128152</v>
      </c>
      <c r="G11" s="9">
        <v>143.99496799823442</v>
      </c>
      <c r="H11" s="9">
        <v>202.76567845075692</v>
      </c>
      <c r="I11" s="9">
        <v>130.2766955506257</v>
      </c>
      <c r="J11" s="9">
        <v>144.80697385471046</v>
      </c>
      <c r="K11" s="9">
        <v>186.50998197661258</v>
      </c>
      <c r="L11" s="9">
        <v>170.74790542868163</v>
      </c>
      <c r="M11" s="9">
        <v>138.26440960794946</v>
      </c>
      <c r="N11" s="9">
        <v>158.94767811220606</v>
      </c>
      <c r="O11" s="9">
        <v>85.266905674846626</v>
      </c>
      <c r="P11" s="9">
        <v>121.24218339325986</v>
      </c>
      <c r="Q11" s="9">
        <v>196.72479695413861</v>
      </c>
      <c r="R11" s="9">
        <v>240.67598400891356</v>
      </c>
      <c r="S11" s="10">
        <v>115.21726032774018</v>
      </c>
    </row>
    <row r="12" spans="3:19" x14ac:dyDescent="0.25">
      <c r="C12" s="7" t="s">
        <v>41</v>
      </c>
      <c r="D12" s="8">
        <v>1283.032967931744</v>
      </c>
      <c r="E12" s="9">
        <v>1484.3827659294145</v>
      </c>
      <c r="F12" s="9">
        <v>1404.4809297327315</v>
      </c>
      <c r="G12" s="9">
        <v>989.81686808799884</v>
      </c>
      <c r="H12" s="9">
        <v>2016.1468826446758</v>
      </c>
      <c r="I12" s="9">
        <v>829.89714317774997</v>
      </c>
      <c r="J12" s="9">
        <v>1802.0806264631069</v>
      </c>
      <c r="K12" s="9">
        <v>1756.3056394393304</v>
      </c>
      <c r="L12" s="9">
        <v>1455.3253536360903</v>
      </c>
      <c r="M12" s="9">
        <v>1648.4435305421716</v>
      </c>
      <c r="N12" s="9">
        <v>1827.2927297582066</v>
      </c>
      <c r="O12" s="9">
        <v>1339.5241917869828</v>
      </c>
      <c r="P12" s="9">
        <v>1632.8839920862065</v>
      </c>
      <c r="Q12" s="9">
        <v>1466.1360327482134</v>
      </c>
      <c r="R12" s="9">
        <v>1051.3380977074003</v>
      </c>
      <c r="S12" s="10">
        <v>1176.9090659475448</v>
      </c>
    </row>
    <row r="13" spans="3:19" x14ac:dyDescent="0.25">
      <c r="C13" s="7" t="s">
        <v>42</v>
      </c>
      <c r="D13" s="8">
        <v>209.24870894491332</v>
      </c>
      <c r="E13" s="9">
        <v>278.86961316303882</v>
      </c>
      <c r="F13" s="9">
        <v>234.85746326213712</v>
      </c>
      <c r="G13" s="9">
        <v>281.99875368377326</v>
      </c>
      <c r="H13" s="9">
        <v>249.43246147095792</v>
      </c>
      <c r="I13" s="9">
        <v>221.42314586233815</v>
      </c>
      <c r="J13" s="9">
        <v>320.39777847692892</v>
      </c>
      <c r="K13" s="9">
        <v>203.0254309136912</v>
      </c>
      <c r="L13" s="9">
        <v>274.73263894532948</v>
      </c>
      <c r="M13" s="9">
        <v>255.45217084984591</v>
      </c>
      <c r="N13" s="9">
        <v>265.82074390005556</v>
      </c>
      <c r="O13" s="9">
        <v>127.41432500922552</v>
      </c>
      <c r="P13" s="9">
        <v>272.91234931575087</v>
      </c>
      <c r="Q13" s="9">
        <v>306.44299424130998</v>
      </c>
      <c r="R13" s="9">
        <v>409.06190694757362</v>
      </c>
      <c r="S13" s="10">
        <v>145.37444019232657</v>
      </c>
    </row>
    <row r="14" spans="3:19" x14ac:dyDescent="0.25">
      <c r="C14" s="14" t="s">
        <v>43</v>
      </c>
      <c r="D14" s="20">
        <v>1982.3202666472548</v>
      </c>
      <c r="E14" s="21">
        <v>2317.3302894085955</v>
      </c>
      <c r="F14" s="21">
        <v>2088.4750230864947</v>
      </c>
      <c r="G14" s="21">
        <v>1889.2854596208379</v>
      </c>
      <c r="H14" s="21">
        <v>3219.6019252701785</v>
      </c>
      <c r="I14" s="21">
        <v>1654.2958352567396</v>
      </c>
      <c r="J14" s="21">
        <v>2673.105265318964</v>
      </c>
      <c r="K14" s="21">
        <v>2538.2134795842053</v>
      </c>
      <c r="L14" s="21">
        <v>2364.2404618611095</v>
      </c>
      <c r="M14" s="21">
        <v>2415.8902077463267</v>
      </c>
      <c r="N14" s="21">
        <v>2868.6326776052247</v>
      </c>
      <c r="O14" s="21">
        <v>1840.5856614696247</v>
      </c>
      <c r="P14" s="21">
        <v>2607.3118996695525</v>
      </c>
      <c r="Q14" s="21">
        <v>2599.8441068132934</v>
      </c>
      <c r="R14" s="21">
        <v>2574.3500653748533</v>
      </c>
      <c r="S14" s="22">
        <v>1841.6258434963624</v>
      </c>
    </row>
    <row r="15" spans="3:19" ht="6" customHeight="1" x14ac:dyDescent="0.25"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3:19" x14ac:dyDescent="0.25">
      <c r="C16" s="7" t="s">
        <v>44</v>
      </c>
      <c r="D16" s="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10">
        <v>0</v>
      </c>
    </row>
    <row r="17" spans="3:19" ht="6" customHeight="1" thickBot="1" x14ac:dyDescent="0.3">
      <c r="C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/>
    </row>
    <row r="18" spans="3:19" ht="15.75" thickTop="1" x14ac:dyDescent="0.25">
      <c r="C18" s="23" t="s">
        <v>45</v>
      </c>
      <c r="D18" s="24">
        <v>-332.67892808146871</v>
      </c>
      <c r="E18" s="25">
        <v>5769.9077656022801</v>
      </c>
      <c r="F18" s="25">
        <v>482.0461893637721</v>
      </c>
      <c r="G18" s="25">
        <v>2814.6341013353922</v>
      </c>
      <c r="H18" s="25">
        <v>3532.4578348711052</v>
      </c>
      <c r="I18" s="25">
        <v>6006.403247657031</v>
      </c>
      <c r="J18" s="25">
        <v>2628.2731615902217</v>
      </c>
      <c r="K18" s="25">
        <v>4719.1215237665474</v>
      </c>
      <c r="L18" s="25">
        <v>2175.5490633813956</v>
      </c>
      <c r="M18" s="25">
        <v>5286.6577952639418</v>
      </c>
      <c r="N18" s="25">
        <v>1387.5266242290345</v>
      </c>
      <c r="O18" s="25">
        <v>8067.5505792375488</v>
      </c>
      <c r="P18" s="25">
        <v>2536.9998205306006</v>
      </c>
      <c r="Q18" s="25">
        <v>-4219.7420997392173</v>
      </c>
      <c r="R18" s="25">
        <v>-2044.817046618612</v>
      </c>
      <c r="S18" s="26">
        <v>3395.7591660489657</v>
      </c>
    </row>
    <row r="19" spans="3:19" ht="6.75" customHeight="1" x14ac:dyDescent="0.25">
      <c r="C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</row>
    <row r="20" spans="3:19" x14ac:dyDescent="0.25">
      <c r="C20" s="27" t="s">
        <v>46</v>
      </c>
      <c r="D20" s="28">
        <v>-1081.2065162647732</v>
      </c>
      <c r="E20" s="29">
        <v>18752.20023820741</v>
      </c>
      <c r="F20" s="29">
        <v>1566.6501154322593</v>
      </c>
      <c r="G20" s="29">
        <v>9147.5608293400255</v>
      </c>
      <c r="H20" s="29">
        <v>11480.487963331092</v>
      </c>
      <c r="I20" s="29">
        <v>19520.810554885349</v>
      </c>
      <c r="J20" s="29">
        <v>8541.8877751682212</v>
      </c>
      <c r="K20" s="29">
        <v>15337.144952241279</v>
      </c>
      <c r="L20" s="29">
        <v>7070.5344559895357</v>
      </c>
      <c r="M20" s="29">
        <v>17181.637834607813</v>
      </c>
      <c r="N20" s="29">
        <v>4509.4615287443621</v>
      </c>
      <c r="O20" s="29">
        <v>26219.539382522034</v>
      </c>
      <c r="P20" s="29">
        <v>8245.2494167244513</v>
      </c>
      <c r="Q20" s="29">
        <v>-13714.161824152456</v>
      </c>
      <c r="R20" s="29">
        <v>-6645.6554015104894</v>
      </c>
      <c r="S20" s="30">
        <v>11036.217289659138</v>
      </c>
    </row>
    <row r="21" spans="3:19" ht="6" customHeight="1" x14ac:dyDescent="0.25">
      <c r="C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 spans="3:19" x14ac:dyDescent="0.25">
      <c r="C22" s="7" t="s">
        <v>47</v>
      </c>
      <c r="D22" s="31" t="s">
        <v>134</v>
      </c>
      <c r="E22" s="32" t="s">
        <v>167</v>
      </c>
      <c r="F22" s="32" t="s">
        <v>167</v>
      </c>
      <c r="G22" s="32" t="s">
        <v>167</v>
      </c>
      <c r="H22" s="32" t="s">
        <v>134</v>
      </c>
      <c r="I22" s="32" t="s">
        <v>167</v>
      </c>
      <c r="J22" s="32" t="s">
        <v>167</v>
      </c>
      <c r="K22" s="32" t="s">
        <v>167</v>
      </c>
      <c r="L22" s="32" t="s">
        <v>167</v>
      </c>
      <c r="M22" s="32" t="s">
        <v>167</v>
      </c>
      <c r="N22" s="32" t="s">
        <v>167</v>
      </c>
      <c r="O22" s="32" t="s">
        <v>167</v>
      </c>
      <c r="P22" s="32" t="s">
        <v>167</v>
      </c>
      <c r="Q22" s="32" t="s">
        <v>134</v>
      </c>
      <c r="R22" s="32" t="s">
        <v>134</v>
      </c>
      <c r="S22" s="33" t="s">
        <v>167</v>
      </c>
    </row>
    <row r="23" spans="3:19" ht="6" customHeight="1" x14ac:dyDescent="0.25">
      <c r="C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 spans="3:19" x14ac:dyDescent="0.25">
      <c r="C24" s="34" t="s">
        <v>48</v>
      </c>
      <c r="D24" s="35" t="s">
        <v>168</v>
      </c>
      <c r="E24" s="36" t="s">
        <v>169</v>
      </c>
      <c r="F24" s="36" t="s">
        <v>169</v>
      </c>
      <c r="G24" s="36" t="s">
        <v>169</v>
      </c>
      <c r="H24" s="36" t="s">
        <v>49</v>
      </c>
      <c r="I24" s="36" t="s">
        <v>169</v>
      </c>
      <c r="J24" s="36" t="s">
        <v>169</v>
      </c>
      <c r="K24" s="36" t="s">
        <v>169</v>
      </c>
      <c r="L24" s="36" t="s">
        <v>169</v>
      </c>
      <c r="M24" s="36" t="s">
        <v>169</v>
      </c>
      <c r="N24" s="36" t="s">
        <v>169</v>
      </c>
      <c r="O24" s="36" t="s">
        <v>169</v>
      </c>
      <c r="P24" s="36" t="s">
        <v>169</v>
      </c>
      <c r="Q24" s="36" t="s">
        <v>168</v>
      </c>
      <c r="R24" s="36" t="s">
        <v>168</v>
      </c>
      <c r="S24" s="37" t="s">
        <v>169</v>
      </c>
    </row>
    <row r="25" spans="3:19" ht="5.25" customHeight="1" x14ac:dyDescent="0.25"/>
    <row r="26" spans="3:19" x14ac:dyDescent="0.25">
      <c r="C26" s="38" t="s">
        <v>50</v>
      </c>
      <c r="D26" s="39">
        <v>147128.89437352188</v>
      </c>
    </row>
    <row r="28" spans="3:19" x14ac:dyDescent="0.25">
      <c r="C28" t="s">
        <v>51</v>
      </c>
      <c r="D28" s="40">
        <v>0</v>
      </c>
      <c r="E28" s="41">
        <v>18752.20023820741</v>
      </c>
    </row>
    <row r="29" spans="3:19" x14ac:dyDescent="0.25">
      <c r="C29" s="42"/>
      <c r="D29" s="43"/>
    </row>
    <row r="30" spans="3:19" s="47" customFormat="1" x14ac:dyDescent="0.25">
      <c r="C30" s="44" t="s">
        <v>52</v>
      </c>
      <c r="D30" s="45" t="s">
        <v>53</v>
      </c>
      <c r="E30" s="46">
        <v>-1.2114864282905376E-2</v>
      </c>
      <c r="F30" s="46">
        <v>-1.4144675228259019E-3</v>
      </c>
      <c r="G30" s="46">
        <v>-7.308546880141523E-3</v>
      </c>
      <c r="H30" s="46">
        <v>-8.7558200187207117E-3</v>
      </c>
      <c r="I30" s="46">
        <v>-1.1929148332390872E-2</v>
      </c>
      <c r="J30" s="46">
        <v>-7.0084021197045644E-3</v>
      </c>
      <c r="K30" s="46">
        <v>-1.3519921757126711E-2</v>
      </c>
      <c r="L30" s="46">
        <v>-4.4881157218735514E-3</v>
      </c>
      <c r="M30" s="46">
        <v>-1.34575271591061E-2</v>
      </c>
      <c r="N30" s="46">
        <v>-3.5682812404589769E-3</v>
      </c>
      <c r="O30" s="46">
        <v>-2.1127937993845398E-2</v>
      </c>
      <c r="P30" s="46">
        <v>-3.6469986529113034E-3</v>
      </c>
      <c r="Q30" s="45" t="s">
        <v>53</v>
      </c>
      <c r="R30" s="45" t="s">
        <v>53</v>
      </c>
      <c r="S30" s="46">
        <v>-1.0171166776819085E-2</v>
      </c>
    </row>
    <row r="31" spans="3:19" x14ac:dyDescent="0.25">
      <c r="C31" s="42"/>
      <c r="D31" s="43"/>
      <c r="E31" s="48"/>
    </row>
    <row r="32" spans="3:19" x14ac:dyDescent="0.25">
      <c r="C32" s="49" t="s">
        <v>54</v>
      </c>
      <c r="D32" s="43"/>
    </row>
    <row r="33" spans="3:11" x14ac:dyDescent="0.25">
      <c r="C33" s="42"/>
      <c r="D33" s="43"/>
    </row>
    <row r="34" spans="3:11" x14ac:dyDescent="0.25">
      <c r="C34" s="50" t="s">
        <v>55</v>
      </c>
      <c r="D34" s="45"/>
      <c r="J34" s="119" t="s">
        <v>56</v>
      </c>
      <c r="K34" s="120"/>
    </row>
    <row r="35" spans="3:11" x14ac:dyDescent="0.25">
      <c r="C35" s="51"/>
    </row>
    <row r="36" spans="3:11" x14ac:dyDescent="0.25">
      <c r="C36" s="52" t="s">
        <v>57</v>
      </c>
      <c r="D36" s="53" t="s">
        <v>58</v>
      </c>
      <c r="J36" s="52" t="s">
        <v>57</v>
      </c>
      <c r="K36" s="54" t="s">
        <v>58</v>
      </c>
    </row>
    <row r="37" spans="3:11" hidden="1" x14ac:dyDescent="0.25">
      <c r="C37" s="55"/>
      <c r="D37" s="56">
        <v>18752.20023820741</v>
      </c>
      <c r="J37" s="55"/>
      <c r="K37" s="57">
        <v>147128.89437352188</v>
      </c>
    </row>
    <row r="38" spans="3:11" x14ac:dyDescent="0.25">
      <c r="C38" s="58">
        <v>0</v>
      </c>
      <c r="D38" s="59">
        <v>18752.20023820741</v>
      </c>
      <c r="J38" s="58">
        <v>0</v>
      </c>
      <c r="K38" s="60">
        <v>147128.89437352188</v>
      </c>
    </row>
    <row r="39" spans="3:11" x14ac:dyDescent="0.25">
      <c r="C39" s="58">
        <v>-2.5000000000000001E-3</v>
      </c>
      <c r="D39" s="59">
        <v>14882.532406957411</v>
      </c>
      <c r="J39" s="58">
        <v>-2.5000000000000001E-3</v>
      </c>
      <c r="K39" s="60">
        <v>106832.59526433962</v>
      </c>
    </row>
    <row r="40" spans="3:11" x14ac:dyDescent="0.25">
      <c r="C40" s="58">
        <v>-5.0000000000000001E-3</v>
      </c>
      <c r="D40" s="59">
        <v>11012.86457570741</v>
      </c>
      <c r="J40" s="58">
        <v>-5.0000000000000001E-3</v>
      </c>
      <c r="K40" s="60">
        <v>73777.624994131271</v>
      </c>
    </row>
    <row r="41" spans="3:11" x14ac:dyDescent="0.25">
      <c r="C41" s="58">
        <v>-7.4999999999999997E-3</v>
      </c>
      <c r="D41" s="59">
        <v>7143.1967444574129</v>
      </c>
      <c r="J41" s="58">
        <v>-7.4999999999999997E-3</v>
      </c>
      <c r="K41" s="60">
        <v>48636.728408373026</v>
      </c>
    </row>
    <row r="42" spans="3:11" x14ac:dyDescent="0.25">
      <c r="C42" s="58">
        <v>-0.01</v>
      </c>
      <c r="D42" s="59">
        <v>3273.5289132074104</v>
      </c>
      <c r="J42" s="58">
        <v>-0.01</v>
      </c>
      <c r="K42" s="60">
        <v>28833.121127123024</v>
      </c>
    </row>
    <row r="43" spans="3:11" x14ac:dyDescent="0.25">
      <c r="C43" s="58">
        <v>-1.2500000000000001E-2</v>
      </c>
      <c r="D43" s="59">
        <v>-596.13891804258856</v>
      </c>
      <c r="J43" s="58">
        <v>-1.2500000000000001E-2</v>
      </c>
      <c r="K43" s="60">
        <v>13086.690981871123</v>
      </c>
    </row>
    <row r="44" spans="3:11" x14ac:dyDescent="0.25">
      <c r="C44" s="58">
        <v>-1.5000000000000001E-2</v>
      </c>
      <c r="D44" s="59">
        <v>-4465.8067492925875</v>
      </c>
      <c r="J44" s="58">
        <v>-1.5000000000000001E-2</v>
      </c>
      <c r="K44" s="60">
        <v>7604.7038575220304</v>
      </c>
    </row>
    <row r="45" spans="3:11" x14ac:dyDescent="0.25">
      <c r="C45" s="58">
        <v>-1.7500000000000002E-2</v>
      </c>
      <c r="D45" s="59">
        <v>-8335.4745805425864</v>
      </c>
      <c r="J45" s="58">
        <v>-1.7500000000000002E-2</v>
      </c>
      <c r="K45" s="60">
        <v>4502.2312700220291</v>
      </c>
    </row>
    <row r="46" spans="3:11" x14ac:dyDescent="0.25">
      <c r="C46" s="58">
        <v>-0.02</v>
      </c>
      <c r="D46" s="59">
        <v>-12205.142411792589</v>
      </c>
      <c r="J46" s="58">
        <v>-0.02</v>
      </c>
      <c r="K46" s="60">
        <v>1399.7586825220312</v>
      </c>
    </row>
    <row r="47" spans="3:11" x14ac:dyDescent="0.25">
      <c r="C47" s="58">
        <v>-2.2499999999999999E-2</v>
      </c>
      <c r="D47" s="59">
        <v>-16074.810243042586</v>
      </c>
      <c r="J47" s="58">
        <v>-2.2499999999999999E-2</v>
      </c>
      <c r="K47" s="60">
        <v>0</v>
      </c>
    </row>
    <row r="48" spans="3:11" x14ac:dyDescent="0.25">
      <c r="C48" s="61">
        <v>-2.4999999999999998E-2</v>
      </c>
      <c r="D48" s="62">
        <v>-19944.47807429258</v>
      </c>
      <c r="J48" s="61">
        <v>-2.4999999999999998E-2</v>
      </c>
      <c r="K48" s="63">
        <v>0</v>
      </c>
    </row>
  </sheetData>
  <mergeCells count="2">
    <mergeCell ref="D2:F2"/>
    <mergeCell ref="J34:K34"/>
  </mergeCells>
  <conditionalFormatting sqref="D22:S22">
    <cfRule type="cellIs" dxfId="3" priority="1" operator="equal">
      <formula>"Stay Open"</formula>
    </cfRule>
    <cfRule type="cellIs" dxfId="2" priority="2" operator="equal">
      <formula>"Close"</formula>
    </cfRule>
  </conditionalFormatting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U126"/>
  <sheetViews>
    <sheetView showGridLines="0" workbookViewId="0">
      <pane xSplit="5" ySplit="3" topLeftCell="F87" activePane="bottomRight" state="frozen"/>
      <selection activeCell="D7" sqref="D7"/>
      <selection pane="topRight" activeCell="D7" sqref="D7"/>
      <selection pane="bottomLeft" activeCell="D7" sqref="D7"/>
      <selection pane="bottomRight" activeCell="E56" sqref="E56:E113"/>
    </sheetView>
  </sheetViews>
  <sheetFormatPr defaultRowHeight="15" outlineLevelRow="1" outlineLevelCol="1" x14ac:dyDescent="0.25"/>
  <cols>
    <col min="1" max="4" width="9.140625" hidden="1" customWidth="1" outlineLevel="1"/>
    <col min="5" max="5" width="31.85546875" customWidth="1" collapsed="1"/>
    <col min="6" max="21" width="17.85546875" customWidth="1"/>
  </cols>
  <sheetData>
    <row r="1" spans="1:21" hidden="1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3" spans="1:21" ht="15.75" thickBot="1" x14ac:dyDescent="0.3"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  <c r="O3" t="s">
        <v>180</v>
      </c>
      <c r="P3" t="s">
        <v>181</v>
      </c>
      <c r="Q3" t="s">
        <v>182</v>
      </c>
      <c r="R3" t="s">
        <v>183</v>
      </c>
      <c r="S3" t="s">
        <v>184</v>
      </c>
      <c r="T3" t="s">
        <v>185</v>
      </c>
      <c r="U3" t="s">
        <v>186</v>
      </c>
    </row>
    <row r="4" spans="1:21" ht="16.5" thickTop="1" thickBot="1" x14ac:dyDescent="0.3">
      <c r="E4" t="s">
        <v>59</v>
      </c>
      <c r="F4" s="64">
        <v>421112.31000000006</v>
      </c>
      <c r="G4" s="64">
        <v>476266.80999999994</v>
      </c>
      <c r="H4" s="64">
        <v>340796.93000000005</v>
      </c>
      <c r="I4" s="64">
        <v>385115.42000000004</v>
      </c>
      <c r="J4" s="64">
        <v>403441.12000000005</v>
      </c>
      <c r="K4" s="64">
        <v>503506.45999999996</v>
      </c>
      <c r="L4" s="64">
        <v>375017.46</v>
      </c>
      <c r="M4" s="64">
        <v>349049.47</v>
      </c>
      <c r="N4" s="64">
        <v>484735.50999999989</v>
      </c>
      <c r="O4" s="64">
        <v>392840.2099999999</v>
      </c>
      <c r="P4" s="64">
        <v>388850.12999999995</v>
      </c>
      <c r="Q4" s="64">
        <v>381842.78</v>
      </c>
      <c r="R4" s="64">
        <v>695640.4600000002</v>
      </c>
      <c r="S4" s="64">
        <v>288130.95</v>
      </c>
      <c r="T4" s="64">
        <v>503506.45999999996</v>
      </c>
      <c r="U4" s="64">
        <v>333861.32000000007</v>
      </c>
    </row>
    <row r="5" spans="1:21" ht="16.5" thickTop="1" thickBot="1" x14ac:dyDescent="0.3"/>
    <row r="6" spans="1:21" ht="16.5" thickTop="1" thickBot="1" x14ac:dyDescent="0.3">
      <c r="E6" t="s">
        <v>60</v>
      </c>
      <c r="F6" s="64">
        <v>14779</v>
      </c>
      <c r="G6" s="64">
        <v>17801</v>
      </c>
      <c r="H6" s="64">
        <v>12798</v>
      </c>
      <c r="I6" s="64">
        <v>17800</v>
      </c>
      <c r="J6" s="64">
        <v>22611</v>
      </c>
      <c r="K6" s="64">
        <v>17185</v>
      </c>
      <c r="L6" s="64">
        <v>22900</v>
      </c>
      <c r="M6" s="64">
        <v>13456</v>
      </c>
      <c r="N6" s="64">
        <v>19467</v>
      </c>
      <c r="O6" s="64">
        <v>15524</v>
      </c>
      <c r="P6" s="64">
        <v>19481</v>
      </c>
      <c r="Q6" s="64">
        <v>9379</v>
      </c>
      <c r="R6" s="64">
        <v>19317</v>
      </c>
      <c r="S6" s="64">
        <v>21003</v>
      </c>
      <c r="T6" s="64">
        <v>17996</v>
      </c>
      <c r="U6" s="64">
        <v>10244</v>
      </c>
    </row>
    <row r="7" spans="1:21" ht="16.5" thickTop="1" thickBot="1" x14ac:dyDescent="0.3">
      <c r="E7" t="s">
        <v>61</v>
      </c>
      <c r="F7" s="64">
        <v>365515</v>
      </c>
      <c r="G7" s="64">
        <v>476273</v>
      </c>
      <c r="H7" s="64">
        <v>291729</v>
      </c>
      <c r="I7" s="64">
        <v>385135</v>
      </c>
      <c r="J7" s="64">
        <v>403397</v>
      </c>
      <c r="K7" s="64">
        <v>503509</v>
      </c>
      <c r="L7" s="64">
        <v>375058</v>
      </c>
      <c r="M7" s="64">
        <v>348991</v>
      </c>
      <c r="N7" s="64">
        <v>484777</v>
      </c>
      <c r="O7" s="64">
        <v>392883</v>
      </c>
      <c r="P7" s="64">
        <v>388856</v>
      </c>
      <c r="Q7" s="64">
        <v>346864</v>
      </c>
      <c r="R7" s="64">
        <v>662478</v>
      </c>
      <c r="S7" s="64">
        <v>288260</v>
      </c>
      <c r="T7" s="64">
        <v>285409</v>
      </c>
      <c r="U7" s="64">
        <v>264966</v>
      </c>
    </row>
    <row r="8" spans="1:21" ht="15.75" thickTop="1" x14ac:dyDescent="0.25">
      <c r="E8" t="s">
        <v>62</v>
      </c>
      <c r="F8" s="65">
        <f>F6/F7</f>
        <v>4.0433361147969304E-2</v>
      </c>
      <c r="G8" s="65">
        <f t="shared" ref="G8:U8" si="0">G6/G7</f>
        <v>3.7375622804567965E-2</v>
      </c>
      <c r="H8" s="65">
        <f t="shared" si="0"/>
        <v>4.3869481607930645E-2</v>
      </c>
      <c r="I8" s="65">
        <f t="shared" si="0"/>
        <v>4.6217560076336872E-2</v>
      </c>
      <c r="J8" s="65">
        <f t="shared" si="0"/>
        <v>5.6051482782469873E-2</v>
      </c>
      <c r="K8" s="65">
        <f t="shared" si="0"/>
        <v>3.4130472345082215E-2</v>
      </c>
      <c r="L8" s="65">
        <f t="shared" si="0"/>
        <v>6.1057223149486216E-2</v>
      </c>
      <c r="M8" s="65">
        <f t="shared" si="0"/>
        <v>3.8556868228693579E-2</v>
      </c>
      <c r="N8" s="65">
        <f t="shared" si="0"/>
        <v>4.0156608089905253E-2</v>
      </c>
      <c r="O8" s="65">
        <f t="shared" si="0"/>
        <v>3.9513035687469299E-2</v>
      </c>
      <c r="P8" s="65">
        <f t="shared" si="0"/>
        <v>5.0098236879461806E-2</v>
      </c>
      <c r="Q8" s="65">
        <f t="shared" si="0"/>
        <v>2.7039416024724389E-2</v>
      </c>
      <c r="R8" s="65">
        <f t="shared" si="0"/>
        <v>2.9158704138099682E-2</v>
      </c>
      <c r="S8" s="65">
        <f t="shared" si="0"/>
        <v>7.2861305765628256E-2</v>
      </c>
      <c r="T8" s="65">
        <f t="shared" si="0"/>
        <v>6.3053372528546758E-2</v>
      </c>
      <c r="U8" s="65">
        <f t="shared" si="0"/>
        <v>3.866156412520852E-2</v>
      </c>
    </row>
    <row r="10" spans="1:21" x14ac:dyDescent="0.25">
      <c r="C10" s="66" t="s">
        <v>63</v>
      </c>
      <c r="D10" s="66" t="s">
        <v>64</v>
      </c>
      <c r="E10" t="s">
        <v>65</v>
      </c>
      <c r="F10" s="39">
        <v>418</v>
      </c>
      <c r="G10" s="39">
        <v>464</v>
      </c>
      <c r="H10" s="39">
        <v>437</v>
      </c>
      <c r="I10" s="39">
        <v>394</v>
      </c>
      <c r="J10" s="39">
        <v>451</v>
      </c>
      <c r="K10" s="39">
        <v>519</v>
      </c>
      <c r="L10" s="39">
        <v>519</v>
      </c>
      <c r="M10" s="39">
        <v>443</v>
      </c>
      <c r="N10" s="39">
        <v>478</v>
      </c>
      <c r="O10" s="39">
        <v>487</v>
      </c>
      <c r="P10" s="39">
        <v>446</v>
      </c>
      <c r="Q10" s="39">
        <v>446</v>
      </c>
      <c r="R10" s="39">
        <v>448</v>
      </c>
      <c r="S10" s="39">
        <v>455</v>
      </c>
      <c r="T10" s="39">
        <v>465</v>
      </c>
      <c r="U10" s="39">
        <v>421</v>
      </c>
    </row>
    <row r="11" spans="1:21" x14ac:dyDescent="0.25">
      <c r="C11" s="66" t="s">
        <v>63</v>
      </c>
      <c r="D11" s="66" t="s">
        <v>64</v>
      </c>
      <c r="E11" t="s">
        <v>66</v>
      </c>
      <c r="F11" s="39">
        <v>4613.1298880554095</v>
      </c>
      <c r="G11" s="39">
        <v>5429.9685482287086</v>
      </c>
      <c r="H11" s="39">
        <v>5564.3355902288858</v>
      </c>
      <c r="I11" s="39">
        <v>4730.3127652352141</v>
      </c>
      <c r="J11" s="39">
        <v>6076.25216134538</v>
      </c>
      <c r="K11" s="39">
        <v>6863.4700807796826</v>
      </c>
      <c r="L11" s="39">
        <v>6863.4700807796826</v>
      </c>
      <c r="M11" s="39">
        <v>5524.8494890612037</v>
      </c>
      <c r="N11" s="39">
        <v>5520.5265173609905</v>
      </c>
      <c r="O11" s="39">
        <v>5374.5955552070263</v>
      </c>
      <c r="P11" s="39">
        <v>5739.8234480441242</v>
      </c>
      <c r="Q11" s="39">
        <v>4904.7066639208942</v>
      </c>
      <c r="R11" s="39">
        <v>5869.1473587679393</v>
      </c>
      <c r="S11" s="39">
        <v>4814.1298925463498</v>
      </c>
      <c r="T11" s="39">
        <v>4874.3423905073232</v>
      </c>
      <c r="U11" s="39">
        <v>4576.9009178308224</v>
      </c>
    </row>
    <row r="12" spans="1:21" x14ac:dyDescent="0.25">
      <c r="C12" s="66" t="s">
        <v>63</v>
      </c>
      <c r="D12" s="66" t="s">
        <v>64</v>
      </c>
      <c r="E12" t="s">
        <v>67</v>
      </c>
      <c r="F12" s="67">
        <f t="shared" ref="F12:U12" si="1">F11/F10</f>
        <v>11.036195904438779</v>
      </c>
      <c r="G12" s="67">
        <f t="shared" si="1"/>
        <v>11.702518422906699</v>
      </c>
      <c r="H12" s="67">
        <f t="shared" si="1"/>
        <v>12.733033387251455</v>
      </c>
      <c r="I12" s="67">
        <f t="shared" si="1"/>
        <v>12.005869962525924</v>
      </c>
      <c r="J12" s="67">
        <f t="shared" si="1"/>
        <v>13.472842929812373</v>
      </c>
      <c r="K12" s="67">
        <f t="shared" si="1"/>
        <v>13.224412487051412</v>
      </c>
      <c r="L12" s="67">
        <f t="shared" si="1"/>
        <v>13.224412487051412</v>
      </c>
      <c r="M12" s="67">
        <f t="shared" si="1"/>
        <v>12.47144354189888</v>
      </c>
      <c r="N12" s="67">
        <f t="shared" si="1"/>
        <v>11.549218655566925</v>
      </c>
      <c r="O12" s="67">
        <f t="shared" si="1"/>
        <v>11.036130503505188</v>
      </c>
      <c r="P12" s="67">
        <f t="shared" si="1"/>
        <v>12.869559300547364</v>
      </c>
      <c r="Q12" s="67">
        <f t="shared" si="1"/>
        <v>10.99710014332039</v>
      </c>
      <c r="R12" s="67">
        <f t="shared" si="1"/>
        <v>13.100775354392722</v>
      </c>
      <c r="S12" s="67">
        <f t="shared" si="1"/>
        <v>10.580505258343626</v>
      </c>
      <c r="T12" s="67">
        <f t="shared" si="1"/>
        <v>10.482456753779189</v>
      </c>
      <c r="U12" s="67">
        <f t="shared" si="1"/>
        <v>10.87149861717535</v>
      </c>
    </row>
    <row r="13" spans="1:21" x14ac:dyDescent="0.25">
      <c r="A13" s="66" t="s">
        <v>68</v>
      </c>
      <c r="B13" s="66" t="s">
        <v>69</v>
      </c>
      <c r="C13" s="66" t="s">
        <v>70</v>
      </c>
      <c r="D13" s="66" t="s">
        <v>71</v>
      </c>
      <c r="E13" s="68" t="s">
        <v>72</v>
      </c>
      <c r="F13" s="39">
        <v>415</v>
      </c>
      <c r="G13" s="39">
        <v>485</v>
      </c>
      <c r="H13" s="39">
        <v>503</v>
      </c>
      <c r="I13" s="39">
        <v>496</v>
      </c>
      <c r="J13" s="39">
        <v>532</v>
      </c>
      <c r="K13" s="39">
        <v>644</v>
      </c>
      <c r="L13" s="39">
        <v>644</v>
      </c>
      <c r="M13" s="39">
        <v>552</v>
      </c>
      <c r="N13" s="39">
        <v>477</v>
      </c>
      <c r="O13" s="39">
        <v>528</v>
      </c>
      <c r="P13" s="39">
        <v>531</v>
      </c>
      <c r="Q13" s="39">
        <v>431</v>
      </c>
      <c r="R13" s="39">
        <v>492</v>
      </c>
      <c r="S13" s="39">
        <v>522</v>
      </c>
      <c r="T13" s="39">
        <v>457</v>
      </c>
      <c r="U13" s="39">
        <v>613</v>
      </c>
    </row>
    <row r="14" spans="1:21" x14ac:dyDescent="0.25">
      <c r="A14" s="66" t="s">
        <v>68</v>
      </c>
      <c r="B14" s="66" t="s">
        <v>69</v>
      </c>
      <c r="C14" s="66" t="s">
        <v>70</v>
      </c>
      <c r="D14" s="66" t="s">
        <v>71</v>
      </c>
      <c r="E14" t="s">
        <v>73</v>
      </c>
      <c r="F14" s="39">
        <v>3979.8660682353429</v>
      </c>
      <c r="G14" s="39">
        <v>5350.6373065866783</v>
      </c>
      <c r="H14" s="39">
        <v>5193.6648572558679</v>
      </c>
      <c r="I14" s="39">
        <v>5479.7226458963814</v>
      </c>
      <c r="J14" s="39">
        <v>5957.4610023488494</v>
      </c>
      <c r="K14" s="39">
        <v>7594.7393406941692</v>
      </c>
      <c r="L14" s="39">
        <v>7594.7393406941692</v>
      </c>
      <c r="M14" s="39">
        <v>3013.2448392583192</v>
      </c>
      <c r="N14" s="39">
        <v>5310.7556693374945</v>
      </c>
      <c r="O14" s="39">
        <v>5860.1057619912308</v>
      </c>
      <c r="P14" s="39">
        <v>5941.6589120040808</v>
      </c>
      <c r="Q14" s="39">
        <v>4098.3024909293154</v>
      </c>
      <c r="R14" s="39">
        <v>4701.3971570661433</v>
      </c>
      <c r="S14" s="39">
        <v>1756.9495225598396</v>
      </c>
      <c r="T14" s="39">
        <v>2220.9503215634454</v>
      </c>
      <c r="U14" s="39">
        <v>7097.7053307900214</v>
      </c>
    </row>
    <row r="15" spans="1:21" x14ac:dyDescent="0.25">
      <c r="A15" s="66" t="s">
        <v>68</v>
      </c>
      <c r="B15" s="66" t="s">
        <v>69</v>
      </c>
      <c r="C15" s="66" t="s">
        <v>70</v>
      </c>
      <c r="D15" s="66" t="s">
        <v>71</v>
      </c>
      <c r="E15" t="s">
        <v>74</v>
      </c>
      <c r="F15" s="67">
        <f t="shared" ref="F15:U15" si="2">F14/F13</f>
        <v>9.5900387186393807</v>
      </c>
      <c r="G15" s="67">
        <f t="shared" si="2"/>
        <v>11.032241869250884</v>
      </c>
      <c r="H15" s="67">
        <f t="shared" si="2"/>
        <v>10.325377449812859</v>
      </c>
      <c r="I15" s="67">
        <f t="shared" si="2"/>
        <v>11.047827915113672</v>
      </c>
      <c r="J15" s="67">
        <f t="shared" si="2"/>
        <v>11.198234966821145</v>
      </c>
      <c r="K15" s="67">
        <f t="shared" si="2"/>
        <v>11.793073510394672</v>
      </c>
      <c r="L15" s="67">
        <f t="shared" si="2"/>
        <v>11.793073510394672</v>
      </c>
      <c r="M15" s="67">
        <f t="shared" si="2"/>
        <v>5.4587768827143464</v>
      </c>
      <c r="N15" s="67">
        <f t="shared" si="2"/>
        <v>11.133659684145691</v>
      </c>
      <c r="O15" s="67">
        <f t="shared" si="2"/>
        <v>11.098685155286422</v>
      </c>
      <c r="P15" s="67">
        <f t="shared" si="2"/>
        <v>11.189564806034051</v>
      </c>
      <c r="Q15" s="67">
        <f t="shared" si="2"/>
        <v>9.5088224847547913</v>
      </c>
      <c r="R15" s="67">
        <f t="shared" si="2"/>
        <v>9.5556852785897224</v>
      </c>
      <c r="S15" s="67">
        <f t="shared" si="2"/>
        <v>3.3658036830648266</v>
      </c>
      <c r="T15" s="67">
        <f t="shared" si="2"/>
        <v>4.8598475307734033</v>
      </c>
      <c r="U15" s="67">
        <f t="shared" si="2"/>
        <v>11.578638386280621</v>
      </c>
    </row>
    <row r="16" spans="1:21" x14ac:dyDescent="0.25">
      <c r="C16" s="66" t="s">
        <v>75</v>
      </c>
      <c r="D16" s="66" t="s">
        <v>76</v>
      </c>
      <c r="E16" s="68" t="s">
        <v>77</v>
      </c>
      <c r="F16" s="39">
        <v>249</v>
      </c>
      <c r="G16" s="39">
        <v>256</v>
      </c>
      <c r="H16" s="39">
        <v>23</v>
      </c>
      <c r="I16" s="39">
        <v>152</v>
      </c>
      <c r="J16" s="39">
        <v>208</v>
      </c>
      <c r="K16" s="39">
        <v>55</v>
      </c>
      <c r="L16" s="39">
        <v>55</v>
      </c>
      <c r="M16" s="39">
        <v>142</v>
      </c>
      <c r="N16" s="39">
        <v>124</v>
      </c>
      <c r="O16" s="39">
        <v>108</v>
      </c>
      <c r="P16" s="39">
        <v>10</v>
      </c>
      <c r="Q16" s="39">
        <v>307</v>
      </c>
      <c r="R16" s="39">
        <v>218</v>
      </c>
      <c r="S16" s="39">
        <v>78</v>
      </c>
      <c r="T16" s="39">
        <v>58</v>
      </c>
      <c r="U16" s="39">
        <v>106</v>
      </c>
    </row>
    <row r="17" spans="3:21" x14ac:dyDescent="0.25">
      <c r="C17" s="66" t="s">
        <v>75</v>
      </c>
      <c r="D17" t="s">
        <v>76</v>
      </c>
      <c r="E17" t="s">
        <v>78</v>
      </c>
      <c r="F17" s="39">
        <v>3676.2270897778635</v>
      </c>
      <c r="G17" s="39">
        <v>3803.472376774424</v>
      </c>
      <c r="H17" s="39">
        <v>367.49459604930752</v>
      </c>
      <c r="I17" s="39">
        <v>2462.4967148368987</v>
      </c>
      <c r="J17" s="39">
        <v>3383.0476448399272</v>
      </c>
      <c r="K17" s="39">
        <v>833.44161177085107</v>
      </c>
      <c r="L17" s="39">
        <v>833.44161177085107</v>
      </c>
      <c r="M17" s="39">
        <v>2266.9350442870036</v>
      </c>
      <c r="N17" s="39">
        <v>2017.5476813195471</v>
      </c>
      <c r="O17" s="39">
        <v>1620.3180023013399</v>
      </c>
      <c r="P17" s="39">
        <v>169.20114806184776</v>
      </c>
      <c r="Q17" s="39">
        <v>4755.3070468642054</v>
      </c>
      <c r="R17" s="39">
        <v>4080.0748570040473</v>
      </c>
      <c r="S17" s="39">
        <v>1088.9843794783544</v>
      </c>
      <c r="T17" s="39">
        <v>847.16874639870082</v>
      </c>
      <c r="U17" s="39">
        <v>1840.2289555126702</v>
      </c>
    </row>
    <row r="18" spans="3:21" x14ac:dyDescent="0.25">
      <c r="C18" s="66" t="s">
        <v>75</v>
      </c>
      <c r="D18" t="s">
        <v>76</v>
      </c>
      <c r="E18" t="s">
        <v>79</v>
      </c>
      <c r="F18" s="67">
        <f t="shared" ref="F18:U18" si="3">F17/F16</f>
        <v>14.763964215975356</v>
      </c>
      <c r="G18" s="67">
        <f t="shared" si="3"/>
        <v>14.857313971775094</v>
      </c>
      <c r="H18" s="67">
        <f t="shared" si="3"/>
        <v>15.978025915187283</v>
      </c>
      <c r="I18" s="67">
        <f t="shared" si="3"/>
        <v>16.200636281821701</v>
      </c>
      <c r="J18" s="67">
        <f t="shared" si="3"/>
        <v>16.264652138653496</v>
      </c>
      <c r="K18" s="67">
        <f t="shared" si="3"/>
        <v>15.153483850379111</v>
      </c>
      <c r="L18" s="67">
        <f t="shared" si="3"/>
        <v>15.153483850379111</v>
      </c>
      <c r="M18" s="67">
        <f t="shared" si="3"/>
        <v>15.9643312977958</v>
      </c>
      <c r="N18" s="67">
        <f t="shared" si="3"/>
        <v>16.270545817093122</v>
      </c>
      <c r="O18" s="67">
        <f t="shared" si="3"/>
        <v>15.002944465753147</v>
      </c>
      <c r="P18" s="67">
        <f t="shared" si="3"/>
        <v>16.920114806184777</v>
      </c>
      <c r="Q18" s="67">
        <f t="shared" si="3"/>
        <v>15.489599501186337</v>
      </c>
      <c r="R18" s="67">
        <f t="shared" si="3"/>
        <v>18.71593971102774</v>
      </c>
      <c r="S18" s="67">
        <f t="shared" si="3"/>
        <v>13.961338198440441</v>
      </c>
      <c r="T18" s="67">
        <f t="shared" si="3"/>
        <v>14.606357696529324</v>
      </c>
      <c r="U18" s="67">
        <f t="shared" si="3"/>
        <v>17.360650523704436</v>
      </c>
    </row>
    <row r="19" spans="3:21" x14ac:dyDescent="0.25">
      <c r="C19" s="66" t="s">
        <v>80</v>
      </c>
      <c r="D19" s="66" t="s">
        <v>81</v>
      </c>
      <c r="E19" s="68" t="s">
        <v>82</v>
      </c>
      <c r="F19" s="39">
        <v>0</v>
      </c>
      <c r="G19" s="39">
        <v>49</v>
      </c>
      <c r="H19" s="39">
        <v>3</v>
      </c>
      <c r="I19" s="39">
        <v>2</v>
      </c>
      <c r="J19" s="39">
        <v>0</v>
      </c>
      <c r="K19" s="39">
        <v>9</v>
      </c>
      <c r="L19" s="39">
        <v>9</v>
      </c>
      <c r="M19" s="39">
        <v>10</v>
      </c>
      <c r="N19" s="39">
        <v>1</v>
      </c>
      <c r="O19" s="39">
        <v>16</v>
      </c>
      <c r="P19" s="39">
        <v>5</v>
      </c>
      <c r="Q19" s="39">
        <v>30</v>
      </c>
      <c r="R19" s="39">
        <v>81</v>
      </c>
      <c r="S19" s="39">
        <v>1</v>
      </c>
      <c r="T19" s="39">
        <v>1</v>
      </c>
      <c r="U19" s="39">
        <v>1</v>
      </c>
    </row>
    <row r="20" spans="3:21" x14ac:dyDescent="0.25">
      <c r="C20" s="66" t="s">
        <v>80</v>
      </c>
      <c r="D20" t="s">
        <v>81</v>
      </c>
      <c r="E20" t="s">
        <v>83</v>
      </c>
      <c r="F20" s="39">
        <v>0</v>
      </c>
      <c r="G20" s="39">
        <v>532.87952502679968</v>
      </c>
      <c r="H20" s="39">
        <v>34.5</v>
      </c>
      <c r="I20" s="39">
        <v>22</v>
      </c>
      <c r="J20" s="39">
        <v>0</v>
      </c>
      <c r="K20" s="39">
        <v>0</v>
      </c>
      <c r="L20" s="39">
        <v>100.49820788530465</v>
      </c>
      <c r="M20" s="39">
        <v>90</v>
      </c>
      <c r="N20" s="39">
        <v>11</v>
      </c>
      <c r="O20" s="39">
        <v>179.44075829383885</v>
      </c>
      <c r="P20" s="39">
        <v>55</v>
      </c>
      <c r="Q20" s="39">
        <v>286.77564667428874</v>
      </c>
      <c r="R20" s="39">
        <v>891</v>
      </c>
      <c r="S20" s="39">
        <v>8.7484662576687118</v>
      </c>
      <c r="T20" s="39">
        <v>8.5011086474501116</v>
      </c>
      <c r="U20" s="39">
        <v>9.7496653279785814</v>
      </c>
    </row>
    <row r="21" spans="3:21" x14ac:dyDescent="0.25">
      <c r="C21" s="66" t="s">
        <v>80</v>
      </c>
      <c r="D21" t="s">
        <v>81</v>
      </c>
      <c r="E21" t="s">
        <v>84</v>
      </c>
      <c r="F21" s="67">
        <v>0</v>
      </c>
      <c r="G21" s="67">
        <f>G20/G19</f>
        <v>10.875092347485708</v>
      </c>
      <c r="H21" s="67">
        <f>H20/H19</f>
        <v>11.5</v>
      </c>
      <c r="I21" s="67">
        <f>I20/I19</f>
        <v>11</v>
      </c>
      <c r="J21" s="67">
        <v>0</v>
      </c>
      <c r="K21" s="67">
        <f>K20/K19</f>
        <v>0</v>
      </c>
      <c r="L21" s="67">
        <f>L20/L19</f>
        <v>11.166467542811628</v>
      </c>
      <c r="M21" s="67">
        <f t="shared" ref="M21:U21" si="4">M20/M19</f>
        <v>9</v>
      </c>
      <c r="N21" s="67">
        <f t="shared" si="4"/>
        <v>11</v>
      </c>
      <c r="O21" s="67">
        <f t="shared" si="4"/>
        <v>11.215047393364928</v>
      </c>
      <c r="P21" s="67">
        <f t="shared" si="4"/>
        <v>11</v>
      </c>
      <c r="Q21" s="67">
        <f t="shared" si="4"/>
        <v>9.5591882224762905</v>
      </c>
      <c r="R21" s="67">
        <f t="shared" si="4"/>
        <v>11</v>
      </c>
      <c r="S21" s="67">
        <f t="shared" si="4"/>
        <v>8.7484662576687118</v>
      </c>
      <c r="T21" s="67">
        <f t="shared" si="4"/>
        <v>8.5011086474501116</v>
      </c>
      <c r="U21" s="67">
        <f t="shared" si="4"/>
        <v>9.7496653279785814</v>
      </c>
    </row>
    <row r="22" spans="3:21" x14ac:dyDescent="0.25">
      <c r="E22" s="68" t="s">
        <v>85</v>
      </c>
      <c r="F22" s="39">
        <f t="shared" ref="F22:U22" si="5">F10+F13+F19</f>
        <v>833</v>
      </c>
      <c r="G22" s="39">
        <f t="shared" si="5"/>
        <v>998</v>
      </c>
      <c r="H22" s="39">
        <f t="shared" si="5"/>
        <v>943</v>
      </c>
      <c r="I22" s="39">
        <f t="shared" si="5"/>
        <v>892</v>
      </c>
      <c r="J22" s="39">
        <f t="shared" si="5"/>
        <v>983</v>
      </c>
      <c r="K22" s="39">
        <f t="shared" si="5"/>
        <v>1172</v>
      </c>
      <c r="L22" s="39">
        <f t="shared" si="5"/>
        <v>1172</v>
      </c>
      <c r="M22" s="39">
        <f t="shared" si="5"/>
        <v>1005</v>
      </c>
      <c r="N22" s="39">
        <f t="shared" si="5"/>
        <v>956</v>
      </c>
      <c r="O22" s="39">
        <f t="shared" si="5"/>
        <v>1031</v>
      </c>
      <c r="P22" s="39">
        <f t="shared" si="5"/>
        <v>982</v>
      </c>
      <c r="Q22" s="39">
        <f t="shared" si="5"/>
        <v>907</v>
      </c>
      <c r="R22" s="39">
        <f t="shared" si="5"/>
        <v>1021</v>
      </c>
      <c r="S22" s="39">
        <f t="shared" si="5"/>
        <v>978</v>
      </c>
      <c r="T22" s="39">
        <f t="shared" si="5"/>
        <v>923</v>
      </c>
      <c r="U22" s="39">
        <f t="shared" si="5"/>
        <v>1035</v>
      </c>
    </row>
    <row r="23" spans="3:21" x14ac:dyDescent="0.25">
      <c r="E23" t="s">
        <v>86</v>
      </c>
      <c r="F23" s="39">
        <f t="shared" ref="F23:U23" si="6">F11+F14+F20+F17</f>
        <v>12269.223046068617</v>
      </c>
      <c r="G23" s="39">
        <f t="shared" si="6"/>
        <v>15116.95775661661</v>
      </c>
      <c r="H23" s="39">
        <f t="shared" si="6"/>
        <v>11159.995043534062</v>
      </c>
      <c r="I23" s="39">
        <f t="shared" si="6"/>
        <v>12694.532125968493</v>
      </c>
      <c r="J23" s="39">
        <f t="shared" si="6"/>
        <v>15416.760808534156</v>
      </c>
      <c r="K23" s="39">
        <f t="shared" si="6"/>
        <v>15291.651033244703</v>
      </c>
      <c r="L23" s="39">
        <f t="shared" si="6"/>
        <v>15392.149241130008</v>
      </c>
      <c r="M23" s="39">
        <f t="shared" si="6"/>
        <v>10895.029372606527</v>
      </c>
      <c r="N23" s="39">
        <f t="shared" si="6"/>
        <v>12859.829868018032</v>
      </c>
      <c r="O23" s="39">
        <f t="shared" si="6"/>
        <v>13034.460077793436</v>
      </c>
      <c r="P23" s="39">
        <f t="shared" si="6"/>
        <v>11905.683508110053</v>
      </c>
      <c r="Q23" s="39">
        <f t="shared" si="6"/>
        <v>14045.091848388704</v>
      </c>
      <c r="R23" s="39">
        <f t="shared" si="6"/>
        <v>15541.619372838129</v>
      </c>
      <c r="S23" s="39">
        <f t="shared" si="6"/>
        <v>7668.8122608422127</v>
      </c>
      <c r="T23" s="39">
        <f t="shared" si="6"/>
        <v>7950.9625671169197</v>
      </c>
      <c r="U23" s="39">
        <f t="shared" si="6"/>
        <v>13524.584869461491</v>
      </c>
    </row>
    <row r="24" spans="3:21" x14ac:dyDescent="0.25">
      <c r="E24" t="s">
        <v>87</v>
      </c>
      <c r="F24" s="67">
        <f t="shared" ref="F24:U24" si="7">F23/F22</f>
        <v>14.728959238977932</v>
      </c>
      <c r="G24" s="67">
        <f t="shared" si="7"/>
        <v>15.147252261138888</v>
      </c>
      <c r="H24" s="67">
        <f t="shared" si="7"/>
        <v>11.834565263556799</v>
      </c>
      <c r="I24" s="67">
        <f t="shared" si="7"/>
        <v>14.231538257812213</v>
      </c>
      <c r="J24" s="67">
        <f t="shared" si="7"/>
        <v>15.683378238590189</v>
      </c>
      <c r="K24" s="67">
        <f t="shared" si="7"/>
        <v>13.047483816761693</v>
      </c>
      <c r="L24" s="67">
        <f t="shared" si="7"/>
        <v>13.133233140895911</v>
      </c>
      <c r="M24" s="67">
        <f t="shared" si="7"/>
        <v>10.840825246374653</v>
      </c>
      <c r="N24" s="67">
        <f t="shared" si="7"/>
        <v>13.45170488286405</v>
      </c>
      <c r="O24" s="67">
        <f t="shared" si="7"/>
        <v>12.642541297568803</v>
      </c>
      <c r="P24" s="67">
        <f t="shared" si="7"/>
        <v>12.123913959378871</v>
      </c>
      <c r="Q24" s="67">
        <f t="shared" si="7"/>
        <v>15.485217032402099</v>
      </c>
      <c r="R24" s="67">
        <f t="shared" si="7"/>
        <v>15.2219582495966</v>
      </c>
      <c r="S24" s="67">
        <f t="shared" si="7"/>
        <v>7.8413213301045124</v>
      </c>
      <c r="T24" s="67">
        <f t="shared" si="7"/>
        <v>8.6142606360963381</v>
      </c>
      <c r="U24" s="67">
        <f t="shared" si="7"/>
        <v>13.067231757933808</v>
      </c>
    </row>
    <row r="25" spans="3:21" x14ac:dyDescent="0.25">
      <c r="G25" s="11"/>
    </row>
    <row r="26" spans="3:21" x14ac:dyDescent="0.25">
      <c r="E26" t="s">
        <v>88</v>
      </c>
      <c r="F26" s="69">
        <v>4</v>
      </c>
      <c r="H26" s="70" t="s">
        <v>89</v>
      </c>
    </row>
    <row r="27" spans="3:21" x14ac:dyDescent="0.25">
      <c r="E27" t="s">
        <v>90</v>
      </c>
      <c r="F27" s="69">
        <v>5</v>
      </c>
      <c r="H27" s="71" t="s">
        <v>91</v>
      </c>
    </row>
    <row r="28" spans="3:21" x14ac:dyDescent="0.25">
      <c r="E28" t="s">
        <v>92</v>
      </c>
      <c r="F28" s="69">
        <v>6</v>
      </c>
      <c r="H28" s="71" t="s">
        <v>93</v>
      </c>
    </row>
    <row r="29" spans="3:21" x14ac:dyDescent="0.25">
      <c r="H29" s="71" t="s">
        <v>94</v>
      </c>
    </row>
    <row r="30" spans="3:21" x14ac:dyDescent="0.25">
      <c r="E30" t="s">
        <v>95</v>
      </c>
      <c r="F30" s="72">
        <f>F26*F26*24*7</f>
        <v>2688</v>
      </c>
      <c r="H30" s="71" t="s">
        <v>96</v>
      </c>
    </row>
    <row r="31" spans="3:21" x14ac:dyDescent="0.25">
      <c r="E31" t="s">
        <v>97</v>
      </c>
      <c r="F31" s="72">
        <f>F26*F26*F27*F28</f>
        <v>480</v>
      </c>
      <c r="H31" s="71" t="s">
        <v>98</v>
      </c>
    </row>
    <row r="32" spans="3:21" x14ac:dyDescent="0.25">
      <c r="E32" t="s">
        <v>99</v>
      </c>
      <c r="F32" s="65">
        <f>F31/F30</f>
        <v>0.17857142857142858</v>
      </c>
      <c r="H32" s="71" t="s">
        <v>100</v>
      </c>
    </row>
    <row r="33" spans="5:8" x14ac:dyDescent="0.25">
      <c r="H33" s="71" t="s">
        <v>101</v>
      </c>
    </row>
    <row r="34" spans="5:8" x14ac:dyDescent="0.25">
      <c r="E34" t="s">
        <v>102</v>
      </c>
      <c r="F34" s="40">
        <v>0.125</v>
      </c>
      <c r="H34" s="71" t="s">
        <v>103</v>
      </c>
    </row>
    <row r="35" spans="5:8" x14ac:dyDescent="0.25">
      <c r="H35" s="71" t="s">
        <v>104</v>
      </c>
    </row>
    <row r="36" spans="5:8" ht="15.75" thickBot="1" x14ac:dyDescent="0.3">
      <c r="E36" t="s">
        <v>44</v>
      </c>
      <c r="F36" s="73">
        <f>'Summary 11PM-5AM'!D28</f>
        <v>0</v>
      </c>
      <c r="H36" s="71" t="s">
        <v>105</v>
      </c>
    </row>
    <row r="37" spans="5:8" ht="15.75" thickTop="1" x14ac:dyDescent="0.25"/>
    <row r="38" spans="5:8" hidden="1" outlineLevel="1" x14ac:dyDescent="0.25">
      <c r="F38" t="s">
        <v>106</v>
      </c>
    </row>
    <row r="39" spans="5:8" hidden="1" outlineLevel="1" x14ac:dyDescent="0.25">
      <c r="F39" t="s">
        <v>107</v>
      </c>
    </row>
    <row r="40" spans="5:8" hidden="1" outlineLevel="1" x14ac:dyDescent="0.25">
      <c r="F40" t="s">
        <v>108</v>
      </c>
    </row>
    <row r="41" spans="5:8" hidden="1" outlineLevel="1" x14ac:dyDescent="0.25">
      <c r="F41" t="s">
        <v>109</v>
      </c>
    </row>
    <row r="42" spans="5:8" hidden="1" outlineLevel="1" x14ac:dyDescent="0.25">
      <c r="F42" t="s">
        <v>110</v>
      </c>
    </row>
    <row r="43" spans="5:8" hidden="1" outlineLevel="1" x14ac:dyDescent="0.25">
      <c r="F43" t="s">
        <v>111</v>
      </c>
    </row>
    <row r="44" spans="5:8" hidden="1" outlineLevel="1" x14ac:dyDescent="0.25">
      <c r="F44" t="s">
        <v>112</v>
      </c>
    </row>
    <row r="45" spans="5:8" hidden="1" outlineLevel="1" x14ac:dyDescent="0.25">
      <c r="F45" t="s">
        <v>113</v>
      </c>
    </row>
    <row r="46" spans="5:8" hidden="1" outlineLevel="1" x14ac:dyDescent="0.25"/>
    <row r="47" spans="5:8" hidden="1" outlineLevel="1" x14ac:dyDescent="0.25">
      <c r="F47" t="s">
        <v>114</v>
      </c>
    </row>
    <row r="48" spans="5:8" hidden="1" outlineLevel="1" x14ac:dyDescent="0.25">
      <c r="F48" t="s">
        <v>115</v>
      </c>
    </row>
    <row r="49" spans="5:11" hidden="1" outlineLevel="1" x14ac:dyDescent="0.25">
      <c r="F49" t="s">
        <v>116</v>
      </c>
    </row>
    <row r="50" spans="5:11" hidden="1" outlineLevel="1" x14ac:dyDescent="0.25">
      <c r="F50" t="s">
        <v>117</v>
      </c>
    </row>
    <row r="51" spans="5:11" hidden="1" outlineLevel="1" x14ac:dyDescent="0.25">
      <c r="F51" t="s">
        <v>118</v>
      </c>
    </row>
    <row r="52" spans="5:11" hidden="1" outlineLevel="1" x14ac:dyDescent="0.25">
      <c r="F52" t="s">
        <v>119</v>
      </c>
    </row>
    <row r="53" spans="5:11" hidden="1" outlineLevel="1" x14ac:dyDescent="0.25">
      <c r="F53" s="74" t="s">
        <v>120</v>
      </c>
    </row>
    <row r="54" spans="5:11" hidden="1" outlineLevel="1" x14ac:dyDescent="0.25">
      <c r="F54" s="71"/>
    </row>
    <row r="55" spans="5:11" hidden="1" outlineLevel="1" x14ac:dyDescent="0.25">
      <c r="F55" s="71"/>
    </row>
    <row r="56" spans="5:11" collapsed="1" x14ac:dyDescent="0.25">
      <c r="E56" s="75" t="s">
        <v>170</v>
      </c>
      <c r="F56" s="71"/>
    </row>
    <row r="57" spans="5:11" x14ac:dyDescent="0.25">
      <c r="F57" s="76">
        <v>11</v>
      </c>
      <c r="G57" s="76">
        <v>0</v>
      </c>
      <c r="H57" s="76">
        <v>1</v>
      </c>
      <c r="I57" s="76">
        <v>2</v>
      </c>
      <c r="J57" s="77" t="s">
        <v>121</v>
      </c>
      <c r="K57" s="77" t="s">
        <v>122</v>
      </c>
    </row>
    <row r="58" spans="5:11" x14ac:dyDescent="0.25">
      <c r="E58" s="6" t="s">
        <v>123</v>
      </c>
      <c r="F58" s="77">
        <v>2</v>
      </c>
      <c r="G58" s="77">
        <v>2</v>
      </c>
      <c r="H58" s="77">
        <v>1</v>
      </c>
      <c r="I58" s="77">
        <v>1</v>
      </c>
      <c r="J58" s="77">
        <v>39</v>
      </c>
      <c r="K58" s="47">
        <f>SUM(F58:I58)/J58</f>
        <v>0.15384615384615385</v>
      </c>
    </row>
    <row r="59" spans="5:11" x14ac:dyDescent="0.25">
      <c r="E59" s="6" t="s">
        <v>124</v>
      </c>
      <c r="F59" s="77">
        <v>0</v>
      </c>
      <c r="G59" s="77">
        <v>3</v>
      </c>
      <c r="H59" s="77">
        <v>2</v>
      </c>
      <c r="I59" s="77">
        <v>2</v>
      </c>
      <c r="J59" s="77">
        <v>29</v>
      </c>
      <c r="K59" s="47">
        <f t="shared" ref="K59:K64" si="8">SUM(F59:I59)/J59</f>
        <v>0.2413793103448276</v>
      </c>
    </row>
    <row r="60" spans="5:11" x14ac:dyDescent="0.25">
      <c r="E60" s="6" t="s">
        <v>125</v>
      </c>
      <c r="F60" s="77">
        <v>4</v>
      </c>
      <c r="G60" s="77">
        <v>5</v>
      </c>
      <c r="H60" s="77">
        <v>5</v>
      </c>
      <c r="I60" s="77">
        <v>0</v>
      </c>
      <c r="J60" s="77">
        <v>44</v>
      </c>
      <c r="K60" s="47">
        <f t="shared" si="8"/>
        <v>0.31818181818181818</v>
      </c>
    </row>
    <row r="61" spans="5:11" x14ac:dyDescent="0.25">
      <c r="E61" s="6" t="s">
        <v>126</v>
      </c>
      <c r="F61" s="77">
        <v>0</v>
      </c>
      <c r="G61" s="77">
        <v>1</v>
      </c>
      <c r="H61" s="77">
        <v>4</v>
      </c>
      <c r="I61" s="77">
        <v>1</v>
      </c>
      <c r="J61" s="77">
        <v>32</v>
      </c>
      <c r="K61" s="47">
        <f t="shared" si="8"/>
        <v>0.1875</v>
      </c>
    </row>
    <row r="62" spans="5:11" x14ac:dyDescent="0.25">
      <c r="E62" s="6" t="s">
        <v>127</v>
      </c>
      <c r="F62" s="77">
        <v>0</v>
      </c>
      <c r="G62" s="77">
        <v>1</v>
      </c>
      <c r="H62" s="77">
        <v>1</v>
      </c>
      <c r="I62" s="77">
        <v>2</v>
      </c>
      <c r="J62" s="77">
        <v>23</v>
      </c>
      <c r="K62" s="47">
        <f t="shared" si="8"/>
        <v>0.17391304347826086</v>
      </c>
    </row>
    <row r="63" spans="5:11" x14ac:dyDescent="0.25">
      <c r="E63" s="6" t="s">
        <v>128</v>
      </c>
      <c r="F63" s="77">
        <v>2</v>
      </c>
      <c r="G63" s="77">
        <v>1</v>
      </c>
      <c r="H63" s="77">
        <v>2</v>
      </c>
      <c r="I63" s="77">
        <v>2</v>
      </c>
      <c r="J63" s="77">
        <v>41</v>
      </c>
      <c r="K63" s="47">
        <f t="shared" si="8"/>
        <v>0.17073170731707318</v>
      </c>
    </row>
    <row r="64" spans="5:11" x14ac:dyDescent="0.25">
      <c r="E64" s="6" t="s">
        <v>129</v>
      </c>
      <c r="F64" s="77">
        <v>1</v>
      </c>
      <c r="G64" s="77">
        <v>1</v>
      </c>
      <c r="H64" s="77">
        <v>3</v>
      </c>
      <c r="I64" s="77">
        <v>1</v>
      </c>
      <c r="J64" s="77">
        <v>37</v>
      </c>
      <c r="K64" s="47">
        <f t="shared" si="8"/>
        <v>0.16216216216216217</v>
      </c>
    </row>
    <row r="65" spans="5:11" x14ac:dyDescent="0.25">
      <c r="E65" s="6" t="s">
        <v>130</v>
      </c>
      <c r="F65" s="77">
        <f t="shared" ref="F65:I65" si="9">SUM(F58:F64)</f>
        <v>9</v>
      </c>
      <c r="G65" s="77">
        <f t="shared" si="9"/>
        <v>14</v>
      </c>
      <c r="H65" s="77">
        <f t="shared" si="9"/>
        <v>18</v>
      </c>
      <c r="I65" s="77">
        <f t="shared" si="9"/>
        <v>9</v>
      </c>
      <c r="J65" s="77">
        <f>SUM(J58:J64)</f>
        <v>245</v>
      </c>
      <c r="K65" s="47">
        <f>SUM(F65:I65)/J65</f>
        <v>0.20408163265306123</v>
      </c>
    </row>
    <row r="66" spans="5:11" x14ac:dyDescent="0.25">
      <c r="E66" s="6" t="s">
        <v>131</v>
      </c>
      <c r="F66" s="77">
        <f>SUM(F59:F63)</f>
        <v>6</v>
      </c>
      <c r="G66" s="77">
        <f t="shared" ref="G66:I66" si="10">SUM(G59:G63)</f>
        <v>11</v>
      </c>
      <c r="H66" s="77">
        <f t="shared" si="10"/>
        <v>14</v>
      </c>
      <c r="I66" s="77">
        <f t="shared" si="10"/>
        <v>7</v>
      </c>
      <c r="J66" s="77">
        <f>J65</f>
        <v>245</v>
      </c>
      <c r="K66" s="47">
        <f>SUM(F66:I66)/J66</f>
        <v>0.15510204081632653</v>
      </c>
    </row>
    <row r="68" spans="5:11" x14ac:dyDescent="0.25">
      <c r="E68" s="75" t="s">
        <v>187</v>
      </c>
      <c r="F68" s="71"/>
    </row>
    <row r="69" spans="5:11" x14ac:dyDescent="0.25">
      <c r="F69" s="76">
        <v>11</v>
      </c>
      <c r="G69" s="76">
        <v>0</v>
      </c>
      <c r="H69" s="76">
        <v>1</v>
      </c>
      <c r="I69" s="76">
        <v>2</v>
      </c>
      <c r="J69" s="77" t="s">
        <v>121</v>
      </c>
      <c r="K69" s="77" t="s">
        <v>122</v>
      </c>
    </row>
    <row r="70" spans="5:11" x14ac:dyDescent="0.25">
      <c r="E70" s="6" t="s">
        <v>123</v>
      </c>
      <c r="F70" s="77">
        <v>7</v>
      </c>
      <c r="G70" s="77">
        <v>3</v>
      </c>
      <c r="H70" s="77">
        <v>2</v>
      </c>
      <c r="I70" s="77">
        <v>0</v>
      </c>
      <c r="J70" s="77">
        <v>128</v>
      </c>
      <c r="K70" s="47">
        <f>SUM(F70:I70)/J70</f>
        <v>9.375E-2</v>
      </c>
    </row>
    <row r="71" spans="5:11" x14ac:dyDescent="0.25">
      <c r="E71" s="6" t="s">
        <v>124</v>
      </c>
      <c r="F71" s="77">
        <v>23</v>
      </c>
      <c r="G71" s="77">
        <v>0</v>
      </c>
      <c r="H71" s="77">
        <v>0</v>
      </c>
      <c r="I71" s="77">
        <v>0</v>
      </c>
      <c r="J71" s="77">
        <v>115</v>
      </c>
      <c r="K71" s="47">
        <f t="shared" ref="K71:K76" si="11">SUM(F71:I71)/J71</f>
        <v>0.2</v>
      </c>
    </row>
    <row r="72" spans="5:11" x14ac:dyDescent="0.25">
      <c r="E72" s="6" t="s">
        <v>125</v>
      </c>
      <c r="F72" s="77">
        <v>8</v>
      </c>
      <c r="G72" s="77">
        <v>1</v>
      </c>
      <c r="H72" s="77">
        <v>1</v>
      </c>
      <c r="I72" s="77">
        <v>0</v>
      </c>
      <c r="J72" s="77">
        <v>123</v>
      </c>
      <c r="K72" s="47">
        <f t="shared" si="11"/>
        <v>8.1300813008130079E-2</v>
      </c>
    </row>
    <row r="73" spans="5:11" x14ac:dyDescent="0.25">
      <c r="E73" s="6" t="s">
        <v>126</v>
      </c>
      <c r="F73" s="77">
        <v>7</v>
      </c>
      <c r="G73" s="77">
        <v>1</v>
      </c>
      <c r="H73" s="77">
        <v>0</v>
      </c>
      <c r="I73" s="77">
        <v>0</v>
      </c>
      <c r="J73" s="77">
        <v>128</v>
      </c>
      <c r="K73" s="47">
        <f t="shared" si="11"/>
        <v>6.25E-2</v>
      </c>
    </row>
    <row r="74" spans="5:11" x14ac:dyDescent="0.25">
      <c r="E74" s="6" t="s">
        <v>127</v>
      </c>
      <c r="F74" s="77">
        <v>1</v>
      </c>
      <c r="G74" s="77">
        <v>3</v>
      </c>
      <c r="H74" s="77">
        <v>0</v>
      </c>
      <c r="I74" s="77">
        <v>3</v>
      </c>
      <c r="J74" s="77">
        <v>102</v>
      </c>
      <c r="K74" s="47">
        <f t="shared" si="11"/>
        <v>6.8627450980392163E-2</v>
      </c>
    </row>
    <row r="75" spans="5:11" x14ac:dyDescent="0.25">
      <c r="E75" s="6" t="s">
        <v>128</v>
      </c>
      <c r="F75" s="77">
        <v>8</v>
      </c>
      <c r="G75" s="77">
        <v>4</v>
      </c>
      <c r="H75" s="77">
        <v>1</v>
      </c>
      <c r="I75" s="77">
        <v>0</v>
      </c>
      <c r="J75" s="77">
        <v>140</v>
      </c>
      <c r="K75" s="47">
        <f t="shared" si="11"/>
        <v>9.285714285714286E-2</v>
      </c>
    </row>
    <row r="76" spans="5:11" x14ac:dyDescent="0.25">
      <c r="E76" s="6" t="s">
        <v>129</v>
      </c>
      <c r="F76" s="77">
        <v>0</v>
      </c>
      <c r="G76" s="77">
        <v>5</v>
      </c>
      <c r="H76" s="77">
        <v>5</v>
      </c>
      <c r="I76" s="77">
        <v>1</v>
      </c>
      <c r="J76" s="77">
        <v>132</v>
      </c>
      <c r="K76" s="47">
        <f t="shared" si="11"/>
        <v>8.3333333333333329E-2</v>
      </c>
    </row>
    <row r="77" spans="5:11" x14ac:dyDescent="0.25">
      <c r="E77" s="6" t="s">
        <v>130</v>
      </c>
      <c r="F77" s="77">
        <f t="shared" ref="F77" si="12">SUM(F70:F76)</f>
        <v>54</v>
      </c>
      <c r="G77" s="77">
        <f t="shared" ref="G77:I77" si="13">SUM(G70:G76)</f>
        <v>17</v>
      </c>
      <c r="H77" s="77">
        <f t="shared" si="13"/>
        <v>9</v>
      </c>
      <c r="I77" s="77">
        <f t="shared" si="13"/>
        <v>4</v>
      </c>
      <c r="J77" s="77">
        <f>SUM(J70:J76)</f>
        <v>868</v>
      </c>
      <c r="K77" s="47">
        <f>SUM(F77:I77)/J77</f>
        <v>9.6774193548387094E-2</v>
      </c>
    </row>
    <row r="78" spans="5:11" x14ac:dyDescent="0.25">
      <c r="E78" s="6" t="s">
        <v>131</v>
      </c>
      <c r="F78" s="77">
        <f>SUM(F71:F75)</f>
        <v>47</v>
      </c>
      <c r="G78" s="77">
        <f t="shared" ref="G78:I78" si="14">SUM(G71:G75)</f>
        <v>9</v>
      </c>
      <c r="H78" s="77">
        <f t="shared" si="14"/>
        <v>2</v>
      </c>
      <c r="I78" s="77">
        <f t="shared" si="14"/>
        <v>3</v>
      </c>
      <c r="J78" s="77">
        <f>J77</f>
        <v>868</v>
      </c>
      <c r="K78" s="47">
        <f>SUM(F78:I78)/J78</f>
        <v>7.0276497695852536E-2</v>
      </c>
    </row>
    <row r="80" spans="5:11" x14ac:dyDescent="0.25">
      <c r="E80" s="75" t="s">
        <v>188</v>
      </c>
      <c r="F80" s="71"/>
    </row>
    <row r="81" spans="5:11" x14ac:dyDescent="0.25">
      <c r="F81" s="76">
        <v>11</v>
      </c>
      <c r="G81" s="76">
        <v>0</v>
      </c>
      <c r="H81" s="76">
        <v>1</v>
      </c>
      <c r="I81" s="76">
        <v>2</v>
      </c>
      <c r="J81" s="77" t="s">
        <v>121</v>
      </c>
      <c r="K81" s="77" t="s">
        <v>122</v>
      </c>
    </row>
    <row r="82" spans="5:11" x14ac:dyDescent="0.25">
      <c r="E82" s="6" t="s">
        <v>123</v>
      </c>
      <c r="F82" s="77">
        <v>4</v>
      </c>
      <c r="G82" s="77">
        <v>5</v>
      </c>
      <c r="H82" s="77">
        <v>7</v>
      </c>
      <c r="I82" s="77">
        <v>2</v>
      </c>
      <c r="J82" s="77">
        <v>71</v>
      </c>
      <c r="K82" s="47">
        <f>SUM(F82:I82)/J82</f>
        <v>0.25352112676056338</v>
      </c>
    </row>
    <row r="83" spans="5:11" x14ac:dyDescent="0.25">
      <c r="E83" s="6" t="s">
        <v>124</v>
      </c>
      <c r="F83" s="77">
        <v>8</v>
      </c>
      <c r="G83" s="77">
        <v>1</v>
      </c>
      <c r="H83" s="77">
        <v>1</v>
      </c>
      <c r="I83" s="77">
        <v>3</v>
      </c>
      <c r="J83" s="77">
        <v>57</v>
      </c>
      <c r="K83" s="47">
        <f t="shared" ref="K83:K88" si="15">SUM(F83:I83)/J83</f>
        <v>0.22807017543859648</v>
      </c>
    </row>
    <row r="84" spans="5:11" x14ac:dyDescent="0.25">
      <c r="E84" s="6" t="s">
        <v>125</v>
      </c>
      <c r="F84" s="77">
        <v>4</v>
      </c>
      <c r="G84" s="77">
        <v>1</v>
      </c>
      <c r="H84" s="77">
        <v>7</v>
      </c>
      <c r="I84" s="77">
        <v>5</v>
      </c>
      <c r="J84" s="77">
        <v>88</v>
      </c>
      <c r="K84" s="47">
        <f t="shared" si="15"/>
        <v>0.19318181818181818</v>
      </c>
    </row>
    <row r="85" spans="5:11" x14ac:dyDescent="0.25">
      <c r="E85" s="6" t="s">
        <v>126</v>
      </c>
      <c r="F85" s="77">
        <v>4</v>
      </c>
      <c r="G85" s="77">
        <v>2</v>
      </c>
      <c r="H85" s="77">
        <v>1</v>
      </c>
      <c r="I85" s="77">
        <v>4</v>
      </c>
      <c r="J85" s="77">
        <v>62</v>
      </c>
      <c r="K85" s="47">
        <f t="shared" si="15"/>
        <v>0.17741935483870969</v>
      </c>
    </row>
    <row r="86" spans="5:11" x14ac:dyDescent="0.25">
      <c r="E86" s="6" t="s">
        <v>127</v>
      </c>
      <c r="F86" s="77">
        <v>2</v>
      </c>
      <c r="G86" s="77">
        <v>2</v>
      </c>
      <c r="H86" s="77">
        <v>0</v>
      </c>
      <c r="I86" s="77">
        <v>4</v>
      </c>
      <c r="J86" s="77">
        <v>75</v>
      </c>
      <c r="K86" s="47">
        <f t="shared" si="15"/>
        <v>0.10666666666666667</v>
      </c>
    </row>
    <row r="87" spans="5:11" x14ac:dyDescent="0.25">
      <c r="E87" s="6" t="s">
        <v>128</v>
      </c>
      <c r="F87" s="77">
        <v>6</v>
      </c>
      <c r="G87" s="77">
        <v>0</v>
      </c>
      <c r="H87" s="77">
        <v>2</v>
      </c>
      <c r="I87" s="77">
        <v>3</v>
      </c>
      <c r="J87" s="77">
        <v>74</v>
      </c>
      <c r="K87" s="47">
        <f t="shared" si="15"/>
        <v>0.14864864864864866</v>
      </c>
    </row>
    <row r="88" spans="5:11" x14ac:dyDescent="0.25">
      <c r="E88" s="6" t="s">
        <v>129</v>
      </c>
      <c r="F88" s="77">
        <v>3</v>
      </c>
      <c r="G88" s="77">
        <v>1</v>
      </c>
      <c r="H88" s="77">
        <v>2</v>
      </c>
      <c r="I88" s="77">
        <v>6</v>
      </c>
      <c r="J88" s="77">
        <v>67</v>
      </c>
      <c r="K88" s="47">
        <f t="shared" si="15"/>
        <v>0.17910447761194029</v>
      </c>
    </row>
    <row r="89" spans="5:11" x14ac:dyDescent="0.25">
      <c r="E89" s="6" t="s">
        <v>130</v>
      </c>
      <c r="F89" s="77">
        <f t="shared" ref="F89" si="16">SUM(F82:F88)</f>
        <v>31</v>
      </c>
      <c r="G89" s="77">
        <f t="shared" ref="G89:I89" si="17">SUM(G82:G88)</f>
        <v>12</v>
      </c>
      <c r="H89" s="77">
        <f t="shared" si="17"/>
        <v>20</v>
      </c>
      <c r="I89" s="77">
        <f t="shared" si="17"/>
        <v>27</v>
      </c>
      <c r="J89" s="77">
        <f>SUM(J82:J88)</f>
        <v>494</v>
      </c>
      <c r="K89" s="47">
        <f>SUM(F89:I89)/J89</f>
        <v>0.18218623481781376</v>
      </c>
    </row>
    <row r="90" spans="5:11" x14ac:dyDescent="0.25">
      <c r="E90" s="6" t="s">
        <v>131</v>
      </c>
      <c r="F90" s="77">
        <f>SUM(F83:F87)</f>
        <v>24</v>
      </c>
      <c r="G90" s="77">
        <f t="shared" ref="G90:I90" si="18">SUM(G83:G87)</f>
        <v>6</v>
      </c>
      <c r="H90" s="77">
        <f t="shared" si="18"/>
        <v>11</v>
      </c>
      <c r="I90" s="77">
        <f t="shared" si="18"/>
        <v>19</v>
      </c>
      <c r="J90" s="77">
        <f>J89</f>
        <v>494</v>
      </c>
      <c r="K90" s="47">
        <f>SUM(F90:I90)/J90</f>
        <v>0.1214574898785425</v>
      </c>
    </row>
    <row r="92" spans="5:11" x14ac:dyDescent="0.25">
      <c r="E92" s="75" t="s">
        <v>189</v>
      </c>
      <c r="F92" s="71"/>
    </row>
    <row r="93" spans="5:11" x14ac:dyDescent="0.25">
      <c r="F93" s="76">
        <v>11</v>
      </c>
      <c r="G93" s="76">
        <v>0</v>
      </c>
      <c r="H93" s="76">
        <v>1</v>
      </c>
      <c r="I93" s="76">
        <v>2</v>
      </c>
      <c r="J93" s="77" t="s">
        <v>121</v>
      </c>
      <c r="K93" s="77" t="s">
        <v>122</v>
      </c>
    </row>
    <row r="94" spans="5:11" x14ac:dyDescent="0.25">
      <c r="E94" s="6" t="s">
        <v>123</v>
      </c>
      <c r="F94" s="77">
        <v>3</v>
      </c>
      <c r="G94" s="77">
        <v>1</v>
      </c>
      <c r="H94" s="77">
        <v>5</v>
      </c>
      <c r="I94" s="77">
        <v>7</v>
      </c>
      <c r="J94" s="77">
        <v>72</v>
      </c>
      <c r="K94" s="47">
        <f>SUM(F94:I94)/J94</f>
        <v>0.22222222222222221</v>
      </c>
    </row>
    <row r="95" spans="5:11" x14ac:dyDescent="0.25">
      <c r="E95" s="6" t="s">
        <v>124</v>
      </c>
      <c r="F95" s="77">
        <v>2</v>
      </c>
      <c r="G95" s="77">
        <v>6</v>
      </c>
      <c r="H95" s="77">
        <v>1</v>
      </c>
      <c r="I95" s="77">
        <v>1</v>
      </c>
      <c r="J95" s="77">
        <v>52</v>
      </c>
      <c r="K95" s="47">
        <f t="shared" ref="K95:K100" si="19">SUM(F95:I95)/J95</f>
        <v>0.19230769230769232</v>
      </c>
    </row>
    <row r="96" spans="5:11" x14ac:dyDescent="0.25">
      <c r="E96" s="6" t="s">
        <v>125</v>
      </c>
      <c r="F96" s="77">
        <v>2</v>
      </c>
      <c r="G96" s="77">
        <v>2</v>
      </c>
      <c r="H96" s="77">
        <v>1</v>
      </c>
      <c r="I96" s="77">
        <v>2</v>
      </c>
      <c r="J96" s="77">
        <v>55</v>
      </c>
      <c r="K96" s="47">
        <f t="shared" si="19"/>
        <v>0.12727272727272726</v>
      </c>
    </row>
    <row r="97" spans="5:11" x14ac:dyDescent="0.25">
      <c r="E97" s="6" t="s">
        <v>126</v>
      </c>
      <c r="F97" s="77">
        <v>4</v>
      </c>
      <c r="G97" s="77">
        <v>2</v>
      </c>
      <c r="H97" s="77">
        <v>0</v>
      </c>
      <c r="I97" s="77">
        <v>0</v>
      </c>
      <c r="J97" s="77">
        <v>53</v>
      </c>
      <c r="K97" s="47">
        <f t="shared" si="19"/>
        <v>0.11320754716981132</v>
      </c>
    </row>
    <row r="98" spans="5:11" x14ac:dyDescent="0.25">
      <c r="E98" s="6" t="s">
        <v>127</v>
      </c>
      <c r="F98" s="77">
        <v>5</v>
      </c>
      <c r="G98" s="77">
        <v>0</v>
      </c>
      <c r="H98" s="77">
        <v>1</v>
      </c>
      <c r="I98" s="77">
        <v>3</v>
      </c>
      <c r="J98" s="77">
        <v>65</v>
      </c>
      <c r="K98" s="47">
        <f t="shared" si="19"/>
        <v>0.13846153846153847</v>
      </c>
    </row>
    <row r="99" spans="5:11" x14ac:dyDescent="0.25">
      <c r="E99" s="6" t="s">
        <v>128</v>
      </c>
      <c r="F99" s="77">
        <v>0</v>
      </c>
      <c r="G99" s="77">
        <v>0</v>
      </c>
      <c r="H99" s="77">
        <v>4</v>
      </c>
      <c r="I99" s="77">
        <v>2</v>
      </c>
      <c r="J99" s="77">
        <v>91</v>
      </c>
      <c r="K99" s="47">
        <f t="shared" si="19"/>
        <v>6.5934065934065936E-2</v>
      </c>
    </row>
    <row r="100" spans="5:11" x14ac:dyDescent="0.25">
      <c r="E100" s="6" t="s">
        <v>129</v>
      </c>
      <c r="F100" s="77">
        <v>4</v>
      </c>
      <c r="G100" s="77">
        <v>2</v>
      </c>
      <c r="H100" s="77">
        <v>1</v>
      </c>
      <c r="I100" s="77">
        <v>4</v>
      </c>
      <c r="J100" s="77">
        <v>77</v>
      </c>
      <c r="K100" s="47">
        <f t="shared" si="19"/>
        <v>0.14285714285714285</v>
      </c>
    </row>
    <row r="101" spans="5:11" x14ac:dyDescent="0.25">
      <c r="E101" s="6" t="s">
        <v>130</v>
      </c>
      <c r="F101" s="77">
        <f t="shared" ref="F101" si="20">SUM(F94:F100)</f>
        <v>20</v>
      </c>
      <c r="G101" s="77">
        <f t="shared" ref="G101:I101" si="21">SUM(G94:G100)</f>
        <v>13</v>
      </c>
      <c r="H101" s="77">
        <f t="shared" si="21"/>
        <v>13</v>
      </c>
      <c r="I101" s="77">
        <f t="shared" si="21"/>
        <v>19</v>
      </c>
      <c r="J101" s="77">
        <f>SUM(J94:J100)</f>
        <v>465</v>
      </c>
      <c r="K101" s="47">
        <f>SUM(F101:I101)/J101</f>
        <v>0.13978494623655913</v>
      </c>
    </row>
    <row r="102" spans="5:11" x14ac:dyDescent="0.25">
      <c r="E102" s="6" t="s">
        <v>131</v>
      </c>
      <c r="F102" s="77">
        <f>SUM(F95:F99)</f>
        <v>13</v>
      </c>
      <c r="G102" s="77">
        <f t="shared" ref="G102:I102" si="22">SUM(G95:G99)</f>
        <v>10</v>
      </c>
      <c r="H102" s="77">
        <f t="shared" si="22"/>
        <v>7</v>
      </c>
      <c r="I102" s="77">
        <f t="shared" si="22"/>
        <v>8</v>
      </c>
      <c r="J102" s="77">
        <f>J101</f>
        <v>465</v>
      </c>
      <c r="K102" s="47">
        <f>SUM(F102:I102)/J102</f>
        <v>8.1720430107526887E-2</v>
      </c>
    </row>
    <row r="104" spans="5:11" x14ac:dyDescent="0.25">
      <c r="E104" s="75" t="s">
        <v>190</v>
      </c>
      <c r="F104" s="71"/>
    </row>
    <row r="105" spans="5:11" x14ac:dyDescent="0.25">
      <c r="F105" s="76">
        <v>11</v>
      </c>
      <c r="G105" s="76">
        <v>0</v>
      </c>
      <c r="H105" s="76">
        <v>1</v>
      </c>
      <c r="I105" s="76">
        <v>2</v>
      </c>
      <c r="J105" s="77" t="s">
        <v>121</v>
      </c>
      <c r="K105" s="77" t="s">
        <v>122</v>
      </c>
    </row>
    <row r="106" spans="5:11" x14ac:dyDescent="0.25">
      <c r="E106" s="6" t="s">
        <v>123</v>
      </c>
      <c r="F106" s="77">
        <v>0</v>
      </c>
      <c r="G106" s="77">
        <v>7</v>
      </c>
      <c r="H106" s="77">
        <v>4</v>
      </c>
      <c r="I106" s="77">
        <v>0</v>
      </c>
      <c r="J106" s="77">
        <v>43</v>
      </c>
      <c r="K106" s="47">
        <f>SUM(F106:I106)/J106</f>
        <v>0.2558139534883721</v>
      </c>
    </row>
    <row r="107" spans="5:11" x14ac:dyDescent="0.25">
      <c r="E107" s="6" t="s">
        <v>124</v>
      </c>
      <c r="F107" s="77">
        <v>2</v>
      </c>
      <c r="G107" s="77">
        <v>3</v>
      </c>
      <c r="H107" s="77">
        <v>0</v>
      </c>
      <c r="I107" s="77">
        <v>2</v>
      </c>
      <c r="J107" s="77">
        <v>42</v>
      </c>
      <c r="K107" s="47">
        <f t="shared" ref="K107:K112" si="23">SUM(F107:I107)/J107</f>
        <v>0.16666666666666666</v>
      </c>
    </row>
    <row r="108" spans="5:11" x14ac:dyDescent="0.25">
      <c r="E108" s="6" t="s">
        <v>125</v>
      </c>
      <c r="F108" s="77">
        <v>3</v>
      </c>
      <c r="G108" s="77">
        <v>11</v>
      </c>
      <c r="H108" s="77">
        <v>5</v>
      </c>
      <c r="I108" s="77">
        <v>0</v>
      </c>
      <c r="J108" s="77">
        <v>56</v>
      </c>
      <c r="K108" s="47">
        <f t="shared" si="23"/>
        <v>0.3392857142857143</v>
      </c>
    </row>
    <row r="109" spans="5:11" x14ac:dyDescent="0.25">
      <c r="E109" s="6" t="s">
        <v>126</v>
      </c>
      <c r="F109" s="77">
        <v>0</v>
      </c>
      <c r="G109" s="77">
        <v>5</v>
      </c>
      <c r="H109" s="77">
        <v>6</v>
      </c>
      <c r="I109" s="77">
        <v>1</v>
      </c>
      <c r="J109" s="77">
        <v>61</v>
      </c>
      <c r="K109" s="47">
        <f t="shared" si="23"/>
        <v>0.19672131147540983</v>
      </c>
    </row>
    <row r="110" spans="5:11" x14ac:dyDescent="0.25">
      <c r="E110" s="6" t="s">
        <v>127</v>
      </c>
      <c r="F110" s="77">
        <v>3</v>
      </c>
      <c r="G110" s="77">
        <v>0</v>
      </c>
      <c r="H110" s="77">
        <v>6</v>
      </c>
      <c r="I110" s="77">
        <v>2</v>
      </c>
      <c r="J110" s="77">
        <v>60</v>
      </c>
      <c r="K110" s="47">
        <f t="shared" si="23"/>
        <v>0.18333333333333332</v>
      </c>
    </row>
    <row r="111" spans="5:11" x14ac:dyDescent="0.25">
      <c r="E111" s="6" t="s">
        <v>128</v>
      </c>
      <c r="F111" s="77">
        <v>0</v>
      </c>
      <c r="G111" s="77">
        <v>2</v>
      </c>
      <c r="H111" s="77">
        <v>5</v>
      </c>
      <c r="I111" s="77">
        <v>2</v>
      </c>
      <c r="J111" s="77">
        <v>71</v>
      </c>
      <c r="K111" s="47">
        <f t="shared" si="23"/>
        <v>0.12676056338028169</v>
      </c>
    </row>
    <row r="112" spans="5:11" x14ac:dyDescent="0.25">
      <c r="E112" s="6" t="s">
        <v>129</v>
      </c>
      <c r="F112" s="77">
        <v>1</v>
      </c>
      <c r="G112" s="77">
        <v>6</v>
      </c>
      <c r="H112" s="77">
        <v>4</v>
      </c>
      <c r="I112" s="77">
        <v>1</v>
      </c>
      <c r="J112" s="77">
        <v>63</v>
      </c>
      <c r="K112" s="47">
        <f t="shared" si="23"/>
        <v>0.19047619047619047</v>
      </c>
    </row>
    <row r="113" spans="5:11" x14ac:dyDescent="0.25">
      <c r="E113" s="6" t="s">
        <v>130</v>
      </c>
      <c r="F113" s="77">
        <f t="shared" ref="F113" si="24">SUM(F106:F112)</f>
        <v>9</v>
      </c>
      <c r="G113" s="77">
        <f t="shared" ref="G113:I113" si="25">SUM(G106:G112)</f>
        <v>34</v>
      </c>
      <c r="H113" s="77">
        <f t="shared" si="25"/>
        <v>30</v>
      </c>
      <c r="I113" s="77">
        <f t="shared" si="25"/>
        <v>8</v>
      </c>
      <c r="J113" s="77">
        <f>SUM(J106:J112)</f>
        <v>396</v>
      </c>
      <c r="K113" s="47">
        <f>SUM(F113:I113)/J113</f>
        <v>0.20454545454545456</v>
      </c>
    </row>
    <row r="114" spans="5:11" x14ac:dyDescent="0.25">
      <c r="E114" s="6" t="s">
        <v>131</v>
      </c>
      <c r="F114" s="77">
        <f>SUM(F107:F111)</f>
        <v>8</v>
      </c>
      <c r="G114" s="77">
        <f t="shared" ref="G114:I114" si="26">SUM(G107:G111)</f>
        <v>21</v>
      </c>
      <c r="H114" s="77">
        <f t="shared" si="26"/>
        <v>22</v>
      </c>
      <c r="I114" s="77">
        <f t="shared" si="26"/>
        <v>7</v>
      </c>
      <c r="J114" s="77">
        <f>J113</f>
        <v>396</v>
      </c>
      <c r="K114" s="47">
        <f>SUM(F114:I114)/J114</f>
        <v>0.14646464646464646</v>
      </c>
    </row>
    <row r="116" spans="5:11" x14ac:dyDescent="0.25">
      <c r="E116" s="78" t="s">
        <v>132</v>
      </c>
      <c r="F116" s="79"/>
      <c r="G116" s="80"/>
      <c r="H116" s="80"/>
      <c r="I116" s="80"/>
      <c r="J116" s="80"/>
      <c r="K116" s="81"/>
    </row>
    <row r="117" spans="5:11" x14ac:dyDescent="0.25">
      <c r="E117" s="82"/>
      <c r="F117" s="3">
        <v>11</v>
      </c>
      <c r="G117" s="3">
        <v>0</v>
      </c>
      <c r="H117" s="3">
        <v>1</v>
      </c>
      <c r="I117" s="3">
        <v>2</v>
      </c>
      <c r="J117" s="3" t="s">
        <v>121</v>
      </c>
      <c r="K117" s="5" t="s">
        <v>122</v>
      </c>
    </row>
    <row r="118" spans="5:11" x14ac:dyDescent="0.25">
      <c r="E118" s="83" t="s">
        <v>123</v>
      </c>
      <c r="F118" s="77">
        <f>F58+F70+F82+F94+F106</f>
        <v>16</v>
      </c>
      <c r="G118" s="77">
        <f t="shared" ref="G118:J118" si="27">G58+G70+G82+G94+G106</f>
        <v>18</v>
      </c>
      <c r="H118" s="77">
        <f t="shared" si="27"/>
        <v>19</v>
      </c>
      <c r="I118" s="77">
        <f t="shared" si="27"/>
        <v>10</v>
      </c>
      <c r="J118" s="77">
        <f t="shared" si="27"/>
        <v>353</v>
      </c>
      <c r="K118" s="84">
        <f>SUM(F118:I118)/J118</f>
        <v>0.17847025495750707</v>
      </c>
    </row>
    <row r="119" spans="5:11" x14ac:dyDescent="0.25">
      <c r="E119" s="83" t="s">
        <v>124</v>
      </c>
      <c r="F119" s="77">
        <f t="shared" ref="F119:J124" si="28">F59+F71+F83+F95+F107</f>
        <v>35</v>
      </c>
      <c r="G119" s="77">
        <f t="shared" si="28"/>
        <v>13</v>
      </c>
      <c r="H119" s="77">
        <f t="shared" si="28"/>
        <v>4</v>
      </c>
      <c r="I119" s="77">
        <f t="shared" si="28"/>
        <v>8</v>
      </c>
      <c r="J119" s="77">
        <f t="shared" si="28"/>
        <v>295</v>
      </c>
      <c r="K119" s="84">
        <f t="shared" ref="K119:K124" si="29">SUM(F119:I119)/J119</f>
        <v>0.20338983050847459</v>
      </c>
    </row>
    <row r="120" spans="5:11" x14ac:dyDescent="0.25">
      <c r="E120" s="83" t="s">
        <v>125</v>
      </c>
      <c r="F120" s="77">
        <f t="shared" si="28"/>
        <v>21</v>
      </c>
      <c r="G120" s="77">
        <f t="shared" si="28"/>
        <v>20</v>
      </c>
      <c r="H120" s="77">
        <f t="shared" si="28"/>
        <v>19</v>
      </c>
      <c r="I120" s="77">
        <f t="shared" si="28"/>
        <v>7</v>
      </c>
      <c r="J120" s="77">
        <f t="shared" si="28"/>
        <v>366</v>
      </c>
      <c r="K120" s="84">
        <f t="shared" si="29"/>
        <v>0.1830601092896175</v>
      </c>
    </row>
    <row r="121" spans="5:11" x14ac:dyDescent="0.25">
      <c r="E121" s="83" t="s">
        <v>126</v>
      </c>
      <c r="F121" s="77">
        <f t="shared" si="28"/>
        <v>15</v>
      </c>
      <c r="G121" s="77">
        <f t="shared" si="28"/>
        <v>11</v>
      </c>
      <c r="H121" s="77">
        <f t="shared" si="28"/>
        <v>11</v>
      </c>
      <c r="I121" s="77">
        <f t="shared" si="28"/>
        <v>6</v>
      </c>
      <c r="J121" s="77">
        <f t="shared" si="28"/>
        <v>336</v>
      </c>
      <c r="K121" s="84">
        <f t="shared" si="29"/>
        <v>0.12797619047619047</v>
      </c>
    </row>
    <row r="122" spans="5:11" x14ac:dyDescent="0.25">
      <c r="E122" s="83" t="s">
        <v>127</v>
      </c>
      <c r="F122" s="77">
        <f t="shared" si="28"/>
        <v>11</v>
      </c>
      <c r="G122" s="77">
        <f t="shared" si="28"/>
        <v>6</v>
      </c>
      <c r="H122" s="77">
        <f t="shared" si="28"/>
        <v>8</v>
      </c>
      <c r="I122" s="77">
        <f t="shared" si="28"/>
        <v>14</v>
      </c>
      <c r="J122" s="77">
        <f t="shared" si="28"/>
        <v>325</v>
      </c>
      <c r="K122" s="84">
        <f t="shared" si="29"/>
        <v>0.12</v>
      </c>
    </row>
    <row r="123" spans="5:11" x14ac:dyDescent="0.25">
      <c r="E123" s="83" t="s">
        <v>128</v>
      </c>
      <c r="F123" s="77">
        <f t="shared" si="28"/>
        <v>16</v>
      </c>
      <c r="G123" s="77">
        <f t="shared" si="28"/>
        <v>7</v>
      </c>
      <c r="H123" s="77">
        <f t="shared" si="28"/>
        <v>14</v>
      </c>
      <c r="I123" s="77">
        <f t="shared" si="28"/>
        <v>9</v>
      </c>
      <c r="J123" s="77">
        <f t="shared" si="28"/>
        <v>417</v>
      </c>
      <c r="K123" s="84">
        <f t="shared" si="29"/>
        <v>0.11031175059952038</v>
      </c>
    </row>
    <row r="124" spans="5:11" x14ac:dyDescent="0.25">
      <c r="E124" s="83" t="s">
        <v>129</v>
      </c>
      <c r="F124" s="77">
        <f t="shared" si="28"/>
        <v>9</v>
      </c>
      <c r="G124" s="77">
        <f t="shared" si="28"/>
        <v>15</v>
      </c>
      <c r="H124" s="77">
        <f t="shared" si="28"/>
        <v>15</v>
      </c>
      <c r="I124" s="77">
        <f t="shared" si="28"/>
        <v>13</v>
      </c>
      <c r="J124" s="77">
        <f t="shared" si="28"/>
        <v>376</v>
      </c>
      <c r="K124" s="84">
        <f t="shared" si="29"/>
        <v>0.13829787234042554</v>
      </c>
    </row>
    <row r="125" spans="5:11" x14ac:dyDescent="0.25">
      <c r="E125" s="83" t="s">
        <v>130</v>
      </c>
      <c r="F125" s="77">
        <f t="shared" ref="F125" si="30">SUM(F118:F124)</f>
        <v>123</v>
      </c>
      <c r="G125" s="77">
        <f t="shared" ref="G125:I125" si="31">SUM(G118:G124)</f>
        <v>90</v>
      </c>
      <c r="H125" s="77">
        <f t="shared" si="31"/>
        <v>90</v>
      </c>
      <c r="I125" s="77">
        <f t="shared" si="31"/>
        <v>67</v>
      </c>
      <c r="J125" s="77">
        <f>SUM(J118:J124)</f>
        <v>2468</v>
      </c>
      <c r="K125" s="84">
        <f>SUM(F125:I125)/J125</f>
        <v>0.14991896272285252</v>
      </c>
    </row>
    <row r="126" spans="5:11" x14ac:dyDescent="0.25">
      <c r="E126" s="85" t="s">
        <v>131</v>
      </c>
      <c r="F126" s="86">
        <f>SUM(F119:F123)</f>
        <v>98</v>
      </c>
      <c r="G126" s="86">
        <f t="shared" ref="G126:I126" si="32">SUM(G119:G123)</f>
        <v>57</v>
      </c>
      <c r="H126" s="86">
        <f t="shared" si="32"/>
        <v>56</v>
      </c>
      <c r="I126" s="86">
        <f t="shared" si="32"/>
        <v>44</v>
      </c>
      <c r="J126" s="86">
        <f>J125</f>
        <v>2468</v>
      </c>
      <c r="K126" s="87">
        <f>SUM(F126:I126)/J126</f>
        <v>0.10332252836304701</v>
      </c>
    </row>
  </sheetData>
  <phoneticPr fontId="16" type="noConversion"/>
  <pageMargins left="0.7" right="0.7" top="0.75" bottom="0.75" header="0.3" footer="0.3"/>
  <pageSetup orientation="portrait" horizontalDpi="4294967294" verticalDpi="4294967294" r:id="rId1"/>
  <ignoredErrors>
    <ignoredError sqref="F65:I12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C1:S48"/>
  <sheetViews>
    <sheetView showGridLines="0" workbookViewId="0">
      <pane xSplit="3" ySplit="3" topLeftCell="D21" activePane="bottomRight" state="frozen"/>
      <selection pane="topRight" activeCell="D1" sqref="D1"/>
      <selection pane="bottomLeft" activeCell="A4" sqref="A4"/>
      <selection pane="bottomRight" activeCell="D34" sqref="D34"/>
    </sheetView>
  </sheetViews>
  <sheetFormatPr defaultRowHeight="15" x14ac:dyDescent="0.25"/>
  <cols>
    <col min="3" max="3" width="22.140625" customWidth="1"/>
    <col min="4" max="4" width="19.42578125" customWidth="1"/>
    <col min="5" max="10" width="16.7109375" customWidth="1"/>
    <col min="11" max="11" width="21" customWidth="1"/>
    <col min="12" max="19" width="16.7109375" customWidth="1"/>
  </cols>
  <sheetData>
    <row r="1" spans="3:19" ht="15" hidden="1" customHeight="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3:19" ht="26.25" x14ac:dyDescent="0.4">
      <c r="C2" s="1" t="s">
        <v>16</v>
      </c>
      <c r="D2" s="121" t="s">
        <v>133</v>
      </c>
      <c r="E2" s="122"/>
      <c r="F2" s="122"/>
      <c r="G2" s="122"/>
    </row>
    <row r="3" spans="3:19" s="6" customFormat="1" x14ac:dyDescent="0.25"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spans="3:19" x14ac:dyDescent="0.25">
      <c r="C4" s="7" t="s">
        <v>34</v>
      </c>
      <c r="D4" s="8">
        <v>-13839</v>
      </c>
      <c r="E4" s="9">
        <v>-15290</v>
      </c>
      <c r="F4" s="9">
        <v>-10851</v>
      </c>
      <c r="G4" s="9">
        <v>-16576</v>
      </c>
      <c r="H4" s="9">
        <v>-21711</v>
      </c>
      <c r="I4" s="9">
        <v>-13923</v>
      </c>
      <c r="J4" s="9">
        <v>-20966</v>
      </c>
      <c r="K4" s="9">
        <v>-11943</v>
      </c>
      <c r="L4" s="9">
        <v>-17384</v>
      </c>
      <c r="M4" s="9">
        <v>-12546</v>
      </c>
      <c r="N4" s="9">
        <v>-15490</v>
      </c>
      <c r="O4" s="9">
        <v>-8380</v>
      </c>
      <c r="P4" s="9">
        <v>-17875</v>
      </c>
      <c r="Q4" s="9">
        <v>-17335</v>
      </c>
      <c r="R4" s="9">
        <v>-15479</v>
      </c>
      <c r="S4" s="10">
        <v>-8982</v>
      </c>
    </row>
    <row r="5" spans="3:19" x14ac:dyDescent="0.25">
      <c r="C5" s="7" t="s">
        <v>35</v>
      </c>
      <c r="D5" s="8">
        <v>-3372.036839546191</v>
      </c>
      <c r="E5" s="9">
        <v>0</v>
      </c>
      <c r="F5" s="9">
        <v>-2911.2252998379254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-2091.9562965964342</v>
      </c>
      <c r="P5" s="9">
        <v>-2000.1392868719611</v>
      </c>
      <c r="Q5" s="9">
        <v>0</v>
      </c>
      <c r="R5" s="9">
        <v>0</v>
      </c>
      <c r="S5" s="10">
        <v>-4195.3014546191253</v>
      </c>
    </row>
    <row r="6" spans="3:19" x14ac:dyDescent="0.25">
      <c r="C6" s="7" t="s">
        <v>36</v>
      </c>
      <c r="D6" s="8">
        <v>3701</v>
      </c>
      <c r="E6" s="9">
        <v>3513</v>
      </c>
      <c r="F6" s="9">
        <v>2657</v>
      </c>
      <c r="G6" s="9">
        <v>3901</v>
      </c>
      <c r="H6" s="9">
        <v>5199</v>
      </c>
      <c r="I6" s="9">
        <v>3388</v>
      </c>
      <c r="J6" s="9">
        <v>4786</v>
      </c>
      <c r="K6" s="9">
        <v>2839</v>
      </c>
      <c r="L6" s="9">
        <v>4119</v>
      </c>
      <c r="M6" s="9">
        <v>2900</v>
      </c>
      <c r="N6" s="9">
        <v>3505</v>
      </c>
      <c r="O6" s="9">
        <v>2679</v>
      </c>
      <c r="P6" s="9">
        <v>4402</v>
      </c>
      <c r="Q6" s="9">
        <v>4604</v>
      </c>
      <c r="R6" s="9">
        <v>3719</v>
      </c>
      <c r="S6" s="10">
        <v>2864</v>
      </c>
    </row>
    <row r="7" spans="3:19" x14ac:dyDescent="0.25">
      <c r="C7" s="7" t="s">
        <v>37</v>
      </c>
      <c r="D7" s="11">
        <f>'Assumptions 12AM-6AM'!F23*(1+'Assumptions 12AM-6AM'!$F$34)</f>
        <v>12774.332632109361</v>
      </c>
      <c r="E7" s="12">
        <f>'Assumptions 12AM-6AM'!G23*(1+'Assumptions 12AM-6AM'!$F$34)</f>
        <v>15500.135945655697</v>
      </c>
      <c r="F7" s="12">
        <f>'Assumptions 12AM-6AM'!H23*(1+'Assumptions 12AM-6AM'!$F$34)</f>
        <v>12084.504525803583</v>
      </c>
      <c r="G7" s="12">
        <f>'Assumptions 12AM-6AM'!I23*(1+'Assumptions 12AM-6AM'!$F$34)</f>
        <v>12547.555354408556</v>
      </c>
      <c r="H7" s="12">
        <f>'Assumptions 12AM-6AM'!J23*(1+'Assumptions 12AM-6AM'!$F$34)</f>
        <v>16103.716146829767</v>
      </c>
      <c r="I7" s="12">
        <f>'Assumptions 12AM-6AM'!K23*(1+'Assumptions 12AM-6AM'!$F$34)</f>
        <v>16261.925319919648</v>
      </c>
      <c r="J7" s="12">
        <f>'Assumptions 12AM-6AM'!L23*(1+'Assumptions 12AM-6AM'!$F$34)</f>
        <v>16337.860803790616</v>
      </c>
      <c r="K7" s="12">
        <f>'Assumptions 12AM-6AM'!M23*(1+'Assumptions 12AM-6AM'!$F$34)</f>
        <v>11392.15323899034</v>
      </c>
      <c r="L7" s="12">
        <f>'Assumptions 12AM-6AM'!N23*(1+'Assumptions 12AM-6AM'!$F$34)</f>
        <v>13999.547326743421</v>
      </c>
      <c r="M7" s="12">
        <f>'Assumptions 12AM-6AM'!O23*(1+'Assumptions 12AM-6AM'!$F$34)</f>
        <v>13403.970716487735</v>
      </c>
      <c r="N7" s="12">
        <f>'Assumptions 12AM-6AM'!P23*(1+'Assumptions 12AM-6AM'!$F$34)</f>
        <v>13694.165184095003</v>
      </c>
      <c r="O7" s="12">
        <f>'Assumptions 12AM-6AM'!Q23*(1+'Assumptions 12AM-6AM'!$F$34)</f>
        <v>14504.857967586227</v>
      </c>
      <c r="P7" s="12">
        <f>'Assumptions 12AM-6AM'!R23*(1+'Assumptions 12AM-6AM'!$F$34)</f>
        <v>15907.787799038937</v>
      </c>
      <c r="Q7" s="12">
        <f>'Assumptions 12AM-6AM'!S23*(1+'Assumptions 12AM-6AM'!$F$34)</f>
        <v>7991.1613966115328</v>
      </c>
      <c r="R7" s="12">
        <f>'Assumptions 12AM-6AM'!T23*(1+'Assumptions 12AM-6AM'!$F$34)</f>
        <v>8320.3225690491017</v>
      </c>
      <c r="S7" s="13">
        <f>'Assumptions 12AM-6AM'!U23*(1+'Assumptions 12AM-6AM'!$F$34)</f>
        <v>14232.712314467104</v>
      </c>
    </row>
    <row r="8" spans="3:19" x14ac:dyDescent="0.25">
      <c r="C8" s="14" t="s">
        <v>38</v>
      </c>
      <c r="D8" s="15">
        <f>SUM(D4:D7)</f>
        <v>-735.70420743683098</v>
      </c>
      <c r="E8" s="16">
        <f t="shared" ref="E8:S8" si="0">SUM(E4:E7)</f>
        <v>3723.1359456556966</v>
      </c>
      <c r="F8" s="16">
        <f t="shared" si="0"/>
        <v>979.27922596565622</v>
      </c>
      <c r="G8" s="16">
        <f t="shared" si="0"/>
        <v>-127.44464559144399</v>
      </c>
      <c r="H8" s="16">
        <f t="shared" si="0"/>
        <v>-408.28385317023276</v>
      </c>
      <c r="I8" s="16">
        <f t="shared" si="0"/>
        <v>5726.9253199196482</v>
      </c>
      <c r="J8" s="16">
        <f t="shared" si="0"/>
        <v>157.86080379061605</v>
      </c>
      <c r="K8" s="16">
        <f t="shared" si="0"/>
        <v>2288.1532389903405</v>
      </c>
      <c r="L8" s="16">
        <f t="shared" si="0"/>
        <v>734.54732674342085</v>
      </c>
      <c r="M8" s="16">
        <f t="shared" si="0"/>
        <v>3757.9707164877345</v>
      </c>
      <c r="N8" s="16">
        <f t="shared" si="0"/>
        <v>1709.1651840950035</v>
      </c>
      <c r="O8" s="16">
        <f t="shared" si="0"/>
        <v>6711.9016709897933</v>
      </c>
      <c r="P8" s="16">
        <f t="shared" si="0"/>
        <v>434.64851216697753</v>
      </c>
      <c r="Q8" s="16">
        <f t="shared" si="0"/>
        <v>-4739.8386033884672</v>
      </c>
      <c r="R8" s="16">
        <f t="shared" si="0"/>
        <v>-3439.6774309508983</v>
      </c>
      <c r="S8" s="17">
        <f t="shared" si="0"/>
        <v>3919.4108598479779</v>
      </c>
    </row>
    <row r="9" spans="3:19" ht="6" customHeight="1" x14ac:dyDescent="0.25">
      <c r="C9" s="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spans="3:19" x14ac:dyDescent="0.25">
      <c r="C10" s="7" t="s">
        <v>39</v>
      </c>
      <c r="D10" s="8">
        <v>350.24674035265309</v>
      </c>
      <c r="E10" s="9">
        <v>345.2220568875415</v>
      </c>
      <c r="F10" s="9">
        <v>285.64826311405443</v>
      </c>
      <c r="G10" s="9">
        <v>440.91682262063955</v>
      </c>
      <c r="H10" s="9">
        <v>721.35414685780995</v>
      </c>
      <c r="I10" s="9">
        <v>382.97271444998989</v>
      </c>
      <c r="J10" s="9">
        <v>371.54671357496704</v>
      </c>
      <c r="K10" s="9">
        <v>348.25385691894638</v>
      </c>
      <c r="L10" s="9">
        <v>413.84632752791487</v>
      </c>
      <c r="M10" s="9">
        <v>302.03670405693305</v>
      </c>
      <c r="N10" s="9">
        <v>490.2568110045878</v>
      </c>
      <c r="O10" s="9">
        <v>257.66354651967339</v>
      </c>
      <c r="P10" s="9">
        <v>536.95638949519832</v>
      </c>
      <c r="Q10" s="9">
        <v>520.42164469576073</v>
      </c>
      <c r="R10" s="9">
        <v>751.13410943593226</v>
      </c>
      <c r="S10" s="10">
        <v>354.33926609451782</v>
      </c>
    </row>
    <row r="11" spans="3:19" x14ac:dyDescent="0.25">
      <c r="C11" s="7" t="s">
        <v>40</v>
      </c>
      <c r="D11" s="8">
        <v>108.62355153687263</v>
      </c>
      <c r="E11" s="9">
        <v>130.69790540299365</v>
      </c>
      <c r="F11" s="9">
        <v>95.159798545910746</v>
      </c>
      <c r="G11" s="9">
        <v>134.09329154711986</v>
      </c>
      <c r="H11" s="9">
        <v>194.69486731433301</v>
      </c>
      <c r="I11" s="9">
        <v>105.54800303470245</v>
      </c>
      <c r="J11" s="9">
        <v>132.57742418505936</v>
      </c>
      <c r="K11" s="9">
        <v>165.53869758818993</v>
      </c>
      <c r="L11" s="9">
        <v>152.47760764227675</v>
      </c>
      <c r="M11" s="9">
        <v>111.74087109902949</v>
      </c>
      <c r="N11" s="9">
        <v>126.38465858826918</v>
      </c>
      <c r="O11" s="9">
        <v>76.184739263803678</v>
      </c>
      <c r="P11" s="9">
        <v>112.19154258707459</v>
      </c>
      <c r="Q11" s="9">
        <v>162.36844047040864</v>
      </c>
      <c r="R11" s="9">
        <v>207.0139784659909</v>
      </c>
      <c r="S11" s="10">
        <v>101.02317769072259</v>
      </c>
    </row>
    <row r="12" spans="3:19" x14ac:dyDescent="0.25">
      <c r="C12" s="7" t="s">
        <v>41</v>
      </c>
      <c r="D12" s="8">
        <v>1266.1324872401171</v>
      </c>
      <c r="E12" s="9">
        <v>1425.2966356217969</v>
      </c>
      <c r="F12" s="9">
        <v>1338.8307718807523</v>
      </c>
      <c r="G12" s="9">
        <v>982.03517927758173</v>
      </c>
      <c r="H12" s="9">
        <v>1981.7924179362126</v>
      </c>
      <c r="I12" s="9">
        <v>780.29586991351835</v>
      </c>
      <c r="J12" s="9">
        <v>1757.9211884028603</v>
      </c>
      <c r="K12" s="9">
        <v>1716.4612959462318</v>
      </c>
      <c r="L12" s="9">
        <v>1396.8521937914606</v>
      </c>
      <c r="M12" s="9">
        <v>1565.9761939050557</v>
      </c>
      <c r="N12" s="9">
        <v>1732.5757579743072</v>
      </c>
      <c r="O12" s="9">
        <v>1320.9460474422253</v>
      </c>
      <c r="P12" s="9">
        <v>1622.2368682269989</v>
      </c>
      <c r="Q12" s="9">
        <v>1356.4325990425309</v>
      </c>
      <c r="R12" s="9">
        <v>983.81821834129767</v>
      </c>
      <c r="S12" s="10">
        <v>1115.8663899060903</v>
      </c>
    </row>
    <row r="13" spans="3:19" x14ac:dyDescent="0.25">
      <c r="C13" s="7" t="s">
        <v>42</v>
      </c>
      <c r="D13" s="8">
        <v>195.93970384252353</v>
      </c>
      <c r="E13" s="9">
        <v>239.53240746378654</v>
      </c>
      <c r="F13" s="9">
        <v>199.12785856051335</v>
      </c>
      <c r="G13" s="9">
        <v>262.60737871136098</v>
      </c>
      <c r="H13" s="9">
        <v>239.50414271796768</v>
      </c>
      <c r="I13" s="9">
        <v>179.39333487584136</v>
      </c>
      <c r="J13" s="9">
        <v>293.33885692346252</v>
      </c>
      <c r="K13" s="9">
        <v>180.19714041336309</v>
      </c>
      <c r="L13" s="9">
        <v>245.33580908335171</v>
      </c>
      <c r="M13" s="9">
        <v>206.44826948480846</v>
      </c>
      <c r="N13" s="9">
        <v>211.36303695969713</v>
      </c>
      <c r="O13" s="9">
        <v>113.84284503436506</v>
      </c>
      <c r="P13" s="9">
        <v>252.53964093901982</v>
      </c>
      <c r="Q13" s="9">
        <v>252.92526330396171</v>
      </c>
      <c r="R13" s="9">
        <v>351.84870291406372</v>
      </c>
      <c r="S13" s="10">
        <v>127.46517198433007</v>
      </c>
    </row>
    <row r="14" spans="3:19" x14ac:dyDescent="0.25">
      <c r="C14" s="14" t="s">
        <v>43</v>
      </c>
      <c r="D14" s="20">
        <f t="shared" ref="D14:S14" si="1">SUM(D10:D13)</f>
        <v>1920.9424829721665</v>
      </c>
      <c r="E14" s="21">
        <f t="shared" si="1"/>
        <v>2140.7490053761185</v>
      </c>
      <c r="F14" s="21">
        <f t="shared" si="1"/>
        <v>1918.766692101231</v>
      </c>
      <c r="G14" s="21">
        <f t="shared" si="1"/>
        <v>1819.652672156702</v>
      </c>
      <c r="H14" s="21">
        <f t="shared" si="1"/>
        <v>3137.3455748263232</v>
      </c>
      <c r="I14" s="21">
        <f t="shared" si="1"/>
        <v>1448.2099222740521</v>
      </c>
      <c r="J14" s="21">
        <f t="shared" si="1"/>
        <v>2555.3841830863494</v>
      </c>
      <c r="K14" s="21">
        <f t="shared" si="1"/>
        <v>2410.4509908667314</v>
      </c>
      <c r="L14" s="21">
        <f t="shared" si="1"/>
        <v>2208.5119380450042</v>
      </c>
      <c r="M14" s="21">
        <f t="shared" si="1"/>
        <v>2186.2020385458268</v>
      </c>
      <c r="N14" s="21">
        <f t="shared" si="1"/>
        <v>2560.5802645268614</v>
      </c>
      <c r="O14" s="21">
        <f t="shared" si="1"/>
        <v>1768.6371782600675</v>
      </c>
      <c r="P14" s="21">
        <f t="shared" si="1"/>
        <v>2523.9244412482913</v>
      </c>
      <c r="Q14" s="21">
        <f t="shared" si="1"/>
        <v>2292.1479475126621</v>
      </c>
      <c r="R14" s="21">
        <f t="shared" si="1"/>
        <v>2293.8150091572847</v>
      </c>
      <c r="S14" s="22">
        <f t="shared" si="1"/>
        <v>1698.6940056756607</v>
      </c>
    </row>
    <row r="15" spans="3:19" ht="6" customHeight="1" x14ac:dyDescent="0.25"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/>
    </row>
    <row r="16" spans="3:19" x14ac:dyDescent="0.25">
      <c r="C16" s="7" t="s">
        <v>44</v>
      </c>
      <c r="D16" s="8">
        <f>'Assumptions 12AM-6AM'!F4*'Assumptions 12AM-6AM'!$F$36</f>
        <v>0</v>
      </c>
      <c r="E16" s="9">
        <f>'Assumptions 12AM-6AM'!G4*'Assumptions 12AM-6AM'!$F$36</f>
        <v>0</v>
      </c>
      <c r="F16" s="9">
        <f>'Assumptions 12AM-6AM'!H4*'Assumptions 12AM-6AM'!$F$36</f>
        <v>0</v>
      </c>
      <c r="G16" s="9">
        <f>'Assumptions 12AM-6AM'!I4*'Assumptions 12AM-6AM'!$F$36</f>
        <v>0</v>
      </c>
      <c r="H16" s="9">
        <f>'Assumptions 12AM-6AM'!J4*'Assumptions 12AM-6AM'!$F$36</f>
        <v>0</v>
      </c>
      <c r="I16" s="9">
        <f>'Assumptions 12AM-6AM'!K4*'Assumptions 12AM-6AM'!$F$36</f>
        <v>0</v>
      </c>
      <c r="J16" s="9">
        <f>'Assumptions 12AM-6AM'!L4*'Assumptions 12AM-6AM'!$F$36</f>
        <v>0</v>
      </c>
      <c r="K16" s="9">
        <f>'Assumptions 12AM-6AM'!M4*'Assumptions 12AM-6AM'!$F$36</f>
        <v>0</v>
      </c>
      <c r="L16" s="9">
        <f>'Assumptions 12AM-6AM'!N4*'Assumptions 12AM-6AM'!$F$36</f>
        <v>0</v>
      </c>
      <c r="M16" s="9">
        <f>'Assumptions 12AM-6AM'!O4*'Assumptions 12AM-6AM'!$F$36</f>
        <v>0</v>
      </c>
      <c r="N16" s="9">
        <f>'Assumptions 12AM-6AM'!P4*'Assumptions 12AM-6AM'!$F$36</f>
        <v>0</v>
      </c>
      <c r="O16" s="9">
        <f>'Assumptions 12AM-6AM'!Q4*'Assumptions 12AM-6AM'!$F$36</f>
        <v>0</v>
      </c>
      <c r="P16" s="9">
        <f>'Assumptions 12AM-6AM'!R4*'Assumptions 12AM-6AM'!$F$36</f>
        <v>0</v>
      </c>
      <c r="Q16" s="9">
        <f>'Assumptions 12AM-6AM'!S4*'Assumptions 12AM-6AM'!$F$36</f>
        <v>0</v>
      </c>
      <c r="R16" s="9">
        <f>'Assumptions 12AM-6AM'!T4*'Assumptions 12AM-6AM'!$F$36</f>
        <v>0</v>
      </c>
      <c r="S16" s="10">
        <f>'Assumptions 12AM-6AM'!U4*'Assumptions 12AM-6AM'!$F$36</f>
        <v>0</v>
      </c>
    </row>
    <row r="17" spans="3:19" ht="6" customHeight="1" thickBot="1" x14ac:dyDescent="0.3">
      <c r="C17" s="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9"/>
    </row>
    <row r="18" spans="3:19" ht="15.75" thickTop="1" x14ac:dyDescent="0.25">
      <c r="C18" s="23" t="s">
        <v>45</v>
      </c>
      <c r="D18" s="24">
        <f>SUM(D8,D14,D16)</f>
        <v>1185.2382755353356</v>
      </c>
      <c r="E18" s="25">
        <f t="shared" ref="E18:S18" si="2">SUM(E8,E14,E16)</f>
        <v>5863.884951031815</v>
      </c>
      <c r="F18" s="25">
        <f t="shared" si="2"/>
        <v>2898.0459180668872</v>
      </c>
      <c r="G18" s="25">
        <f t="shared" si="2"/>
        <v>1692.208026565258</v>
      </c>
      <c r="H18" s="25">
        <f t="shared" si="2"/>
        <v>2729.0617216560904</v>
      </c>
      <c r="I18" s="25">
        <f t="shared" si="2"/>
        <v>7175.1352421937008</v>
      </c>
      <c r="J18" s="25">
        <f t="shared" si="2"/>
        <v>2713.2449868769654</v>
      </c>
      <c r="K18" s="25">
        <f t="shared" si="2"/>
        <v>4698.6042298570719</v>
      </c>
      <c r="L18" s="25">
        <f t="shared" si="2"/>
        <v>2943.059264788425</v>
      </c>
      <c r="M18" s="25">
        <f t="shared" si="2"/>
        <v>5944.1727550335618</v>
      </c>
      <c r="N18" s="25">
        <f t="shared" si="2"/>
        <v>4269.7454486218649</v>
      </c>
      <c r="O18" s="25">
        <f t="shared" si="2"/>
        <v>8480.5388492498605</v>
      </c>
      <c r="P18" s="25">
        <f t="shared" si="2"/>
        <v>2958.5729534152688</v>
      </c>
      <c r="Q18" s="25">
        <f t="shared" si="2"/>
        <v>-2447.6906558758051</v>
      </c>
      <c r="R18" s="25">
        <f t="shared" si="2"/>
        <v>-1145.8624217936135</v>
      </c>
      <c r="S18" s="26">
        <f t="shared" si="2"/>
        <v>5618.1048655236391</v>
      </c>
    </row>
    <row r="19" spans="3:19" ht="6.75" customHeight="1" x14ac:dyDescent="0.25">
      <c r="C19" s="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</row>
    <row r="20" spans="3:19" x14ac:dyDescent="0.25">
      <c r="C20" s="27" t="s">
        <v>46</v>
      </c>
      <c r="D20" s="28">
        <f t="shared" ref="D20:S20" si="3">D18/4*13</f>
        <v>3852.0243954898406</v>
      </c>
      <c r="E20" s="29">
        <f t="shared" si="3"/>
        <v>19057.626090853399</v>
      </c>
      <c r="F20" s="29">
        <f t="shared" si="3"/>
        <v>9418.649233717384</v>
      </c>
      <c r="G20" s="29">
        <f t="shared" si="3"/>
        <v>5499.6760863370882</v>
      </c>
      <c r="H20" s="29">
        <f t="shared" si="3"/>
        <v>8869.4505953822936</v>
      </c>
      <c r="I20" s="29">
        <f t="shared" si="3"/>
        <v>23319.189537129529</v>
      </c>
      <c r="J20" s="29">
        <f t="shared" si="3"/>
        <v>8818.0462073501367</v>
      </c>
      <c r="K20" s="29">
        <f t="shared" si="3"/>
        <v>15270.463747035483</v>
      </c>
      <c r="L20" s="29">
        <f t="shared" si="3"/>
        <v>9564.9426105623807</v>
      </c>
      <c r="M20" s="29">
        <f t="shared" si="3"/>
        <v>19318.561453859074</v>
      </c>
      <c r="N20" s="29">
        <f t="shared" si="3"/>
        <v>13876.67270802106</v>
      </c>
      <c r="O20" s="29">
        <f t="shared" si="3"/>
        <v>27561.751260062047</v>
      </c>
      <c r="P20" s="29">
        <f t="shared" si="3"/>
        <v>9615.362098599624</v>
      </c>
      <c r="Q20" s="29">
        <f t="shared" si="3"/>
        <v>-7954.9946315963662</v>
      </c>
      <c r="R20" s="29">
        <f t="shared" si="3"/>
        <v>-3724.0528708292441</v>
      </c>
      <c r="S20" s="30">
        <f t="shared" si="3"/>
        <v>18258.840812951828</v>
      </c>
    </row>
    <row r="21" spans="3:19" ht="6" customHeight="1" x14ac:dyDescent="0.25">
      <c r="C21" s="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</row>
    <row r="22" spans="3:19" x14ac:dyDescent="0.25">
      <c r="C22" s="7" t="s">
        <v>47</v>
      </c>
      <c r="D22" s="31" t="str">
        <f>IF(D20&gt;0,"Close","Stay Open")</f>
        <v>Close</v>
      </c>
      <c r="E22" s="32" t="str">
        <f t="shared" ref="E22:G22" si="4">IF(E20&gt;0,"Close","Stay Open")</f>
        <v>Close</v>
      </c>
      <c r="F22" s="32" t="str">
        <f t="shared" si="4"/>
        <v>Close</v>
      </c>
      <c r="G22" s="32" t="str">
        <f t="shared" si="4"/>
        <v>Close</v>
      </c>
      <c r="H22" s="32" t="s">
        <v>134</v>
      </c>
      <c r="I22" s="32" t="str">
        <f t="shared" ref="I22:R22" si="5">IF(I20&gt;0,"Close","Stay Open")</f>
        <v>Close</v>
      </c>
      <c r="J22" s="32" t="str">
        <f t="shared" si="5"/>
        <v>Close</v>
      </c>
      <c r="K22" s="32" t="str">
        <f t="shared" si="5"/>
        <v>Close</v>
      </c>
      <c r="L22" s="32" t="str">
        <f t="shared" si="5"/>
        <v>Close</v>
      </c>
      <c r="M22" s="32" t="str">
        <f t="shared" si="5"/>
        <v>Close</v>
      </c>
      <c r="N22" s="32" t="str">
        <f t="shared" si="5"/>
        <v>Close</v>
      </c>
      <c r="O22" s="32" t="str">
        <f t="shared" si="5"/>
        <v>Close</v>
      </c>
      <c r="P22" s="32" t="str">
        <f t="shared" si="5"/>
        <v>Close</v>
      </c>
      <c r="Q22" s="32" t="str">
        <f t="shared" si="5"/>
        <v>Stay Open</v>
      </c>
      <c r="R22" s="32" t="str">
        <f t="shared" si="5"/>
        <v>Stay Open</v>
      </c>
      <c r="S22" s="33" t="str">
        <f>IF(S20&gt;0,"Close","Stay Open")</f>
        <v>Close</v>
      </c>
    </row>
    <row r="23" spans="3:19" ht="6" customHeight="1" x14ac:dyDescent="0.25">
      <c r="C23" s="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 spans="3:19" x14ac:dyDescent="0.25">
      <c r="C24" s="34" t="s">
        <v>48</v>
      </c>
      <c r="D24" s="35" t="str">
        <f>IF(D18&lt;0,"Non-Profitable","")</f>
        <v/>
      </c>
      <c r="E24" s="36" t="str">
        <f t="shared" ref="E24:G24" si="6">IF(E18&lt;0,"Non-Profitable","")</f>
        <v/>
      </c>
      <c r="F24" s="36" t="str">
        <f t="shared" si="6"/>
        <v/>
      </c>
      <c r="G24" s="36" t="str">
        <f t="shared" si="6"/>
        <v/>
      </c>
      <c r="H24" s="36" t="s">
        <v>49</v>
      </c>
      <c r="I24" s="36" t="str">
        <f t="shared" ref="I24:S24" si="7">IF(I18&lt;0,"Non-Profitable","")</f>
        <v/>
      </c>
      <c r="J24" s="36" t="str">
        <f t="shared" si="7"/>
        <v/>
      </c>
      <c r="K24" s="36" t="str">
        <f t="shared" si="7"/>
        <v/>
      </c>
      <c r="L24" s="36" t="str">
        <f t="shared" si="7"/>
        <v/>
      </c>
      <c r="M24" s="36" t="str">
        <f t="shared" si="7"/>
        <v/>
      </c>
      <c r="N24" s="36" t="str">
        <f t="shared" si="7"/>
        <v/>
      </c>
      <c r="O24" s="36" t="str">
        <f t="shared" si="7"/>
        <v/>
      </c>
      <c r="P24" s="36" t="str">
        <f t="shared" si="7"/>
        <v/>
      </c>
      <c r="Q24" s="36" t="str">
        <f t="shared" si="7"/>
        <v>Non-Profitable</v>
      </c>
      <c r="R24" s="36" t="str">
        <f t="shared" si="7"/>
        <v>Non-Profitable</v>
      </c>
      <c r="S24" s="37" t="str">
        <f t="shared" si="7"/>
        <v/>
      </c>
    </row>
    <row r="25" spans="3:19" ht="5.25" customHeight="1" x14ac:dyDescent="0.25"/>
    <row r="26" spans="3:19" x14ac:dyDescent="0.25">
      <c r="C26" s="38" t="s">
        <v>50</v>
      </c>
      <c r="D26" s="39">
        <f>SUMIFS(D20:S20,D22:S22,"Close")</f>
        <v>183431.80624196885</v>
      </c>
      <c r="E26" s="88"/>
    </row>
    <row r="28" spans="3:19" x14ac:dyDescent="0.25">
      <c r="C28" t="s">
        <v>51</v>
      </c>
      <c r="D28" s="40">
        <v>0</v>
      </c>
      <c r="E28" s="41">
        <f>E20</f>
        <v>19057.626090853399</v>
      </c>
    </row>
    <row r="29" spans="3:19" x14ac:dyDescent="0.25">
      <c r="C29" s="42"/>
      <c r="D29" s="43"/>
    </row>
    <row r="30" spans="3:19" s="47" customFormat="1" x14ac:dyDescent="0.25">
      <c r="C30" s="44" t="s">
        <v>52</v>
      </c>
      <c r="D30" s="46">
        <v>-2.8145419817704569E-3</v>
      </c>
      <c r="E30" s="46">
        <v>-1.2312184741640543E-2</v>
      </c>
      <c r="F30" s="46">
        <v>-8.5037324663308628E-3</v>
      </c>
      <c r="G30" s="46">
        <v>-4.3940282281225151E-3</v>
      </c>
      <c r="H30" s="46">
        <v>-9.8383662142005977E-3</v>
      </c>
      <c r="I30" s="46">
        <v>-1.425033403184877E-2</v>
      </c>
      <c r="J30" s="46">
        <v>-7.2349831041919107E-3</v>
      </c>
      <c r="K30" s="46">
        <v>-1.3461141281369294E-2</v>
      </c>
      <c r="L30" s="46">
        <v>-6.071474451682787E-3</v>
      </c>
      <c r="M30" s="46">
        <v>-1.513127374367701E-2</v>
      </c>
      <c r="N30" s="46">
        <v>-1.0980439812690469E-2</v>
      </c>
      <c r="O30" s="46">
        <v>-2.2209504260496584E-2</v>
      </c>
      <c r="P30" s="46">
        <v>-4.2530202360789478E-3</v>
      </c>
      <c r="Q30" s="45" t="s">
        <v>53</v>
      </c>
      <c r="R30" s="45" t="s">
        <v>53</v>
      </c>
      <c r="S30" s="46">
        <v>-1.6827660255832086E-2</v>
      </c>
    </row>
    <row r="31" spans="3:19" x14ac:dyDescent="0.25">
      <c r="C31" s="42"/>
      <c r="D31" s="43"/>
      <c r="E31" s="48"/>
    </row>
    <row r="32" spans="3:19" x14ac:dyDescent="0.25">
      <c r="C32" s="49" t="s">
        <v>54</v>
      </c>
      <c r="D32" s="43"/>
    </row>
    <row r="33" spans="3:11" x14ac:dyDescent="0.25">
      <c r="C33" s="42"/>
      <c r="D33" s="43"/>
    </row>
    <row r="34" spans="3:11" x14ac:dyDescent="0.25">
      <c r="C34" s="50" t="s">
        <v>55</v>
      </c>
      <c r="D34" s="39" t="s">
        <v>19</v>
      </c>
      <c r="J34" s="119" t="s">
        <v>56</v>
      </c>
      <c r="K34" s="120"/>
    </row>
    <row r="35" spans="3:11" x14ac:dyDescent="0.25">
      <c r="C35" s="51"/>
    </row>
    <row r="36" spans="3:11" x14ac:dyDescent="0.25">
      <c r="C36" s="52" t="s">
        <v>57</v>
      </c>
      <c r="D36" s="53" t="s">
        <v>58</v>
      </c>
      <c r="J36" s="52" t="s">
        <v>57</v>
      </c>
      <c r="K36" s="54" t="s">
        <v>58</v>
      </c>
    </row>
    <row r="37" spans="3:11" hidden="1" x14ac:dyDescent="0.25">
      <c r="C37" s="55"/>
      <c r="D37" s="56" t="e">
        <f>INDEX($20:$20,MATCH($D$34,$3:$3,0))</f>
        <v>#N/A</v>
      </c>
      <c r="J37" s="55"/>
      <c r="K37" s="57">
        <f>D26</f>
        <v>183431.80624196885</v>
      </c>
    </row>
    <row r="38" spans="3:11" x14ac:dyDescent="0.25">
      <c r="C38" s="58">
        <v>0</v>
      </c>
      <c r="D38" s="59" t="e">
        <f t="dataTable" ref="D38:D48" dt2D="0" dtr="0" r1="D28"/>
        <v>#N/A</v>
      </c>
      <c r="J38" s="58">
        <v>0</v>
      </c>
      <c r="K38" s="60">
        <f t="dataTable" ref="K38:K48" dt2D="0" dtr="0" r1="D28" ca="1"/>
        <v>183431.80624196885</v>
      </c>
    </row>
    <row r="39" spans="3:11" x14ac:dyDescent="0.25">
      <c r="C39" s="58">
        <f>C38-0.25%</f>
        <v>-2.5000000000000001E-3</v>
      </c>
      <c r="D39" s="59" t="e">
        <v>#N/A</v>
      </c>
      <c r="J39" s="58">
        <f>J38-0.25%</f>
        <v>-2.5000000000000001E-3</v>
      </c>
      <c r="K39" s="60">
        <v>138511.64467321886</v>
      </c>
    </row>
    <row r="40" spans="3:11" x14ac:dyDescent="0.25">
      <c r="C40" s="58">
        <f t="shared" ref="C40:C46" si="8">C39-0.25%</f>
        <v>-5.0000000000000001E-3</v>
      </c>
      <c r="D40" s="59" t="e">
        <v>#N/A</v>
      </c>
      <c r="J40" s="58">
        <f t="shared" ref="J40:J46" si="9">J39-0.25%</f>
        <v>-5.0000000000000001E-3</v>
      </c>
      <c r="K40" s="60">
        <v>99029.778611542337</v>
      </c>
    </row>
    <row r="41" spans="3:11" x14ac:dyDescent="0.25">
      <c r="C41" s="58">
        <f t="shared" si="8"/>
        <v>-7.4999999999999997E-3</v>
      </c>
      <c r="D41" s="59" t="e">
        <v>#N/A</v>
      </c>
      <c r="J41" s="58">
        <f t="shared" si="9"/>
        <v>-7.4999999999999997E-3</v>
      </c>
      <c r="K41" s="60">
        <v>68885.785912379812</v>
      </c>
    </row>
    <row r="42" spans="3:11" x14ac:dyDescent="0.25">
      <c r="C42" s="58">
        <f t="shared" si="8"/>
        <v>-0.01</v>
      </c>
      <c r="D42" s="59" t="e">
        <v>#N/A</v>
      </c>
      <c r="J42" s="58">
        <f t="shared" si="9"/>
        <v>-0.01</v>
      </c>
      <c r="K42" s="60">
        <v>44811.047259912419</v>
      </c>
    </row>
    <row r="43" spans="3:11" x14ac:dyDescent="0.25">
      <c r="C43" s="58">
        <f t="shared" si="8"/>
        <v>-1.2500000000000001E-2</v>
      </c>
      <c r="D43" s="59" t="e">
        <v>#N/A</v>
      </c>
      <c r="J43" s="58">
        <f t="shared" si="9"/>
        <v>-1.2500000000000001E-2</v>
      </c>
      <c r="K43" s="60">
        <v>24059.10956103796</v>
      </c>
    </row>
    <row r="44" spans="3:11" x14ac:dyDescent="0.25">
      <c r="C44" s="58">
        <f t="shared" si="8"/>
        <v>-1.5000000000000001E-2</v>
      </c>
      <c r="D44" s="59" t="e">
        <v>#N/A</v>
      </c>
      <c r="J44" s="58">
        <f t="shared" si="9"/>
        <v>-1.5000000000000001E-2</v>
      </c>
      <c r="K44" s="60">
        <v>11097.618414372944</v>
      </c>
    </row>
    <row r="45" spans="3:11" x14ac:dyDescent="0.25">
      <c r="C45" s="58">
        <f>C44-0.25%</f>
        <v>-1.7500000000000002E-2</v>
      </c>
      <c r="D45" s="59" t="e">
        <v>#N/A</v>
      </c>
      <c r="J45" s="58">
        <f>J44-0.25%</f>
        <v>-1.7500000000000002E-2</v>
      </c>
      <c r="K45" s="60">
        <v>5844.4431475620422</v>
      </c>
    </row>
    <row r="46" spans="3:11" x14ac:dyDescent="0.25">
      <c r="C46" s="58">
        <f t="shared" si="8"/>
        <v>-0.02</v>
      </c>
      <c r="D46" s="59" t="e">
        <v>#N/A</v>
      </c>
      <c r="J46" s="58">
        <f t="shared" si="9"/>
        <v>-0.02</v>
      </c>
      <c r="K46" s="60">
        <v>2741.9705600620441</v>
      </c>
    </row>
    <row r="47" spans="3:11" x14ac:dyDescent="0.25">
      <c r="C47" s="58">
        <f>C46-0.25%</f>
        <v>-2.2499999999999999E-2</v>
      </c>
      <c r="D47" s="59" t="e">
        <v>#N/A</v>
      </c>
      <c r="J47" s="58">
        <f>J46-0.25%</f>
        <v>-2.2499999999999999E-2</v>
      </c>
      <c r="K47" s="60">
        <v>0</v>
      </c>
    </row>
    <row r="48" spans="3:11" x14ac:dyDescent="0.25">
      <c r="C48" s="61">
        <f>C47-0.25%</f>
        <v>-2.4999999999999998E-2</v>
      </c>
      <c r="D48" s="62" t="e">
        <v>#N/A</v>
      </c>
      <c r="J48" s="61">
        <f>J47-0.25%</f>
        <v>-2.4999999999999998E-2</v>
      </c>
      <c r="K48" s="63">
        <v>0</v>
      </c>
    </row>
  </sheetData>
  <mergeCells count="2">
    <mergeCell ref="D2:G2"/>
    <mergeCell ref="J34:K34"/>
  </mergeCells>
  <conditionalFormatting sqref="D22:S22">
    <cfRule type="cellIs" dxfId="1" priority="1" operator="equal">
      <formula>"Stay Open"</formula>
    </cfRule>
    <cfRule type="cellIs" dxfId="0" priority="2" operator="equal">
      <formula>"Close"</formula>
    </cfRule>
  </conditionalFormatting>
  <pageMargins left="0.7" right="0.7" top="0.75" bottom="0.75" header="0.3" footer="0.3"/>
  <pageSetup orientation="portrait" horizontalDpi="4294967294" verticalDpi="4294967294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Key!$N$2:$N$17</xm:f>
          </x14:formula1>
          <xm:sqref>D34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U126"/>
  <sheetViews>
    <sheetView showGridLines="0" workbookViewId="0">
      <pane xSplit="5" ySplit="3" topLeftCell="J4" activePane="bottomRight" state="frozen"/>
      <selection activeCell="D29" sqref="D29"/>
      <selection pane="topRight" activeCell="D29" sqref="D29"/>
      <selection pane="bottomLeft" activeCell="D29" sqref="D29"/>
      <selection pane="bottomRight" activeCell="F3" sqref="F3:U3"/>
    </sheetView>
  </sheetViews>
  <sheetFormatPr defaultRowHeight="15" outlineLevelRow="1" outlineLevelCol="1" x14ac:dyDescent="0.25"/>
  <cols>
    <col min="1" max="4" width="9.140625" hidden="1" customWidth="1" outlineLevel="1"/>
    <col min="5" max="5" width="31.85546875" customWidth="1" collapsed="1"/>
    <col min="6" max="21" width="17.85546875" customWidth="1"/>
  </cols>
  <sheetData>
    <row r="1" spans="1:21" hidden="1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3" spans="1:21" ht="15.75" thickBot="1" x14ac:dyDescent="0.3">
      <c r="F3" t="s">
        <v>171</v>
      </c>
      <c r="G3" t="s">
        <v>172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  <c r="O3" t="s">
        <v>180</v>
      </c>
      <c r="P3" t="s">
        <v>181</v>
      </c>
      <c r="Q3" t="s">
        <v>182</v>
      </c>
      <c r="R3" t="s">
        <v>183</v>
      </c>
      <c r="S3" t="s">
        <v>184</v>
      </c>
      <c r="T3" t="s">
        <v>185</v>
      </c>
      <c r="U3" t="s">
        <v>186</v>
      </c>
    </row>
    <row r="4" spans="1:21" ht="16.5" thickTop="1" thickBot="1" x14ac:dyDescent="0.3">
      <c r="E4" t="s">
        <v>59</v>
      </c>
      <c r="F4" s="64">
        <v>421112.31000000006</v>
      </c>
      <c r="G4" s="64">
        <v>476266.80999999994</v>
      </c>
      <c r="H4" s="64">
        <v>340796.93000000005</v>
      </c>
      <c r="I4" s="64">
        <v>385115.42000000004</v>
      </c>
      <c r="J4" s="64">
        <v>403441.12000000005</v>
      </c>
      <c r="K4" s="64">
        <v>503506.45999999996</v>
      </c>
      <c r="L4" s="64">
        <v>375017.46</v>
      </c>
      <c r="M4" s="64">
        <v>349049.47</v>
      </c>
      <c r="N4" s="64">
        <v>484735.50999999989</v>
      </c>
      <c r="O4" s="64">
        <v>392840.2099999999</v>
      </c>
      <c r="P4" s="64">
        <v>388850.12999999995</v>
      </c>
      <c r="Q4" s="64">
        <v>381842.78</v>
      </c>
      <c r="R4" s="64">
        <v>695640.4600000002</v>
      </c>
      <c r="S4" s="64">
        <v>288130.95</v>
      </c>
      <c r="T4" s="64">
        <v>503506.45999999996</v>
      </c>
      <c r="U4" s="64">
        <v>333861.32000000007</v>
      </c>
    </row>
    <row r="5" spans="1:21" ht="16.5" thickTop="1" thickBot="1" x14ac:dyDescent="0.3"/>
    <row r="6" spans="1:21" ht="16.5" thickTop="1" thickBot="1" x14ac:dyDescent="0.3">
      <c r="E6" t="s">
        <v>60</v>
      </c>
      <c r="F6" s="64">
        <v>13839</v>
      </c>
      <c r="G6" s="64">
        <v>15290</v>
      </c>
      <c r="H6" s="64">
        <v>10851</v>
      </c>
      <c r="I6" s="64">
        <v>16576</v>
      </c>
      <c r="J6" s="64">
        <v>21711</v>
      </c>
      <c r="K6" s="64">
        <v>13923</v>
      </c>
      <c r="L6" s="64">
        <v>20966</v>
      </c>
      <c r="M6" s="64">
        <v>11943</v>
      </c>
      <c r="N6" s="64">
        <v>17384</v>
      </c>
      <c r="O6" s="64">
        <v>12546</v>
      </c>
      <c r="P6" s="64">
        <v>15490</v>
      </c>
      <c r="Q6" s="64">
        <v>8380</v>
      </c>
      <c r="R6" s="64">
        <v>17875</v>
      </c>
      <c r="S6" s="64">
        <v>17335</v>
      </c>
      <c r="T6" s="64">
        <v>15479</v>
      </c>
      <c r="U6" s="64">
        <v>8982</v>
      </c>
    </row>
    <row r="7" spans="1:21" ht="16.5" thickTop="1" thickBot="1" x14ac:dyDescent="0.3">
      <c r="E7" t="s">
        <v>61</v>
      </c>
      <c r="F7" s="64">
        <v>365515</v>
      </c>
      <c r="G7" s="64">
        <v>476273</v>
      </c>
      <c r="H7" s="64">
        <v>291729</v>
      </c>
      <c r="I7" s="64">
        <v>385135</v>
      </c>
      <c r="J7" s="64">
        <v>403397</v>
      </c>
      <c r="K7" s="64">
        <v>503509</v>
      </c>
      <c r="L7" s="64">
        <v>375058</v>
      </c>
      <c r="M7" s="64">
        <v>348991</v>
      </c>
      <c r="N7" s="64">
        <v>484777</v>
      </c>
      <c r="O7" s="64">
        <v>392883</v>
      </c>
      <c r="P7" s="64">
        <v>388856</v>
      </c>
      <c r="Q7" s="64">
        <v>346864</v>
      </c>
      <c r="R7" s="64">
        <v>662478</v>
      </c>
      <c r="S7" s="64">
        <v>288260</v>
      </c>
      <c r="T7" s="64">
        <v>285409</v>
      </c>
      <c r="U7" s="64">
        <v>264966</v>
      </c>
    </row>
    <row r="8" spans="1:21" ht="15.75" thickTop="1" x14ac:dyDescent="0.25">
      <c r="E8" t="s">
        <v>62</v>
      </c>
      <c r="F8" s="65">
        <f>F6/F7</f>
        <v>3.7861647264818131E-2</v>
      </c>
      <c r="G8" s="65">
        <f t="shared" ref="G8:U8" si="0">G6/G7</f>
        <v>3.2103436474458978E-2</v>
      </c>
      <c r="H8" s="65">
        <f t="shared" si="0"/>
        <v>3.7195479366124037E-2</v>
      </c>
      <c r="I8" s="65">
        <f t="shared" si="0"/>
        <v>4.3039453698053932E-2</v>
      </c>
      <c r="J8" s="65">
        <f t="shared" si="0"/>
        <v>5.3820429998239945E-2</v>
      </c>
      <c r="K8" s="65">
        <f t="shared" si="0"/>
        <v>2.7651938694243795E-2</v>
      </c>
      <c r="L8" s="65">
        <f t="shared" si="0"/>
        <v>5.5900687360354931E-2</v>
      </c>
      <c r="M8" s="65">
        <f t="shared" si="0"/>
        <v>3.4221512875690203E-2</v>
      </c>
      <c r="N8" s="65">
        <f t="shared" si="0"/>
        <v>3.5859787077357215E-2</v>
      </c>
      <c r="O8" s="65">
        <f t="shared" si="0"/>
        <v>3.1933170944021504E-2</v>
      </c>
      <c r="P8" s="65">
        <f t="shared" si="0"/>
        <v>3.9834797457156373E-2</v>
      </c>
      <c r="Q8" s="65">
        <f t="shared" si="0"/>
        <v>2.4159324692098343E-2</v>
      </c>
      <c r="R8" s="65">
        <f t="shared" si="0"/>
        <v>2.6982028082441982E-2</v>
      </c>
      <c r="S8" s="65">
        <f t="shared" si="0"/>
        <v>6.0136682161937141E-2</v>
      </c>
      <c r="T8" s="65">
        <f t="shared" si="0"/>
        <v>5.4234449509300689E-2</v>
      </c>
      <c r="U8" s="65">
        <f t="shared" si="0"/>
        <v>3.3898688888385681E-2</v>
      </c>
    </row>
    <row r="10" spans="1:21" x14ac:dyDescent="0.25">
      <c r="C10" s="66" t="s">
        <v>63</v>
      </c>
      <c r="D10" s="66" t="s">
        <v>64</v>
      </c>
      <c r="E10" t="s">
        <v>65</v>
      </c>
      <c r="F10" s="39">
        <v>422</v>
      </c>
      <c r="G10" s="39">
        <v>460</v>
      </c>
      <c r="H10" s="39">
        <v>434</v>
      </c>
      <c r="I10" s="39">
        <v>386</v>
      </c>
      <c r="J10" s="39">
        <v>451</v>
      </c>
      <c r="K10" s="39">
        <v>536</v>
      </c>
      <c r="L10" s="39">
        <v>536</v>
      </c>
      <c r="M10" s="39">
        <v>476</v>
      </c>
      <c r="N10" s="39">
        <v>487</v>
      </c>
      <c r="O10" s="39">
        <v>475</v>
      </c>
      <c r="P10" s="39">
        <v>460</v>
      </c>
      <c r="Q10" s="39">
        <v>445</v>
      </c>
      <c r="R10" s="39">
        <v>458</v>
      </c>
      <c r="S10" s="39">
        <v>466</v>
      </c>
      <c r="T10" s="39">
        <v>468</v>
      </c>
      <c r="U10" s="39">
        <v>418</v>
      </c>
    </row>
    <row r="11" spans="1:21" x14ac:dyDescent="0.25">
      <c r="C11" s="66" t="s">
        <v>63</v>
      </c>
      <c r="D11" s="66" t="s">
        <v>64</v>
      </c>
      <c r="E11" t="s">
        <v>66</v>
      </c>
      <c r="F11" s="39">
        <v>4670.3107591330181</v>
      </c>
      <c r="G11" s="39">
        <v>5389.1658857678422</v>
      </c>
      <c r="H11" s="39">
        <v>5608.1528974810735</v>
      </c>
      <c r="I11" s="39">
        <v>4631.0533369790519</v>
      </c>
      <c r="J11" s="39">
        <v>6087.3106745978685</v>
      </c>
      <c r="K11" s="39">
        <v>7160.5196961203819</v>
      </c>
      <c r="L11" s="39">
        <v>7160.5196961203819</v>
      </c>
      <c r="M11" s="39">
        <v>5943.5942778122107</v>
      </c>
      <c r="N11" s="39">
        <v>5645.9400905387911</v>
      </c>
      <c r="O11" s="39">
        <v>5239.9042126725226</v>
      </c>
      <c r="P11" s="39">
        <v>6248.8122696934242</v>
      </c>
      <c r="Q11" s="39">
        <v>4897.187213535095</v>
      </c>
      <c r="R11" s="39">
        <v>6019.5226120197649</v>
      </c>
      <c r="S11" s="39">
        <v>4943.634304446573</v>
      </c>
      <c r="T11" s="39">
        <v>4909.0853510985289</v>
      </c>
      <c r="U11" s="39">
        <v>4550.8067824267591</v>
      </c>
    </row>
    <row r="12" spans="1:21" x14ac:dyDescent="0.25">
      <c r="C12" s="66" t="s">
        <v>63</v>
      </c>
      <c r="D12" s="66" t="s">
        <v>64</v>
      </c>
      <c r="E12" t="s">
        <v>67</v>
      </c>
      <c r="F12" s="67">
        <f t="shared" ref="F12:U12" si="1">F11/F10</f>
        <v>11.067087106950281</v>
      </c>
      <c r="G12" s="67">
        <f t="shared" si="1"/>
        <v>11.715578012538787</v>
      </c>
      <c r="H12" s="67">
        <f t="shared" si="1"/>
        <v>12.922011284518602</v>
      </c>
      <c r="I12" s="67">
        <f t="shared" si="1"/>
        <v>11.997547505127077</v>
      </c>
      <c r="J12" s="67">
        <f t="shared" si="1"/>
        <v>13.49736291485115</v>
      </c>
      <c r="K12" s="67">
        <f t="shared" si="1"/>
        <v>13.359178537538027</v>
      </c>
      <c r="L12" s="67">
        <f t="shared" si="1"/>
        <v>13.359178537538027</v>
      </c>
      <c r="M12" s="67">
        <f t="shared" si="1"/>
        <v>12.486542600445821</v>
      </c>
      <c r="N12" s="67">
        <f t="shared" si="1"/>
        <v>11.593306140736738</v>
      </c>
      <c r="O12" s="67">
        <f t="shared" si="1"/>
        <v>11.03137728983689</v>
      </c>
      <c r="P12" s="67">
        <f t="shared" si="1"/>
        <v>13.584374499333531</v>
      </c>
      <c r="Q12" s="67">
        <f t="shared" si="1"/>
        <v>11.004915086595719</v>
      </c>
      <c r="R12" s="67">
        <f t="shared" si="1"/>
        <v>13.143062471658876</v>
      </c>
      <c r="S12" s="67">
        <f t="shared" si="1"/>
        <v>10.608657305679341</v>
      </c>
      <c r="T12" s="67">
        <f t="shared" si="1"/>
        <v>10.489498613458395</v>
      </c>
      <c r="U12" s="67">
        <f t="shared" si="1"/>
        <v>10.887097565614257</v>
      </c>
    </row>
    <row r="13" spans="1:21" x14ac:dyDescent="0.25">
      <c r="A13" s="66" t="s">
        <v>68</v>
      </c>
      <c r="B13" s="66" t="s">
        <v>69</v>
      </c>
      <c r="C13" s="66" t="s">
        <v>70</v>
      </c>
      <c r="D13" s="66" t="s">
        <v>71</v>
      </c>
      <c r="E13" s="68" t="s">
        <v>72</v>
      </c>
      <c r="F13" s="39">
        <v>422</v>
      </c>
      <c r="G13" s="39">
        <v>478</v>
      </c>
      <c r="H13" s="39">
        <v>481</v>
      </c>
      <c r="I13" s="39">
        <v>484</v>
      </c>
      <c r="J13" s="39">
        <v>528</v>
      </c>
      <c r="K13" s="39">
        <v>598</v>
      </c>
      <c r="L13" s="39">
        <v>598</v>
      </c>
      <c r="M13" s="39">
        <v>517</v>
      </c>
      <c r="N13" s="39">
        <v>481</v>
      </c>
      <c r="O13" s="39">
        <v>519</v>
      </c>
      <c r="P13" s="39">
        <v>527</v>
      </c>
      <c r="Q13" s="39">
        <v>427</v>
      </c>
      <c r="R13" s="39">
        <v>486</v>
      </c>
      <c r="S13" s="39">
        <v>490</v>
      </c>
      <c r="T13" s="39">
        <v>447</v>
      </c>
      <c r="U13" s="39">
        <v>576</v>
      </c>
    </row>
    <row r="14" spans="1:21" x14ac:dyDescent="0.25">
      <c r="A14" s="66" t="s">
        <v>68</v>
      </c>
      <c r="B14" s="66" t="s">
        <v>69</v>
      </c>
      <c r="C14" s="66" t="s">
        <v>70</v>
      </c>
      <c r="D14" s="66" t="s">
        <v>71</v>
      </c>
      <c r="E14" t="s">
        <v>73</v>
      </c>
      <c r="F14" s="39">
        <v>4050.7548600499113</v>
      </c>
      <c r="G14" s="39">
        <v>5265.31278947392</v>
      </c>
      <c r="H14" s="39">
        <v>4849.9406259574325</v>
      </c>
      <c r="I14" s="39">
        <v>5330.2223096899952</v>
      </c>
      <c r="J14" s="39">
        <v>5893.5207293113072</v>
      </c>
      <c r="K14" s="39">
        <v>6914.3757015535257</v>
      </c>
      <c r="L14" s="39">
        <v>6914.3757015535257</v>
      </c>
      <c r="M14" s="39">
        <v>2636.7358478616584</v>
      </c>
      <c r="N14" s="39">
        <v>5361.2556693374945</v>
      </c>
      <c r="O14" s="39">
        <v>5739.3441398349496</v>
      </c>
      <c r="P14" s="39">
        <v>5823.7991228202036</v>
      </c>
      <c r="Q14" s="39">
        <v>4063.8413973498214</v>
      </c>
      <c r="R14" s="39">
        <v>4641.6500938894951</v>
      </c>
      <c r="S14" s="39">
        <v>1641.4875396073376</v>
      </c>
      <c r="T14" s="39">
        <v>2110.4271189387823</v>
      </c>
      <c r="U14" s="39">
        <v>6587.799089672606</v>
      </c>
    </row>
    <row r="15" spans="1:21" x14ac:dyDescent="0.25">
      <c r="A15" s="66" t="s">
        <v>68</v>
      </c>
      <c r="B15" s="66" t="s">
        <v>69</v>
      </c>
      <c r="C15" s="66" t="s">
        <v>70</v>
      </c>
      <c r="D15" s="66" t="s">
        <v>71</v>
      </c>
      <c r="E15" t="s">
        <v>74</v>
      </c>
      <c r="F15" s="67">
        <f t="shared" ref="F15:U15" si="2">F14/F13</f>
        <v>9.5989451659950511</v>
      </c>
      <c r="G15" s="67">
        <f t="shared" si="2"/>
        <v>11.015298722748787</v>
      </c>
      <c r="H15" s="67">
        <f t="shared" si="2"/>
        <v>10.083036644402146</v>
      </c>
      <c r="I15" s="67">
        <f t="shared" si="2"/>
        <v>11.012856011756188</v>
      </c>
      <c r="J15" s="67">
        <f t="shared" si="2"/>
        <v>11.161971078241113</v>
      </c>
      <c r="K15" s="67">
        <f t="shared" si="2"/>
        <v>11.562501173166432</v>
      </c>
      <c r="L15" s="67">
        <f t="shared" si="2"/>
        <v>11.562501173166432</v>
      </c>
      <c r="M15" s="67">
        <f t="shared" si="2"/>
        <v>5.1000693382237108</v>
      </c>
      <c r="N15" s="67">
        <f t="shared" si="2"/>
        <v>11.146061682614334</v>
      </c>
      <c r="O15" s="67">
        <f t="shared" si="2"/>
        <v>11.058466550741715</v>
      </c>
      <c r="P15" s="67">
        <f t="shared" si="2"/>
        <v>11.050852225465283</v>
      </c>
      <c r="Q15" s="67">
        <f t="shared" si="2"/>
        <v>9.5171929680323686</v>
      </c>
      <c r="R15" s="67">
        <f t="shared" si="2"/>
        <v>9.5507203577973154</v>
      </c>
      <c r="S15" s="67">
        <f t="shared" si="2"/>
        <v>3.3499745706272197</v>
      </c>
      <c r="T15" s="67">
        <f t="shared" si="2"/>
        <v>4.7213134651874329</v>
      </c>
      <c r="U15" s="67">
        <f t="shared" si="2"/>
        <v>11.437151197348275</v>
      </c>
    </row>
    <row r="16" spans="1:21" x14ac:dyDescent="0.25">
      <c r="C16" s="66" t="s">
        <v>75</v>
      </c>
      <c r="D16" s="66" t="s">
        <v>76</v>
      </c>
      <c r="E16" s="68" t="s">
        <v>77</v>
      </c>
      <c r="F16" s="39">
        <v>177</v>
      </c>
      <c r="G16" s="39">
        <v>180</v>
      </c>
      <c r="H16" s="39">
        <v>16</v>
      </c>
      <c r="I16" s="39">
        <v>75</v>
      </c>
      <c r="J16" s="39">
        <v>142</v>
      </c>
      <c r="K16" s="39">
        <v>24</v>
      </c>
      <c r="L16" s="39">
        <v>24</v>
      </c>
      <c r="M16" s="39">
        <v>95</v>
      </c>
      <c r="N16" s="39">
        <v>87</v>
      </c>
      <c r="O16" s="39">
        <v>56</v>
      </c>
      <c r="P16" s="39">
        <v>2</v>
      </c>
      <c r="Q16" s="39">
        <v>245</v>
      </c>
      <c r="R16" s="39">
        <v>162</v>
      </c>
      <c r="S16" s="39">
        <v>38</v>
      </c>
      <c r="T16" s="39">
        <v>26</v>
      </c>
      <c r="U16" s="39">
        <v>87</v>
      </c>
    </row>
    <row r="17" spans="3:21" x14ac:dyDescent="0.25">
      <c r="C17" s="66" t="s">
        <v>75</v>
      </c>
      <c r="D17" t="s">
        <v>76</v>
      </c>
      <c r="E17" t="s">
        <v>78</v>
      </c>
      <c r="F17" s="39">
        <v>2633.8967204698365</v>
      </c>
      <c r="G17" s="39">
        <v>2688.0105673457897</v>
      </c>
      <c r="H17" s="39">
        <v>260.68827727578901</v>
      </c>
      <c r="I17" s="39">
        <v>1192.1068905830009</v>
      </c>
      <c r="J17" s="39">
        <v>2333.5829488283957</v>
      </c>
      <c r="K17" s="39">
        <v>380.14933114355944</v>
      </c>
      <c r="L17" s="39">
        <v>380.14933114355944</v>
      </c>
      <c r="M17" s="39">
        <v>1537.0283089842128</v>
      </c>
      <c r="N17" s="39">
        <v>1436.8463083400891</v>
      </c>
      <c r="O17" s="39">
        <v>858.39228437051509</v>
      </c>
      <c r="P17" s="39">
        <v>33.979882237487729</v>
      </c>
      <c r="Q17" s="39">
        <v>3836.6752980086367</v>
      </c>
      <c r="R17" s="39">
        <v>3105.0831154586858</v>
      </c>
      <c r="S17" s="39">
        <v>509.38426445422738</v>
      </c>
      <c r="T17" s="39">
        <v>376.32981356189157</v>
      </c>
      <c r="U17" s="39">
        <v>1512.6939629825063</v>
      </c>
    </row>
    <row r="18" spans="3:21" x14ac:dyDescent="0.25">
      <c r="C18" s="66" t="s">
        <v>75</v>
      </c>
      <c r="D18" t="s">
        <v>76</v>
      </c>
      <c r="E18" t="s">
        <v>79</v>
      </c>
      <c r="F18" s="67">
        <f t="shared" ref="F18:U18" si="3">F17/F16</f>
        <v>14.880772432032975</v>
      </c>
      <c r="G18" s="67">
        <f t="shared" si="3"/>
        <v>14.933392040809943</v>
      </c>
      <c r="H18" s="67">
        <f t="shared" si="3"/>
        <v>16.293017329736813</v>
      </c>
      <c r="I18" s="67">
        <f t="shared" si="3"/>
        <v>15.894758541106679</v>
      </c>
      <c r="J18" s="67">
        <f t="shared" si="3"/>
        <v>16.433682738228139</v>
      </c>
      <c r="K18" s="67">
        <f t="shared" si="3"/>
        <v>15.839555464314977</v>
      </c>
      <c r="L18" s="67">
        <f t="shared" si="3"/>
        <v>15.839555464314977</v>
      </c>
      <c r="M18" s="67">
        <f t="shared" si="3"/>
        <v>16.179245357728554</v>
      </c>
      <c r="N18" s="67">
        <f t="shared" si="3"/>
        <v>16.51547480850677</v>
      </c>
      <c r="O18" s="67">
        <f t="shared" si="3"/>
        <v>15.328433649473483</v>
      </c>
      <c r="P18" s="67">
        <f t="shared" si="3"/>
        <v>16.989941118743864</v>
      </c>
      <c r="Q18" s="67">
        <f t="shared" si="3"/>
        <v>15.659899175545457</v>
      </c>
      <c r="R18" s="67">
        <f t="shared" si="3"/>
        <v>19.167179725053614</v>
      </c>
      <c r="S18" s="67">
        <f t="shared" si="3"/>
        <v>13.404849064584932</v>
      </c>
      <c r="T18" s="67">
        <f t="shared" si="3"/>
        <v>14.474223598534291</v>
      </c>
      <c r="U18" s="67">
        <f t="shared" si="3"/>
        <v>17.387286930833405</v>
      </c>
    </row>
    <row r="19" spans="3:21" x14ac:dyDescent="0.25">
      <c r="C19" s="66" t="s">
        <v>80</v>
      </c>
      <c r="D19" s="66" t="s">
        <v>81</v>
      </c>
      <c r="E19" s="68" t="s">
        <v>82</v>
      </c>
      <c r="F19" s="39">
        <v>0</v>
      </c>
      <c r="G19" s="39">
        <v>40</v>
      </c>
      <c r="H19" s="39">
        <v>2</v>
      </c>
      <c r="I19" s="39">
        <v>0</v>
      </c>
      <c r="J19" s="39">
        <v>0</v>
      </c>
      <c r="K19" s="39">
        <v>6</v>
      </c>
      <c r="L19" s="39">
        <v>6</v>
      </c>
      <c r="M19" s="39">
        <v>1</v>
      </c>
      <c r="N19" s="39">
        <v>0</v>
      </c>
      <c r="O19" s="39">
        <v>7</v>
      </c>
      <c r="P19" s="39">
        <v>6</v>
      </c>
      <c r="Q19" s="39">
        <v>10</v>
      </c>
      <c r="R19" s="39">
        <v>34</v>
      </c>
      <c r="S19" s="39">
        <v>1</v>
      </c>
      <c r="T19" s="39">
        <v>0</v>
      </c>
      <c r="U19" s="39">
        <v>0</v>
      </c>
    </row>
    <row r="20" spans="3:21" x14ac:dyDescent="0.25">
      <c r="C20" s="66" t="s">
        <v>80</v>
      </c>
      <c r="D20" t="s">
        <v>81</v>
      </c>
      <c r="E20" t="s">
        <v>83</v>
      </c>
      <c r="F20" s="39">
        <v>0</v>
      </c>
      <c r="G20" s="39">
        <v>435.40937577306835</v>
      </c>
      <c r="H20" s="39">
        <v>23</v>
      </c>
      <c r="I20" s="39">
        <v>0</v>
      </c>
      <c r="J20" s="39">
        <v>0</v>
      </c>
      <c r="K20" s="39">
        <v>0</v>
      </c>
      <c r="L20" s="39">
        <v>67.498207885304652</v>
      </c>
      <c r="M20" s="39">
        <v>9</v>
      </c>
      <c r="N20" s="39">
        <v>0</v>
      </c>
      <c r="O20" s="39">
        <v>77</v>
      </c>
      <c r="P20" s="39">
        <v>66</v>
      </c>
      <c r="Q20" s="39">
        <v>95.503173405315465</v>
      </c>
      <c r="R20" s="39">
        <v>374</v>
      </c>
      <c r="S20" s="39">
        <v>8.7484662576687118</v>
      </c>
      <c r="T20" s="39">
        <v>0</v>
      </c>
      <c r="U20" s="39">
        <v>0</v>
      </c>
    </row>
    <row r="21" spans="3:21" x14ac:dyDescent="0.25">
      <c r="C21" s="66" t="s">
        <v>80</v>
      </c>
      <c r="D21" t="s">
        <v>81</v>
      </c>
      <c r="E21" t="s">
        <v>84</v>
      </c>
      <c r="F21" s="67">
        <v>0</v>
      </c>
      <c r="G21" s="67">
        <f t="shared" ref="G21:L21" si="4">G20/G19</f>
        <v>10.885234394326709</v>
      </c>
      <c r="H21" s="67">
        <f t="shared" si="4"/>
        <v>11.5</v>
      </c>
      <c r="I21" s="67" t="e">
        <f t="shared" si="4"/>
        <v>#DIV/0!</v>
      </c>
      <c r="J21" s="67" t="e">
        <f t="shared" si="4"/>
        <v>#DIV/0!</v>
      </c>
      <c r="K21" s="67">
        <f t="shared" si="4"/>
        <v>0</v>
      </c>
      <c r="L21" s="67">
        <f t="shared" si="4"/>
        <v>11.249701314217441</v>
      </c>
      <c r="M21" s="67">
        <f t="shared" ref="M21:U21" si="5">M20/M19</f>
        <v>9</v>
      </c>
      <c r="N21" s="67" t="e">
        <f t="shared" si="5"/>
        <v>#DIV/0!</v>
      </c>
      <c r="O21" s="67">
        <f t="shared" si="5"/>
        <v>11</v>
      </c>
      <c r="P21" s="67">
        <f t="shared" si="5"/>
        <v>11</v>
      </c>
      <c r="Q21" s="67">
        <f t="shared" si="5"/>
        <v>9.5503173405315458</v>
      </c>
      <c r="R21" s="67">
        <f t="shared" si="5"/>
        <v>11</v>
      </c>
      <c r="S21" s="67">
        <f t="shared" si="5"/>
        <v>8.7484662576687118</v>
      </c>
      <c r="T21" s="67" t="e">
        <f t="shared" si="5"/>
        <v>#DIV/0!</v>
      </c>
      <c r="U21" s="67" t="e">
        <f t="shared" si="5"/>
        <v>#DIV/0!</v>
      </c>
    </row>
    <row r="22" spans="3:21" x14ac:dyDescent="0.25">
      <c r="E22" s="68" t="s">
        <v>85</v>
      </c>
      <c r="F22" s="39">
        <f t="shared" ref="F22:U22" si="6">F10+F13+F19</f>
        <v>844</v>
      </c>
      <c r="G22" s="39">
        <f t="shared" si="6"/>
        <v>978</v>
      </c>
      <c r="H22" s="39">
        <f t="shared" si="6"/>
        <v>917</v>
      </c>
      <c r="I22" s="39">
        <f t="shared" si="6"/>
        <v>870</v>
      </c>
      <c r="J22" s="39">
        <f t="shared" si="6"/>
        <v>979</v>
      </c>
      <c r="K22" s="39">
        <f t="shared" si="6"/>
        <v>1140</v>
      </c>
      <c r="L22" s="39">
        <f t="shared" si="6"/>
        <v>1140</v>
      </c>
      <c r="M22" s="39">
        <f t="shared" si="6"/>
        <v>994</v>
      </c>
      <c r="N22" s="39">
        <f t="shared" si="6"/>
        <v>968</v>
      </c>
      <c r="O22" s="39">
        <f t="shared" si="6"/>
        <v>1001</v>
      </c>
      <c r="P22" s="39">
        <f t="shared" si="6"/>
        <v>993</v>
      </c>
      <c r="Q22" s="39">
        <f t="shared" si="6"/>
        <v>882</v>
      </c>
      <c r="R22" s="39">
        <f t="shared" si="6"/>
        <v>978</v>
      </c>
      <c r="S22" s="39">
        <f t="shared" si="6"/>
        <v>957</v>
      </c>
      <c r="T22" s="39">
        <f t="shared" si="6"/>
        <v>915</v>
      </c>
      <c r="U22" s="39">
        <f t="shared" si="6"/>
        <v>994</v>
      </c>
    </row>
    <row r="23" spans="3:21" x14ac:dyDescent="0.25">
      <c r="E23" t="s">
        <v>86</v>
      </c>
      <c r="F23" s="39">
        <f t="shared" ref="F23:U23" si="7">F11+F14+F20+F17</f>
        <v>11354.962339652766</v>
      </c>
      <c r="G23" s="39">
        <f t="shared" si="7"/>
        <v>13777.898618360619</v>
      </c>
      <c r="H23" s="39">
        <f t="shared" si="7"/>
        <v>10741.781800714296</v>
      </c>
      <c r="I23" s="39">
        <f t="shared" si="7"/>
        <v>11153.38253725205</v>
      </c>
      <c r="J23" s="39">
        <f t="shared" si="7"/>
        <v>14314.414352737571</v>
      </c>
      <c r="K23" s="39">
        <f t="shared" si="7"/>
        <v>14455.044728817466</v>
      </c>
      <c r="L23" s="39">
        <f t="shared" si="7"/>
        <v>14522.54293670277</v>
      </c>
      <c r="M23" s="39">
        <f t="shared" si="7"/>
        <v>10126.358434658081</v>
      </c>
      <c r="N23" s="39">
        <f t="shared" si="7"/>
        <v>12444.042068216375</v>
      </c>
      <c r="O23" s="39">
        <f t="shared" si="7"/>
        <v>11914.640636877986</v>
      </c>
      <c r="P23" s="39">
        <f t="shared" si="7"/>
        <v>12172.591274751114</v>
      </c>
      <c r="Q23" s="39">
        <f t="shared" si="7"/>
        <v>12893.207082298868</v>
      </c>
      <c r="R23" s="39">
        <f t="shared" si="7"/>
        <v>14140.255821367944</v>
      </c>
      <c r="S23" s="39">
        <f t="shared" si="7"/>
        <v>7103.2545747658069</v>
      </c>
      <c r="T23" s="39">
        <f t="shared" si="7"/>
        <v>7395.8422835992023</v>
      </c>
      <c r="U23" s="39">
        <f t="shared" si="7"/>
        <v>12651.299835081871</v>
      </c>
    </row>
    <row r="24" spans="3:21" x14ac:dyDescent="0.25">
      <c r="E24" t="s">
        <v>87</v>
      </c>
      <c r="F24" s="67">
        <f t="shared" ref="F24:U24" si="8">F23/F22</f>
        <v>13.453746847929818</v>
      </c>
      <c r="G24" s="67">
        <f t="shared" si="8"/>
        <v>14.087830898119243</v>
      </c>
      <c r="H24" s="67">
        <f t="shared" si="8"/>
        <v>11.714047765228241</v>
      </c>
      <c r="I24" s="67">
        <f t="shared" si="8"/>
        <v>12.819979927875918</v>
      </c>
      <c r="J24" s="67">
        <f t="shared" si="8"/>
        <v>14.621465120263096</v>
      </c>
      <c r="K24" s="67">
        <f t="shared" si="8"/>
        <v>12.679863797208304</v>
      </c>
      <c r="L24" s="67">
        <f t="shared" si="8"/>
        <v>12.739072751493659</v>
      </c>
      <c r="M24" s="67">
        <f t="shared" si="8"/>
        <v>10.187483334666078</v>
      </c>
      <c r="N24" s="67">
        <f t="shared" si="8"/>
        <v>12.85541535972766</v>
      </c>
      <c r="O24" s="67">
        <f t="shared" si="8"/>
        <v>11.902737898979007</v>
      </c>
      <c r="P24" s="67">
        <f t="shared" si="8"/>
        <v>12.258400075278061</v>
      </c>
      <c r="Q24" s="67">
        <f t="shared" si="8"/>
        <v>14.618148619386472</v>
      </c>
      <c r="R24" s="67">
        <f t="shared" si="8"/>
        <v>14.458339285652295</v>
      </c>
      <c r="S24" s="67">
        <f t="shared" si="8"/>
        <v>7.4224185734229957</v>
      </c>
      <c r="T24" s="67">
        <f t="shared" si="8"/>
        <v>8.0828877416384728</v>
      </c>
      <c r="U24" s="67">
        <f t="shared" si="8"/>
        <v>12.727665830062245</v>
      </c>
    </row>
    <row r="25" spans="3:21" x14ac:dyDescent="0.25">
      <c r="G25" s="11"/>
    </row>
    <row r="26" spans="3:21" x14ac:dyDescent="0.25">
      <c r="E26" t="s">
        <v>88</v>
      </c>
      <c r="F26" s="69">
        <v>4</v>
      </c>
      <c r="H26" s="70" t="s">
        <v>89</v>
      </c>
    </row>
    <row r="27" spans="3:21" x14ac:dyDescent="0.25">
      <c r="E27" t="s">
        <v>90</v>
      </c>
      <c r="F27" s="69">
        <v>5</v>
      </c>
      <c r="H27" s="71" t="s">
        <v>91</v>
      </c>
    </row>
    <row r="28" spans="3:21" x14ac:dyDescent="0.25">
      <c r="E28" t="s">
        <v>92</v>
      </c>
      <c r="F28" s="69">
        <v>6</v>
      </c>
      <c r="H28" s="71" t="s">
        <v>93</v>
      </c>
    </row>
    <row r="29" spans="3:21" x14ac:dyDescent="0.25">
      <c r="H29" s="71" t="s">
        <v>94</v>
      </c>
    </row>
    <row r="30" spans="3:21" x14ac:dyDescent="0.25">
      <c r="E30" t="s">
        <v>95</v>
      </c>
      <c r="F30" s="72">
        <f>F26*F26*24*7</f>
        <v>2688</v>
      </c>
      <c r="H30" s="71" t="s">
        <v>96</v>
      </c>
    </row>
    <row r="31" spans="3:21" x14ac:dyDescent="0.25">
      <c r="E31" t="s">
        <v>97</v>
      </c>
      <c r="F31" s="72">
        <f>F26*F26*F27*F28</f>
        <v>480</v>
      </c>
      <c r="H31" s="71" t="s">
        <v>98</v>
      </c>
    </row>
    <row r="32" spans="3:21" x14ac:dyDescent="0.25">
      <c r="E32" t="s">
        <v>99</v>
      </c>
      <c r="F32" s="65">
        <f>F31/F30</f>
        <v>0.17857142857142858</v>
      </c>
      <c r="H32" s="71" t="s">
        <v>100</v>
      </c>
    </row>
    <row r="33" spans="5:8" x14ac:dyDescent="0.25">
      <c r="H33" s="71" t="s">
        <v>101</v>
      </c>
    </row>
    <row r="34" spans="5:8" x14ac:dyDescent="0.25">
      <c r="E34" t="s">
        <v>102</v>
      </c>
      <c r="F34" s="40">
        <v>0.125</v>
      </c>
      <c r="H34" s="71" t="s">
        <v>103</v>
      </c>
    </row>
    <row r="35" spans="5:8" x14ac:dyDescent="0.25">
      <c r="H35" s="71" t="s">
        <v>104</v>
      </c>
    </row>
    <row r="36" spans="5:8" ht="15.75" thickBot="1" x14ac:dyDescent="0.3">
      <c r="E36" t="s">
        <v>44</v>
      </c>
      <c r="F36" s="73">
        <f>'Summary 12AM-6AM'!D28</f>
        <v>0</v>
      </c>
      <c r="H36" s="71" t="s">
        <v>105</v>
      </c>
    </row>
    <row r="37" spans="5:8" ht="15.75" thickTop="1" x14ac:dyDescent="0.25"/>
    <row r="38" spans="5:8" hidden="1" outlineLevel="1" x14ac:dyDescent="0.25">
      <c r="F38" t="s">
        <v>106</v>
      </c>
    </row>
    <row r="39" spans="5:8" hidden="1" outlineLevel="1" x14ac:dyDescent="0.25">
      <c r="F39" t="s">
        <v>107</v>
      </c>
    </row>
    <row r="40" spans="5:8" hidden="1" outlineLevel="1" x14ac:dyDescent="0.25">
      <c r="F40" t="s">
        <v>108</v>
      </c>
    </row>
    <row r="41" spans="5:8" hidden="1" outlineLevel="1" x14ac:dyDescent="0.25">
      <c r="F41" t="s">
        <v>109</v>
      </c>
    </row>
    <row r="42" spans="5:8" hidden="1" outlineLevel="1" x14ac:dyDescent="0.25">
      <c r="F42" t="s">
        <v>110</v>
      </c>
    </row>
    <row r="43" spans="5:8" hidden="1" outlineLevel="1" x14ac:dyDescent="0.25">
      <c r="F43" t="s">
        <v>111</v>
      </c>
    </row>
    <row r="44" spans="5:8" hidden="1" outlineLevel="1" x14ac:dyDescent="0.25">
      <c r="F44" t="s">
        <v>112</v>
      </c>
    </row>
    <row r="45" spans="5:8" hidden="1" outlineLevel="1" x14ac:dyDescent="0.25">
      <c r="F45" t="s">
        <v>113</v>
      </c>
    </row>
    <row r="46" spans="5:8" hidden="1" outlineLevel="1" x14ac:dyDescent="0.25"/>
    <row r="47" spans="5:8" hidden="1" outlineLevel="1" x14ac:dyDescent="0.25">
      <c r="F47" t="s">
        <v>114</v>
      </c>
    </row>
    <row r="48" spans="5:8" hidden="1" outlineLevel="1" x14ac:dyDescent="0.25">
      <c r="F48" t="s">
        <v>115</v>
      </c>
    </row>
    <row r="49" spans="5:11" hidden="1" outlineLevel="1" x14ac:dyDescent="0.25">
      <c r="F49" t="s">
        <v>116</v>
      </c>
    </row>
    <row r="50" spans="5:11" hidden="1" outlineLevel="1" x14ac:dyDescent="0.25">
      <c r="F50" t="s">
        <v>117</v>
      </c>
    </row>
    <row r="51" spans="5:11" hidden="1" outlineLevel="1" x14ac:dyDescent="0.25">
      <c r="F51" t="s">
        <v>118</v>
      </c>
    </row>
    <row r="52" spans="5:11" hidden="1" outlineLevel="1" x14ac:dyDescent="0.25">
      <c r="F52" t="s">
        <v>119</v>
      </c>
    </row>
    <row r="53" spans="5:11" hidden="1" outlineLevel="1" x14ac:dyDescent="0.25">
      <c r="F53" s="74" t="s">
        <v>120</v>
      </c>
    </row>
    <row r="54" spans="5:11" hidden="1" outlineLevel="1" x14ac:dyDescent="0.25">
      <c r="F54" s="71"/>
    </row>
    <row r="55" spans="5:11" hidden="1" outlineLevel="1" x14ac:dyDescent="0.25">
      <c r="F55" s="71"/>
    </row>
    <row r="56" spans="5:11" collapsed="1" x14ac:dyDescent="0.25">
      <c r="E56" s="75" t="s">
        <v>170</v>
      </c>
      <c r="F56" s="71"/>
    </row>
    <row r="57" spans="5:11" x14ac:dyDescent="0.25">
      <c r="F57" s="76">
        <v>11</v>
      </c>
      <c r="G57" s="76">
        <v>0</v>
      </c>
      <c r="H57" s="76">
        <v>1</v>
      </c>
      <c r="I57" s="76">
        <v>2</v>
      </c>
      <c r="J57" s="77" t="s">
        <v>121</v>
      </c>
      <c r="K57" s="77" t="s">
        <v>122</v>
      </c>
    </row>
    <row r="58" spans="5:11" x14ac:dyDescent="0.25">
      <c r="E58" s="6" t="s">
        <v>123</v>
      </c>
      <c r="F58" s="77">
        <v>2</v>
      </c>
      <c r="G58" s="77">
        <v>2</v>
      </c>
      <c r="H58" s="77">
        <v>1</v>
      </c>
      <c r="I58" s="77">
        <v>1</v>
      </c>
      <c r="J58" s="77">
        <v>39</v>
      </c>
      <c r="K58" s="47">
        <f>SUM(F58:I58)/J58</f>
        <v>0.15384615384615385</v>
      </c>
    </row>
    <row r="59" spans="5:11" x14ac:dyDescent="0.25">
      <c r="E59" s="6" t="s">
        <v>124</v>
      </c>
      <c r="F59" s="77">
        <v>0</v>
      </c>
      <c r="G59" s="77">
        <v>3</v>
      </c>
      <c r="H59" s="77">
        <v>2</v>
      </c>
      <c r="I59" s="77">
        <v>2</v>
      </c>
      <c r="J59" s="77">
        <v>29</v>
      </c>
      <c r="K59" s="47">
        <f t="shared" ref="K59:K64" si="9">SUM(F59:I59)/J59</f>
        <v>0.2413793103448276</v>
      </c>
    </row>
    <row r="60" spans="5:11" x14ac:dyDescent="0.25">
      <c r="E60" s="6" t="s">
        <v>125</v>
      </c>
      <c r="F60" s="77">
        <v>4</v>
      </c>
      <c r="G60" s="77">
        <v>5</v>
      </c>
      <c r="H60" s="77">
        <v>5</v>
      </c>
      <c r="I60" s="77">
        <v>0</v>
      </c>
      <c r="J60" s="77">
        <v>44</v>
      </c>
      <c r="K60" s="47">
        <f t="shared" si="9"/>
        <v>0.31818181818181818</v>
      </c>
    </row>
    <row r="61" spans="5:11" x14ac:dyDescent="0.25">
      <c r="E61" s="6" t="s">
        <v>126</v>
      </c>
      <c r="F61" s="77">
        <v>0</v>
      </c>
      <c r="G61" s="77">
        <v>1</v>
      </c>
      <c r="H61" s="77">
        <v>4</v>
      </c>
      <c r="I61" s="77">
        <v>1</v>
      </c>
      <c r="J61" s="77">
        <v>32</v>
      </c>
      <c r="K61" s="47">
        <f t="shared" si="9"/>
        <v>0.1875</v>
      </c>
    </row>
    <row r="62" spans="5:11" x14ac:dyDescent="0.25">
      <c r="E62" s="6" t="s">
        <v>127</v>
      </c>
      <c r="F62" s="77">
        <v>0</v>
      </c>
      <c r="G62" s="77">
        <v>1</v>
      </c>
      <c r="H62" s="77">
        <v>1</v>
      </c>
      <c r="I62" s="77">
        <v>2</v>
      </c>
      <c r="J62" s="77">
        <v>23</v>
      </c>
      <c r="K62" s="47">
        <f t="shared" si="9"/>
        <v>0.17391304347826086</v>
      </c>
    </row>
    <row r="63" spans="5:11" x14ac:dyDescent="0.25">
      <c r="E63" s="6" t="s">
        <v>128</v>
      </c>
      <c r="F63" s="77">
        <v>2</v>
      </c>
      <c r="G63" s="77">
        <v>1</v>
      </c>
      <c r="H63" s="77">
        <v>2</v>
      </c>
      <c r="I63" s="77">
        <v>2</v>
      </c>
      <c r="J63" s="77">
        <v>41</v>
      </c>
      <c r="K63" s="47">
        <f t="shared" si="9"/>
        <v>0.17073170731707318</v>
      </c>
    </row>
    <row r="64" spans="5:11" x14ac:dyDescent="0.25">
      <c r="E64" s="6" t="s">
        <v>129</v>
      </c>
      <c r="F64" s="77">
        <v>1</v>
      </c>
      <c r="G64" s="77">
        <v>1</v>
      </c>
      <c r="H64" s="77">
        <v>3</v>
      </c>
      <c r="I64" s="77">
        <v>1</v>
      </c>
      <c r="J64" s="77">
        <v>37</v>
      </c>
      <c r="K64" s="47">
        <f t="shared" si="9"/>
        <v>0.16216216216216217</v>
      </c>
    </row>
    <row r="65" spans="5:11" x14ac:dyDescent="0.25">
      <c r="E65" s="6" t="s">
        <v>130</v>
      </c>
      <c r="F65" s="77">
        <f t="shared" ref="F65:I65" si="10">SUM(F58:F64)</f>
        <v>9</v>
      </c>
      <c r="G65" s="77">
        <f t="shared" si="10"/>
        <v>14</v>
      </c>
      <c r="H65" s="77">
        <f t="shared" si="10"/>
        <v>18</v>
      </c>
      <c r="I65" s="77">
        <f t="shared" si="10"/>
        <v>9</v>
      </c>
      <c r="J65" s="77">
        <f>SUM(J58:J64)</f>
        <v>245</v>
      </c>
      <c r="K65" s="47">
        <f>SUM(F65:I65)/J65</f>
        <v>0.20408163265306123</v>
      </c>
    </row>
    <row r="66" spans="5:11" x14ac:dyDescent="0.25">
      <c r="E66" s="6" t="s">
        <v>131</v>
      </c>
      <c r="F66" s="77">
        <f>SUM(F59:F63)</f>
        <v>6</v>
      </c>
      <c r="G66" s="77">
        <f t="shared" ref="G66:I66" si="11">SUM(G59:G63)</f>
        <v>11</v>
      </c>
      <c r="H66" s="77">
        <f t="shared" si="11"/>
        <v>14</v>
      </c>
      <c r="I66" s="77">
        <f t="shared" si="11"/>
        <v>7</v>
      </c>
      <c r="J66" s="77">
        <f>J65</f>
        <v>245</v>
      </c>
      <c r="K66" s="47">
        <f>SUM(G66:I66)/J66</f>
        <v>0.1306122448979592</v>
      </c>
    </row>
    <row r="68" spans="5:11" x14ac:dyDescent="0.25">
      <c r="E68" s="75" t="s">
        <v>187</v>
      </c>
      <c r="F68" s="71"/>
    </row>
    <row r="69" spans="5:11" x14ac:dyDescent="0.25">
      <c r="F69" s="76">
        <v>11</v>
      </c>
      <c r="G69" s="76">
        <v>0</v>
      </c>
      <c r="H69" s="76">
        <v>1</v>
      </c>
      <c r="I69" s="76">
        <v>2</v>
      </c>
      <c r="J69" s="77" t="s">
        <v>121</v>
      </c>
      <c r="K69" s="77" t="s">
        <v>122</v>
      </c>
    </row>
    <row r="70" spans="5:11" x14ac:dyDescent="0.25">
      <c r="E70" s="6" t="s">
        <v>123</v>
      </c>
      <c r="F70" s="77">
        <v>7</v>
      </c>
      <c r="G70" s="77">
        <v>3</v>
      </c>
      <c r="H70" s="77">
        <v>2</v>
      </c>
      <c r="I70" s="77">
        <v>0</v>
      </c>
      <c r="J70" s="77">
        <v>128</v>
      </c>
      <c r="K70" s="47">
        <f>SUM(F70:I70)/J70</f>
        <v>9.375E-2</v>
      </c>
    </row>
    <row r="71" spans="5:11" x14ac:dyDescent="0.25">
      <c r="E71" s="6" t="s">
        <v>124</v>
      </c>
      <c r="F71" s="77">
        <v>23</v>
      </c>
      <c r="G71" s="77">
        <v>0</v>
      </c>
      <c r="H71" s="77">
        <v>0</v>
      </c>
      <c r="I71" s="77">
        <v>0</v>
      </c>
      <c r="J71" s="77">
        <v>115</v>
      </c>
      <c r="K71" s="47">
        <f t="shared" ref="K71:K76" si="12">SUM(F71:I71)/J71</f>
        <v>0.2</v>
      </c>
    </row>
    <row r="72" spans="5:11" x14ac:dyDescent="0.25">
      <c r="E72" s="6" t="s">
        <v>125</v>
      </c>
      <c r="F72" s="77">
        <v>8</v>
      </c>
      <c r="G72" s="77">
        <v>1</v>
      </c>
      <c r="H72" s="77">
        <v>1</v>
      </c>
      <c r="I72" s="77">
        <v>0</v>
      </c>
      <c r="J72" s="77">
        <v>123</v>
      </c>
      <c r="K72" s="47">
        <f t="shared" si="12"/>
        <v>8.1300813008130079E-2</v>
      </c>
    </row>
    <row r="73" spans="5:11" x14ac:dyDescent="0.25">
      <c r="E73" s="6" t="s">
        <v>126</v>
      </c>
      <c r="F73" s="77">
        <v>7</v>
      </c>
      <c r="G73" s="77">
        <v>1</v>
      </c>
      <c r="H73" s="77">
        <v>0</v>
      </c>
      <c r="I73" s="77">
        <v>0</v>
      </c>
      <c r="J73" s="77">
        <v>128</v>
      </c>
      <c r="K73" s="47">
        <f t="shared" si="12"/>
        <v>6.25E-2</v>
      </c>
    </row>
    <row r="74" spans="5:11" x14ac:dyDescent="0.25">
      <c r="E74" s="6" t="s">
        <v>127</v>
      </c>
      <c r="F74" s="77">
        <v>1</v>
      </c>
      <c r="G74" s="77">
        <v>3</v>
      </c>
      <c r="H74" s="77">
        <v>0</v>
      </c>
      <c r="I74" s="77">
        <v>3</v>
      </c>
      <c r="J74" s="77">
        <v>102</v>
      </c>
      <c r="K74" s="47">
        <f t="shared" si="12"/>
        <v>6.8627450980392163E-2</v>
      </c>
    </row>
    <row r="75" spans="5:11" x14ac:dyDescent="0.25">
      <c r="E75" s="6" t="s">
        <v>128</v>
      </c>
      <c r="F75" s="77">
        <v>8</v>
      </c>
      <c r="G75" s="77">
        <v>4</v>
      </c>
      <c r="H75" s="77">
        <v>1</v>
      </c>
      <c r="I75" s="77">
        <v>0</v>
      </c>
      <c r="J75" s="77">
        <v>140</v>
      </c>
      <c r="K75" s="47">
        <f t="shared" si="12"/>
        <v>9.285714285714286E-2</v>
      </c>
    </row>
    <row r="76" spans="5:11" x14ac:dyDescent="0.25">
      <c r="E76" s="6" t="s">
        <v>129</v>
      </c>
      <c r="F76" s="77">
        <v>0</v>
      </c>
      <c r="G76" s="77">
        <v>5</v>
      </c>
      <c r="H76" s="77">
        <v>5</v>
      </c>
      <c r="I76" s="77">
        <v>1</v>
      </c>
      <c r="J76" s="77">
        <v>132</v>
      </c>
      <c r="K76" s="47">
        <f t="shared" si="12"/>
        <v>8.3333333333333329E-2</v>
      </c>
    </row>
    <row r="77" spans="5:11" x14ac:dyDescent="0.25">
      <c r="E77" s="6" t="s">
        <v>130</v>
      </c>
      <c r="F77" s="77">
        <f t="shared" ref="F77" si="13">SUM(F70:F76)</f>
        <v>54</v>
      </c>
      <c r="G77" s="77">
        <f t="shared" ref="G77:I77" si="14">SUM(G70:G76)</f>
        <v>17</v>
      </c>
      <c r="H77" s="77">
        <f t="shared" si="14"/>
        <v>9</v>
      </c>
      <c r="I77" s="77">
        <f t="shared" si="14"/>
        <v>4</v>
      </c>
      <c r="J77" s="77">
        <f>SUM(J70:J76)</f>
        <v>868</v>
      </c>
      <c r="K77" s="47">
        <f>SUM(F77:I77)/J77</f>
        <v>9.6774193548387094E-2</v>
      </c>
    </row>
    <row r="78" spans="5:11" x14ac:dyDescent="0.25">
      <c r="E78" s="6" t="s">
        <v>131</v>
      </c>
      <c r="F78" s="77">
        <f>SUM(F71:F75)</f>
        <v>47</v>
      </c>
      <c r="G78" s="77">
        <f t="shared" ref="G78:I78" si="15">SUM(G71:G75)</f>
        <v>9</v>
      </c>
      <c r="H78" s="77">
        <f t="shared" si="15"/>
        <v>2</v>
      </c>
      <c r="I78" s="77">
        <f t="shared" si="15"/>
        <v>3</v>
      </c>
      <c r="J78" s="77">
        <f>J77</f>
        <v>868</v>
      </c>
      <c r="K78" s="47">
        <f>SUM(G78:I78)/J78</f>
        <v>1.6129032258064516E-2</v>
      </c>
    </row>
    <row r="80" spans="5:11" x14ac:dyDescent="0.25">
      <c r="E80" s="75" t="s">
        <v>188</v>
      </c>
      <c r="F80" s="71"/>
    </row>
    <row r="81" spans="5:11" x14ac:dyDescent="0.25">
      <c r="F81" s="76">
        <v>11</v>
      </c>
      <c r="G81" s="76">
        <v>0</v>
      </c>
      <c r="H81" s="76">
        <v>1</v>
      </c>
      <c r="I81" s="76">
        <v>2</v>
      </c>
      <c r="J81" s="77" t="s">
        <v>121</v>
      </c>
      <c r="K81" s="77" t="s">
        <v>122</v>
      </c>
    </row>
    <row r="82" spans="5:11" x14ac:dyDescent="0.25">
      <c r="E82" s="6" t="s">
        <v>123</v>
      </c>
      <c r="F82" s="77">
        <v>4</v>
      </c>
      <c r="G82" s="77">
        <v>5</v>
      </c>
      <c r="H82" s="77">
        <v>7</v>
      </c>
      <c r="I82" s="77">
        <v>2</v>
      </c>
      <c r="J82" s="77">
        <v>71</v>
      </c>
      <c r="K82" s="47">
        <f>SUM(F82:I82)/J82</f>
        <v>0.25352112676056338</v>
      </c>
    </row>
    <row r="83" spans="5:11" x14ac:dyDescent="0.25">
      <c r="E83" s="6" t="s">
        <v>124</v>
      </c>
      <c r="F83" s="77">
        <v>8</v>
      </c>
      <c r="G83" s="77">
        <v>1</v>
      </c>
      <c r="H83" s="77">
        <v>1</v>
      </c>
      <c r="I83" s="77">
        <v>3</v>
      </c>
      <c r="J83" s="77">
        <v>57</v>
      </c>
      <c r="K83" s="47">
        <f t="shared" ref="K83:K88" si="16">SUM(F83:I83)/J83</f>
        <v>0.22807017543859648</v>
      </c>
    </row>
    <row r="84" spans="5:11" x14ac:dyDescent="0.25">
      <c r="E84" s="6" t="s">
        <v>125</v>
      </c>
      <c r="F84" s="77">
        <v>4</v>
      </c>
      <c r="G84" s="77">
        <v>1</v>
      </c>
      <c r="H84" s="77">
        <v>7</v>
      </c>
      <c r="I84" s="77">
        <v>5</v>
      </c>
      <c r="J84" s="77">
        <v>88</v>
      </c>
      <c r="K84" s="47">
        <f t="shared" si="16"/>
        <v>0.19318181818181818</v>
      </c>
    </row>
    <row r="85" spans="5:11" x14ac:dyDescent="0.25">
      <c r="E85" s="6" t="s">
        <v>126</v>
      </c>
      <c r="F85" s="77">
        <v>4</v>
      </c>
      <c r="G85" s="77">
        <v>2</v>
      </c>
      <c r="H85" s="77">
        <v>1</v>
      </c>
      <c r="I85" s="77">
        <v>4</v>
      </c>
      <c r="J85" s="77">
        <v>62</v>
      </c>
      <c r="K85" s="47">
        <f t="shared" si="16"/>
        <v>0.17741935483870969</v>
      </c>
    </row>
    <row r="86" spans="5:11" x14ac:dyDescent="0.25">
      <c r="E86" s="6" t="s">
        <v>127</v>
      </c>
      <c r="F86" s="77">
        <v>2</v>
      </c>
      <c r="G86" s="77">
        <v>2</v>
      </c>
      <c r="H86" s="77">
        <v>0</v>
      </c>
      <c r="I86" s="77">
        <v>4</v>
      </c>
      <c r="J86" s="77">
        <v>75</v>
      </c>
      <c r="K86" s="47">
        <f t="shared" si="16"/>
        <v>0.10666666666666667</v>
      </c>
    </row>
    <row r="87" spans="5:11" x14ac:dyDescent="0.25">
      <c r="E87" s="6" t="s">
        <v>128</v>
      </c>
      <c r="F87" s="77">
        <v>6</v>
      </c>
      <c r="G87" s="77">
        <v>0</v>
      </c>
      <c r="H87" s="77">
        <v>2</v>
      </c>
      <c r="I87" s="77">
        <v>3</v>
      </c>
      <c r="J87" s="77">
        <v>74</v>
      </c>
      <c r="K87" s="47">
        <f t="shared" si="16"/>
        <v>0.14864864864864866</v>
      </c>
    </row>
    <row r="88" spans="5:11" x14ac:dyDescent="0.25">
      <c r="E88" s="6" t="s">
        <v>129</v>
      </c>
      <c r="F88" s="77">
        <v>3</v>
      </c>
      <c r="G88" s="77">
        <v>1</v>
      </c>
      <c r="H88" s="77">
        <v>2</v>
      </c>
      <c r="I88" s="77">
        <v>6</v>
      </c>
      <c r="J88" s="77">
        <v>67</v>
      </c>
      <c r="K88" s="47">
        <f t="shared" si="16"/>
        <v>0.17910447761194029</v>
      </c>
    </row>
    <row r="89" spans="5:11" x14ac:dyDescent="0.25">
      <c r="E89" s="6" t="s">
        <v>130</v>
      </c>
      <c r="F89" s="77">
        <f t="shared" ref="F89" si="17">SUM(F82:F88)</f>
        <v>31</v>
      </c>
      <c r="G89" s="77">
        <f t="shared" ref="G89:I89" si="18">SUM(G82:G88)</f>
        <v>12</v>
      </c>
      <c r="H89" s="77">
        <f t="shared" si="18"/>
        <v>20</v>
      </c>
      <c r="I89" s="77">
        <f t="shared" si="18"/>
        <v>27</v>
      </c>
      <c r="J89" s="77">
        <f>SUM(J82:J88)</f>
        <v>494</v>
      </c>
      <c r="K89" s="47">
        <f>SUM(F89:I89)/J89</f>
        <v>0.18218623481781376</v>
      </c>
    </row>
    <row r="90" spans="5:11" x14ac:dyDescent="0.25">
      <c r="E90" s="6" t="s">
        <v>131</v>
      </c>
      <c r="F90" s="77">
        <f>SUM(F83:F87)</f>
        <v>24</v>
      </c>
      <c r="G90" s="77">
        <f t="shared" ref="G90:I90" si="19">SUM(G83:G87)</f>
        <v>6</v>
      </c>
      <c r="H90" s="77">
        <f t="shared" si="19"/>
        <v>11</v>
      </c>
      <c r="I90" s="77">
        <f t="shared" si="19"/>
        <v>19</v>
      </c>
      <c r="J90" s="77">
        <f>J89</f>
        <v>494</v>
      </c>
      <c r="K90" s="47">
        <f>SUM(G90:I90)/J90</f>
        <v>7.28744939271255E-2</v>
      </c>
    </row>
    <row r="92" spans="5:11" x14ac:dyDescent="0.25">
      <c r="E92" s="75" t="s">
        <v>189</v>
      </c>
      <c r="F92" s="71"/>
    </row>
    <row r="93" spans="5:11" x14ac:dyDescent="0.25">
      <c r="F93" s="76">
        <v>11</v>
      </c>
      <c r="G93" s="76">
        <v>0</v>
      </c>
      <c r="H93" s="76">
        <v>1</v>
      </c>
      <c r="I93" s="76">
        <v>2</v>
      </c>
      <c r="J93" s="77" t="s">
        <v>121</v>
      </c>
      <c r="K93" s="77" t="s">
        <v>122</v>
      </c>
    </row>
    <row r="94" spans="5:11" x14ac:dyDescent="0.25">
      <c r="E94" s="6" t="s">
        <v>123</v>
      </c>
      <c r="F94" s="77">
        <v>3</v>
      </c>
      <c r="G94" s="77">
        <v>1</v>
      </c>
      <c r="H94" s="77">
        <v>5</v>
      </c>
      <c r="I94" s="77">
        <v>7</v>
      </c>
      <c r="J94" s="77">
        <v>72</v>
      </c>
      <c r="K94" s="47">
        <f>SUM(F94:I94)/J94</f>
        <v>0.22222222222222221</v>
      </c>
    </row>
    <row r="95" spans="5:11" x14ac:dyDescent="0.25">
      <c r="E95" s="6" t="s">
        <v>124</v>
      </c>
      <c r="F95" s="77">
        <v>2</v>
      </c>
      <c r="G95" s="77">
        <v>6</v>
      </c>
      <c r="H95" s="77">
        <v>1</v>
      </c>
      <c r="I95" s="77">
        <v>1</v>
      </c>
      <c r="J95" s="77">
        <v>52</v>
      </c>
      <c r="K95" s="47">
        <f t="shared" ref="K95:K100" si="20">SUM(F95:I95)/J95</f>
        <v>0.19230769230769232</v>
      </c>
    </row>
    <row r="96" spans="5:11" x14ac:dyDescent="0.25">
      <c r="E96" s="6" t="s">
        <v>125</v>
      </c>
      <c r="F96" s="77">
        <v>2</v>
      </c>
      <c r="G96" s="77">
        <v>2</v>
      </c>
      <c r="H96" s="77">
        <v>1</v>
      </c>
      <c r="I96" s="77">
        <v>2</v>
      </c>
      <c r="J96" s="77">
        <v>55</v>
      </c>
      <c r="K96" s="47">
        <f t="shared" si="20"/>
        <v>0.12727272727272726</v>
      </c>
    </row>
    <row r="97" spans="5:11" x14ac:dyDescent="0.25">
      <c r="E97" s="6" t="s">
        <v>126</v>
      </c>
      <c r="F97" s="77">
        <v>4</v>
      </c>
      <c r="G97" s="77">
        <v>2</v>
      </c>
      <c r="H97" s="77">
        <v>0</v>
      </c>
      <c r="I97" s="77">
        <v>0</v>
      </c>
      <c r="J97" s="77">
        <v>53</v>
      </c>
      <c r="K97" s="47">
        <f t="shared" si="20"/>
        <v>0.11320754716981132</v>
      </c>
    </row>
    <row r="98" spans="5:11" x14ac:dyDescent="0.25">
      <c r="E98" s="6" t="s">
        <v>127</v>
      </c>
      <c r="F98" s="77">
        <v>5</v>
      </c>
      <c r="G98" s="77">
        <v>0</v>
      </c>
      <c r="H98" s="77">
        <v>1</v>
      </c>
      <c r="I98" s="77">
        <v>3</v>
      </c>
      <c r="J98" s="77">
        <v>65</v>
      </c>
      <c r="K98" s="47">
        <f t="shared" si="20"/>
        <v>0.13846153846153847</v>
      </c>
    </row>
    <row r="99" spans="5:11" x14ac:dyDescent="0.25">
      <c r="E99" s="6" t="s">
        <v>128</v>
      </c>
      <c r="F99" s="77">
        <v>0</v>
      </c>
      <c r="G99" s="77">
        <v>0</v>
      </c>
      <c r="H99" s="77">
        <v>4</v>
      </c>
      <c r="I99" s="77">
        <v>2</v>
      </c>
      <c r="J99" s="77">
        <v>91</v>
      </c>
      <c r="K99" s="47">
        <f t="shared" si="20"/>
        <v>6.5934065934065936E-2</v>
      </c>
    </row>
    <row r="100" spans="5:11" x14ac:dyDescent="0.25">
      <c r="E100" s="6" t="s">
        <v>129</v>
      </c>
      <c r="F100" s="77">
        <v>4</v>
      </c>
      <c r="G100" s="77">
        <v>2</v>
      </c>
      <c r="H100" s="77">
        <v>1</v>
      </c>
      <c r="I100" s="77">
        <v>4</v>
      </c>
      <c r="J100" s="77">
        <v>77</v>
      </c>
      <c r="K100" s="47">
        <f t="shared" si="20"/>
        <v>0.14285714285714285</v>
      </c>
    </row>
    <row r="101" spans="5:11" x14ac:dyDescent="0.25">
      <c r="E101" s="6" t="s">
        <v>130</v>
      </c>
      <c r="F101" s="77">
        <f t="shared" ref="F101" si="21">SUM(F94:F100)</f>
        <v>20</v>
      </c>
      <c r="G101" s="77">
        <f t="shared" ref="G101:I101" si="22">SUM(G94:G100)</f>
        <v>13</v>
      </c>
      <c r="H101" s="77">
        <f t="shared" si="22"/>
        <v>13</v>
      </c>
      <c r="I101" s="77">
        <f t="shared" si="22"/>
        <v>19</v>
      </c>
      <c r="J101" s="77">
        <f>SUM(J94:J100)</f>
        <v>465</v>
      </c>
      <c r="K101" s="47">
        <f>SUM(F101:I101)/J101</f>
        <v>0.13978494623655913</v>
      </c>
    </row>
    <row r="102" spans="5:11" x14ac:dyDescent="0.25">
      <c r="E102" s="6" t="s">
        <v>131</v>
      </c>
      <c r="F102" s="77">
        <f>SUM(F95:F99)</f>
        <v>13</v>
      </c>
      <c r="G102" s="77">
        <f t="shared" ref="G102:I102" si="23">SUM(G95:G99)</f>
        <v>10</v>
      </c>
      <c r="H102" s="77">
        <f t="shared" si="23"/>
        <v>7</v>
      </c>
      <c r="I102" s="77">
        <f t="shared" si="23"/>
        <v>8</v>
      </c>
      <c r="J102" s="77">
        <f>J101</f>
        <v>465</v>
      </c>
      <c r="K102" s="47">
        <f>SUM(G102:I102)/J102</f>
        <v>5.3763440860215055E-2</v>
      </c>
    </row>
    <row r="104" spans="5:11" x14ac:dyDescent="0.25">
      <c r="E104" s="75" t="s">
        <v>190</v>
      </c>
      <c r="F104" s="71"/>
    </row>
    <row r="105" spans="5:11" x14ac:dyDescent="0.25">
      <c r="F105" s="76">
        <v>11</v>
      </c>
      <c r="G105" s="76">
        <v>0</v>
      </c>
      <c r="H105" s="76">
        <v>1</v>
      </c>
      <c r="I105" s="76">
        <v>2</v>
      </c>
      <c r="J105" s="77" t="s">
        <v>121</v>
      </c>
      <c r="K105" s="77" t="s">
        <v>122</v>
      </c>
    </row>
    <row r="106" spans="5:11" x14ac:dyDescent="0.25">
      <c r="E106" s="6" t="s">
        <v>123</v>
      </c>
      <c r="F106" s="77">
        <v>0</v>
      </c>
      <c r="G106" s="77">
        <v>7</v>
      </c>
      <c r="H106" s="77">
        <v>4</v>
      </c>
      <c r="I106" s="77">
        <v>0</v>
      </c>
      <c r="J106" s="77">
        <v>43</v>
      </c>
      <c r="K106" s="47">
        <f>SUM(F106:I106)/J106</f>
        <v>0.2558139534883721</v>
      </c>
    </row>
    <row r="107" spans="5:11" x14ac:dyDescent="0.25">
      <c r="E107" s="6" t="s">
        <v>124</v>
      </c>
      <c r="F107" s="77">
        <v>2</v>
      </c>
      <c r="G107" s="77">
        <v>3</v>
      </c>
      <c r="H107" s="77">
        <v>0</v>
      </c>
      <c r="I107" s="77">
        <v>2</v>
      </c>
      <c r="J107" s="77">
        <v>42</v>
      </c>
      <c r="K107" s="47">
        <f t="shared" ref="K107:K112" si="24">SUM(F107:I107)/J107</f>
        <v>0.16666666666666666</v>
      </c>
    </row>
    <row r="108" spans="5:11" x14ac:dyDescent="0.25">
      <c r="E108" s="6" t="s">
        <v>125</v>
      </c>
      <c r="F108" s="77">
        <v>3</v>
      </c>
      <c r="G108" s="77">
        <v>11</v>
      </c>
      <c r="H108" s="77">
        <v>5</v>
      </c>
      <c r="I108" s="77">
        <v>0</v>
      </c>
      <c r="J108" s="77">
        <v>56</v>
      </c>
      <c r="K108" s="47">
        <f t="shared" si="24"/>
        <v>0.3392857142857143</v>
      </c>
    </row>
    <row r="109" spans="5:11" x14ac:dyDescent="0.25">
      <c r="E109" s="6" t="s">
        <v>126</v>
      </c>
      <c r="F109" s="77">
        <v>0</v>
      </c>
      <c r="G109" s="77">
        <v>5</v>
      </c>
      <c r="H109" s="77">
        <v>6</v>
      </c>
      <c r="I109" s="77">
        <v>1</v>
      </c>
      <c r="J109" s="77">
        <v>61</v>
      </c>
      <c r="K109" s="47">
        <f t="shared" si="24"/>
        <v>0.19672131147540983</v>
      </c>
    </row>
    <row r="110" spans="5:11" x14ac:dyDescent="0.25">
      <c r="E110" s="6" t="s">
        <v>127</v>
      </c>
      <c r="F110" s="77">
        <v>3</v>
      </c>
      <c r="G110" s="77">
        <v>0</v>
      </c>
      <c r="H110" s="77">
        <v>6</v>
      </c>
      <c r="I110" s="77">
        <v>2</v>
      </c>
      <c r="J110" s="77">
        <v>60</v>
      </c>
      <c r="K110" s="47">
        <f t="shared" si="24"/>
        <v>0.18333333333333332</v>
      </c>
    </row>
    <row r="111" spans="5:11" x14ac:dyDescent="0.25">
      <c r="E111" s="6" t="s">
        <v>128</v>
      </c>
      <c r="F111" s="77">
        <v>0</v>
      </c>
      <c r="G111" s="77">
        <v>2</v>
      </c>
      <c r="H111" s="77">
        <v>5</v>
      </c>
      <c r="I111" s="77">
        <v>2</v>
      </c>
      <c r="J111" s="77">
        <v>71</v>
      </c>
      <c r="K111" s="47">
        <f t="shared" si="24"/>
        <v>0.12676056338028169</v>
      </c>
    </row>
    <row r="112" spans="5:11" x14ac:dyDescent="0.25">
      <c r="E112" s="6" t="s">
        <v>129</v>
      </c>
      <c r="F112" s="77">
        <v>1</v>
      </c>
      <c r="G112" s="77">
        <v>6</v>
      </c>
      <c r="H112" s="77">
        <v>4</v>
      </c>
      <c r="I112" s="77">
        <v>1</v>
      </c>
      <c r="J112" s="77">
        <v>63</v>
      </c>
      <c r="K112" s="47">
        <f t="shared" si="24"/>
        <v>0.19047619047619047</v>
      </c>
    </row>
    <row r="113" spans="5:11" x14ac:dyDescent="0.25">
      <c r="E113" s="6" t="s">
        <v>130</v>
      </c>
      <c r="F113" s="77">
        <f t="shared" ref="F113" si="25">SUM(F106:F112)</f>
        <v>9</v>
      </c>
      <c r="G113" s="77">
        <f t="shared" ref="G113:I113" si="26">SUM(G106:G112)</f>
        <v>34</v>
      </c>
      <c r="H113" s="77">
        <f t="shared" si="26"/>
        <v>30</v>
      </c>
      <c r="I113" s="77">
        <f t="shared" si="26"/>
        <v>8</v>
      </c>
      <c r="J113" s="77">
        <f>SUM(J106:J112)</f>
        <v>396</v>
      </c>
      <c r="K113" s="47">
        <f>SUM(F113:I113)/J113</f>
        <v>0.20454545454545456</v>
      </c>
    </row>
    <row r="114" spans="5:11" x14ac:dyDescent="0.25">
      <c r="E114" s="6" t="s">
        <v>131</v>
      </c>
      <c r="F114" s="77">
        <f>SUM(F107:F111)</f>
        <v>8</v>
      </c>
      <c r="G114" s="77">
        <f t="shared" ref="G114:I114" si="27">SUM(G107:G111)</f>
        <v>21</v>
      </c>
      <c r="H114" s="77">
        <f t="shared" si="27"/>
        <v>22</v>
      </c>
      <c r="I114" s="77">
        <f t="shared" si="27"/>
        <v>7</v>
      </c>
      <c r="J114" s="77">
        <f>J113</f>
        <v>396</v>
      </c>
      <c r="K114" s="47">
        <f>SUM(G114:I114)/J114</f>
        <v>0.12626262626262627</v>
      </c>
    </row>
    <row r="116" spans="5:11" x14ac:dyDescent="0.25">
      <c r="E116" s="78" t="s">
        <v>132</v>
      </c>
      <c r="F116" s="79"/>
      <c r="G116" s="80"/>
      <c r="H116" s="80"/>
      <c r="I116" s="80"/>
      <c r="J116" s="80"/>
      <c r="K116" s="81"/>
    </row>
    <row r="117" spans="5:11" x14ac:dyDescent="0.25">
      <c r="E117" s="82"/>
      <c r="F117" s="3">
        <v>11</v>
      </c>
      <c r="G117" s="3">
        <v>0</v>
      </c>
      <c r="H117" s="3">
        <v>1</v>
      </c>
      <c r="I117" s="3">
        <v>2</v>
      </c>
      <c r="J117" s="3" t="s">
        <v>121</v>
      </c>
      <c r="K117" s="5" t="s">
        <v>122</v>
      </c>
    </row>
    <row r="118" spans="5:11" x14ac:dyDescent="0.25">
      <c r="E118" s="83" t="s">
        <v>123</v>
      </c>
      <c r="F118" s="77">
        <f>F58+F70+F82+F94+F106</f>
        <v>16</v>
      </c>
      <c r="G118" s="77">
        <f t="shared" ref="G118:J118" si="28">G58+G70+G82+G94+G106</f>
        <v>18</v>
      </c>
      <c r="H118" s="77">
        <f t="shared" si="28"/>
        <v>19</v>
      </c>
      <c r="I118" s="77">
        <f t="shared" si="28"/>
        <v>10</v>
      </c>
      <c r="J118" s="77">
        <f t="shared" si="28"/>
        <v>353</v>
      </c>
      <c r="K118" s="84">
        <f>SUM(F118:I118)/J118</f>
        <v>0.17847025495750707</v>
      </c>
    </row>
    <row r="119" spans="5:11" x14ac:dyDescent="0.25">
      <c r="E119" s="83" t="s">
        <v>124</v>
      </c>
      <c r="F119" s="77">
        <f t="shared" ref="F119:J124" si="29">F59+F71+F83+F95+F107</f>
        <v>35</v>
      </c>
      <c r="G119" s="77">
        <f t="shared" si="29"/>
        <v>13</v>
      </c>
      <c r="H119" s="77">
        <f t="shared" si="29"/>
        <v>4</v>
      </c>
      <c r="I119" s="77">
        <f t="shared" si="29"/>
        <v>8</v>
      </c>
      <c r="J119" s="77">
        <f t="shared" si="29"/>
        <v>295</v>
      </c>
      <c r="K119" s="84">
        <f t="shared" ref="K119:K124" si="30">SUM(F119:I119)/J119</f>
        <v>0.20338983050847459</v>
      </c>
    </row>
    <row r="120" spans="5:11" x14ac:dyDescent="0.25">
      <c r="E120" s="83" t="s">
        <v>125</v>
      </c>
      <c r="F120" s="77">
        <f t="shared" si="29"/>
        <v>21</v>
      </c>
      <c r="G120" s="77">
        <f t="shared" si="29"/>
        <v>20</v>
      </c>
      <c r="H120" s="77">
        <f t="shared" si="29"/>
        <v>19</v>
      </c>
      <c r="I120" s="77">
        <f t="shared" si="29"/>
        <v>7</v>
      </c>
      <c r="J120" s="77">
        <f t="shared" si="29"/>
        <v>366</v>
      </c>
      <c r="K120" s="84">
        <f t="shared" si="30"/>
        <v>0.1830601092896175</v>
      </c>
    </row>
    <row r="121" spans="5:11" x14ac:dyDescent="0.25">
      <c r="E121" s="83" t="s">
        <v>126</v>
      </c>
      <c r="F121" s="77">
        <f t="shared" si="29"/>
        <v>15</v>
      </c>
      <c r="G121" s="77">
        <f t="shared" si="29"/>
        <v>11</v>
      </c>
      <c r="H121" s="77">
        <f t="shared" si="29"/>
        <v>11</v>
      </c>
      <c r="I121" s="77">
        <f t="shared" si="29"/>
        <v>6</v>
      </c>
      <c r="J121" s="77">
        <f t="shared" si="29"/>
        <v>336</v>
      </c>
      <c r="K121" s="84">
        <f t="shared" si="30"/>
        <v>0.12797619047619047</v>
      </c>
    </row>
    <row r="122" spans="5:11" x14ac:dyDescent="0.25">
      <c r="E122" s="83" t="s">
        <v>127</v>
      </c>
      <c r="F122" s="77">
        <f t="shared" si="29"/>
        <v>11</v>
      </c>
      <c r="G122" s="77">
        <f t="shared" si="29"/>
        <v>6</v>
      </c>
      <c r="H122" s="77">
        <f t="shared" si="29"/>
        <v>8</v>
      </c>
      <c r="I122" s="77">
        <f t="shared" si="29"/>
        <v>14</v>
      </c>
      <c r="J122" s="77">
        <f t="shared" si="29"/>
        <v>325</v>
      </c>
      <c r="K122" s="84">
        <f t="shared" si="30"/>
        <v>0.12</v>
      </c>
    </row>
    <row r="123" spans="5:11" x14ac:dyDescent="0.25">
      <c r="E123" s="83" t="s">
        <v>128</v>
      </c>
      <c r="F123" s="77">
        <f t="shared" si="29"/>
        <v>16</v>
      </c>
      <c r="G123" s="77">
        <f t="shared" si="29"/>
        <v>7</v>
      </c>
      <c r="H123" s="77">
        <f t="shared" si="29"/>
        <v>14</v>
      </c>
      <c r="I123" s="77">
        <f t="shared" si="29"/>
        <v>9</v>
      </c>
      <c r="J123" s="77">
        <f t="shared" si="29"/>
        <v>417</v>
      </c>
      <c r="K123" s="84">
        <f t="shared" si="30"/>
        <v>0.11031175059952038</v>
      </c>
    </row>
    <row r="124" spans="5:11" x14ac:dyDescent="0.25">
      <c r="E124" s="83" t="s">
        <v>129</v>
      </c>
      <c r="F124" s="77">
        <f t="shared" si="29"/>
        <v>9</v>
      </c>
      <c r="G124" s="77">
        <f t="shared" si="29"/>
        <v>15</v>
      </c>
      <c r="H124" s="77">
        <f t="shared" si="29"/>
        <v>15</v>
      </c>
      <c r="I124" s="77">
        <f t="shared" si="29"/>
        <v>13</v>
      </c>
      <c r="J124" s="77">
        <f t="shared" si="29"/>
        <v>376</v>
      </c>
      <c r="K124" s="84">
        <f t="shared" si="30"/>
        <v>0.13829787234042554</v>
      </c>
    </row>
    <row r="125" spans="5:11" x14ac:dyDescent="0.25">
      <c r="E125" s="83" t="s">
        <v>130</v>
      </c>
      <c r="F125" s="77">
        <f t="shared" ref="F125" si="31">SUM(F118:F124)</f>
        <v>123</v>
      </c>
      <c r="G125" s="77">
        <f t="shared" ref="G125:I125" si="32">SUM(G118:G124)</f>
        <v>90</v>
      </c>
      <c r="H125" s="77">
        <f t="shared" si="32"/>
        <v>90</v>
      </c>
      <c r="I125" s="77">
        <f t="shared" si="32"/>
        <v>67</v>
      </c>
      <c r="J125" s="77">
        <f>SUM(J118:J124)</f>
        <v>2468</v>
      </c>
      <c r="K125" s="84">
        <f>SUM(F125:I125)/J125</f>
        <v>0.14991896272285252</v>
      </c>
    </row>
    <row r="126" spans="5:11" x14ac:dyDescent="0.25">
      <c r="E126" s="85" t="s">
        <v>131</v>
      </c>
      <c r="F126" s="86">
        <f>SUM(F119:F123)</f>
        <v>98</v>
      </c>
      <c r="G126" s="86">
        <f t="shared" ref="G126:I126" si="33">SUM(G119:G123)</f>
        <v>57</v>
      </c>
      <c r="H126" s="86">
        <f t="shared" si="33"/>
        <v>56</v>
      </c>
      <c r="I126" s="86">
        <f t="shared" si="33"/>
        <v>44</v>
      </c>
      <c r="J126" s="86">
        <f>J125</f>
        <v>2468</v>
      </c>
      <c r="K126" s="87">
        <f>SUM(G126:I126)/J126</f>
        <v>6.3614262560777957E-2</v>
      </c>
    </row>
  </sheetData>
  <phoneticPr fontId="16" type="noConversion"/>
  <pageMargins left="0.7" right="0.7" top="0.75" bottom="0.75" header="0.3" footer="0.3"/>
  <pageSetup orientation="portrait" horizontalDpi="4294967294" verticalDpi="4294967294" r:id="rId1"/>
  <ignoredErrors>
    <ignoredError sqref="F65:I12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T25"/>
  <sheetViews>
    <sheetView showGridLine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2" sqref="A2"/>
    </sheetView>
  </sheetViews>
  <sheetFormatPr defaultRowHeight="15" x14ac:dyDescent="0.25"/>
  <cols>
    <col min="3" max="3" width="22.140625" customWidth="1"/>
    <col min="4" max="4" width="19.42578125" customWidth="1"/>
    <col min="5" max="10" width="16.7109375" customWidth="1"/>
    <col min="11" max="11" width="21" customWidth="1"/>
    <col min="12" max="20" width="16.7109375" customWidth="1"/>
  </cols>
  <sheetData>
    <row r="1" spans="3:20" ht="15" hidden="1" customHeight="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3:20" ht="26.25" x14ac:dyDescent="0.4">
      <c r="C2" s="1" t="s">
        <v>16</v>
      </c>
      <c r="D2" s="123" t="s">
        <v>166</v>
      </c>
      <c r="E2" s="124"/>
      <c r="F2" s="125"/>
    </row>
    <row r="3" spans="3:20" s="6" customFormat="1" x14ac:dyDescent="0.25">
      <c r="C3" s="2"/>
      <c r="D3" s="4" t="s">
        <v>171</v>
      </c>
      <c r="E3" s="4" t="s">
        <v>172</v>
      </c>
      <c r="F3" s="4" t="s">
        <v>173</v>
      </c>
      <c r="G3" s="4" t="s">
        <v>174</v>
      </c>
      <c r="H3" s="4" t="s">
        <v>175</v>
      </c>
      <c r="I3" s="4" t="s">
        <v>176</v>
      </c>
      <c r="J3" s="4" t="s">
        <v>177</v>
      </c>
      <c r="K3" s="4" t="s">
        <v>178</v>
      </c>
      <c r="L3" s="4" t="s">
        <v>179</v>
      </c>
      <c r="M3" s="4" t="s">
        <v>180</v>
      </c>
      <c r="N3" s="4" t="s">
        <v>181</v>
      </c>
      <c r="O3" s="4" t="s">
        <v>182</v>
      </c>
      <c r="P3" s="4" t="s">
        <v>183</v>
      </c>
      <c r="Q3" s="4" t="s">
        <v>184</v>
      </c>
      <c r="R3" s="4" t="s">
        <v>185</v>
      </c>
      <c r="S3" s="4" t="s">
        <v>186</v>
      </c>
      <c r="T3" s="113" t="s">
        <v>130</v>
      </c>
    </row>
    <row r="4" spans="3:20" x14ac:dyDescent="0.25">
      <c r="C4" s="7" t="s">
        <v>34</v>
      </c>
      <c r="D4" s="90">
        <f>'Summary 12AM-6AM'!D4-'Summary 11PM-5AM'!D4</f>
        <v>940</v>
      </c>
      <c r="E4" s="91">
        <f>'Summary 12AM-6AM'!E4-'Summary 11PM-5AM'!E4</f>
        <v>2511</v>
      </c>
      <c r="F4" s="91">
        <f>'Summary 12AM-6AM'!F4-'Summary 11PM-5AM'!F4</f>
        <v>1947</v>
      </c>
      <c r="G4" s="91">
        <f>'Summary 12AM-6AM'!G4-'Summary 11PM-5AM'!G4</f>
        <v>1224</v>
      </c>
      <c r="H4" s="91">
        <f>'Summary 12AM-6AM'!H4-'Summary 11PM-5AM'!H4</f>
        <v>900</v>
      </c>
      <c r="I4" s="91">
        <f>'Summary 12AM-6AM'!I4-'Summary 11PM-5AM'!I4</f>
        <v>3262</v>
      </c>
      <c r="J4" s="91">
        <f>'Summary 12AM-6AM'!J4-'Summary 11PM-5AM'!J4</f>
        <v>1934</v>
      </c>
      <c r="K4" s="91">
        <f>'Summary 12AM-6AM'!K4-'Summary 11PM-5AM'!K4</f>
        <v>1513</v>
      </c>
      <c r="L4" s="91">
        <f>'Summary 12AM-6AM'!L4-'Summary 11PM-5AM'!L4</f>
        <v>2083</v>
      </c>
      <c r="M4" s="91">
        <f>'Summary 12AM-6AM'!M4-'Summary 11PM-5AM'!M4</f>
        <v>2978</v>
      </c>
      <c r="N4" s="91">
        <f>'Summary 12AM-6AM'!N4-'Summary 11PM-5AM'!N4</f>
        <v>3991</v>
      </c>
      <c r="O4" s="91">
        <f>'Summary 12AM-6AM'!O4-'Summary 11PM-5AM'!O4</f>
        <v>999</v>
      </c>
      <c r="P4" s="91">
        <f>'Summary 12AM-6AM'!P4-'Summary 11PM-5AM'!P4</f>
        <v>1442</v>
      </c>
      <c r="Q4" s="91">
        <f>'Summary 12AM-6AM'!Q4-'Summary 11PM-5AM'!Q4</f>
        <v>3668</v>
      </c>
      <c r="R4" s="91">
        <f>'Summary 12AM-6AM'!R4-'Summary 11PM-5AM'!R4</f>
        <v>2517</v>
      </c>
      <c r="S4" s="92">
        <f>'Summary 12AM-6AM'!S4-'Summary 11PM-5AM'!S4</f>
        <v>1262</v>
      </c>
      <c r="T4" s="114">
        <f>SUM(D4:S4)</f>
        <v>33171</v>
      </c>
    </row>
    <row r="5" spans="3:20" x14ac:dyDescent="0.25">
      <c r="C5" s="7" t="s">
        <v>35</v>
      </c>
      <c r="D5" s="90">
        <f>'Summary 12AM-6AM'!D5-'Summary 11PM-5AM'!D5</f>
        <v>2104.8382820097249</v>
      </c>
      <c r="E5" s="91">
        <f>'Summary 12AM-6AM'!E5-'Summary 11PM-5AM'!E5</f>
        <v>0</v>
      </c>
      <c r="F5" s="91">
        <f>'Summary 12AM-6AM'!F5-'Summary 11PM-5AM'!F5</f>
        <v>1817.197957860616</v>
      </c>
      <c r="G5" s="91">
        <f>'Summary 12AM-6AM'!G5-'Summary 11PM-5AM'!G5</f>
        <v>0</v>
      </c>
      <c r="H5" s="91">
        <f>'Summary 12AM-6AM'!H5-'Summary 11PM-5AM'!H5</f>
        <v>0</v>
      </c>
      <c r="I5" s="91">
        <f>'Summary 12AM-6AM'!I5-'Summary 11PM-5AM'!I5</f>
        <v>0</v>
      </c>
      <c r="J5" s="91">
        <f>'Summary 12AM-6AM'!J5-'Summary 11PM-5AM'!J5</f>
        <v>0</v>
      </c>
      <c r="K5" s="91">
        <f>'Summary 12AM-6AM'!K5-'Summary 11PM-5AM'!K5</f>
        <v>0</v>
      </c>
      <c r="L5" s="91">
        <f>'Summary 12AM-6AM'!L5-'Summary 11PM-5AM'!L5</f>
        <v>0</v>
      </c>
      <c r="M5" s="91">
        <f>'Summary 12AM-6AM'!M5-'Summary 11PM-5AM'!M5</f>
        <v>0</v>
      </c>
      <c r="N5" s="91">
        <f>'Summary 12AM-6AM'!N5-'Summary 11PM-5AM'!N5</f>
        <v>0</v>
      </c>
      <c r="O5" s="91">
        <f>'Summary 12AM-6AM'!O5-'Summary 11PM-5AM'!O5</f>
        <v>1305.8071150729334</v>
      </c>
      <c r="P5" s="91">
        <f>'Summary 12AM-6AM'!P5-'Summary 11PM-5AM'!P5</f>
        <v>1248.4945867098866</v>
      </c>
      <c r="Q5" s="91">
        <f>'Summary 12AM-6AM'!Q5-'Summary 11PM-5AM'!Q5</f>
        <v>0</v>
      </c>
      <c r="R5" s="91">
        <f>'Summary 12AM-6AM'!R5-'Summary 11PM-5AM'!R5</f>
        <v>0</v>
      </c>
      <c r="S5" s="92">
        <f>'Summary 12AM-6AM'!S5-'Summary 11PM-5AM'!S5</f>
        <v>2618.7232009724476</v>
      </c>
      <c r="T5" s="114">
        <f t="shared" ref="T5:T8" si="0">SUM(D5:S5)</f>
        <v>9095.0611426256073</v>
      </c>
    </row>
    <row r="6" spans="3:20" x14ac:dyDescent="0.25">
      <c r="C6" s="7" t="s">
        <v>36</v>
      </c>
      <c r="D6" s="90">
        <f>'Summary 12AM-6AM'!D6-'Summary 11PM-5AM'!D6</f>
        <v>-437</v>
      </c>
      <c r="E6" s="91">
        <f>'Summary 12AM-6AM'!E6-'Summary 11PM-5AM'!E6</f>
        <v>-734</v>
      </c>
      <c r="F6" s="91">
        <f>'Summary 12AM-6AM'!F6-'Summary 11PM-5AM'!F6</f>
        <v>-708</v>
      </c>
      <c r="G6" s="91">
        <f>'Summary 12AM-6AM'!G6-'Summary 11PM-5AM'!G6</f>
        <v>-543</v>
      </c>
      <c r="H6" s="91">
        <f>'Summary 12AM-6AM'!H6-'Summary 11PM-5AM'!H6</f>
        <v>-381</v>
      </c>
      <c r="I6" s="91">
        <f>'Summary 12AM-6AM'!I6-'Summary 11PM-5AM'!I6</f>
        <v>-946</v>
      </c>
      <c r="J6" s="91">
        <f>'Summary 12AM-6AM'!J6-'Summary 11PM-5AM'!J6</f>
        <v>-753</v>
      </c>
      <c r="K6" s="91">
        <f>'Summary 12AM-6AM'!K6-'Summary 11PM-5AM'!K6</f>
        <v>-541</v>
      </c>
      <c r="L6" s="91">
        <f>'Summary 12AM-6AM'!L6-'Summary 11PM-5AM'!L6</f>
        <v>-692</v>
      </c>
      <c r="M6" s="91">
        <f>'Summary 12AM-6AM'!M6-'Summary 11PM-5AM'!M6</f>
        <v>-831</v>
      </c>
      <c r="N6" s="91">
        <f>'Summary 12AM-6AM'!N6-'Summary 11PM-5AM'!N6</f>
        <v>-1101</v>
      </c>
      <c r="O6" s="91">
        <f>'Summary 12AM-6AM'!O6-'Summary 11PM-5AM'!O6</f>
        <v>-524</v>
      </c>
      <c r="P6" s="91">
        <f>'Summary 12AM-6AM'!P6-'Summary 11PM-5AM'!P6</f>
        <v>-609</v>
      </c>
      <c r="Q6" s="91">
        <f>'Summary 12AM-6AM'!Q6-'Summary 11PM-5AM'!Q6</f>
        <v>-952</v>
      </c>
      <c r="R6" s="91">
        <f>'Summary 12AM-6AM'!R6-'Summary 11PM-5AM'!R6</f>
        <v>-713</v>
      </c>
      <c r="S6" s="92">
        <f>'Summary 12AM-6AM'!S6-'Summary 11PM-5AM'!S6</f>
        <v>-533</v>
      </c>
      <c r="T6" s="114">
        <f t="shared" si="0"/>
        <v>-10998</v>
      </c>
    </row>
    <row r="7" spans="3:20" x14ac:dyDescent="0.25">
      <c r="C7" s="7" t="s">
        <v>37</v>
      </c>
      <c r="D7" s="93">
        <f>'Summary 12AM-6AM'!D7-'Summary 11PM-5AM'!D7</f>
        <v>-1028.5432947178324</v>
      </c>
      <c r="E7" s="94">
        <f>'Summary 12AM-6AM'!E7-'Summary 11PM-5AM'!E7</f>
        <v>-1506.441530537988</v>
      </c>
      <c r="F7" s="94">
        <f>'Summary 12AM-6AM'!F7-'Summary 11PM-5AM'!F7</f>
        <v>-470.48989817223628</v>
      </c>
      <c r="G7" s="94">
        <f>'Summary 12AM-6AM'!G7-'Summary 11PM-5AM'!G7</f>
        <v>-1733.7932873059981</v>
      </c>
      <c r="H7" s="94">
        <f>'Summary 12AM-6AM'!H7-'Summary 11PM-5AM'!H7</f>
        <v>-1240.1397627711594</v>
      </c>
      <c r="I7" s="94">
        <f>'Summary 12AM-6AM'!I7-'Summary 11PM-5AM'!I7</f>
        <v>-941.1820924806434</v>
      </c>
      <c r="J7" s="94">
        <f>'Summary 12AM-6AM'!J7-'Summary 11PM-5AM'!J7</f>
        <v>-978.30709248064159</v>
      </c>
      <c r="K7" s="94">
        <f>'Summary 12AM-6AM'!K7-'Summary 11PM-5AM'!K7</f>
        <v>-864.7548051920021</v>
      </c>
      <c r="L7" s="94">
        <f>'Summary 12AM-6AM'!L7-'Summary 11PM-5AM'!L7</f>
        <v>-467.76127477686532</v>
      </c>
      <c r="M7" s="94">
        <f>'Summary 12AM-6AM'!M7-'Summary 11PM-5AM'!M7</f>
        <v>-1259.796871029881</v>
      </c>
      <c r="N7" s="94">
        <f>'Summary 12AM-6AM'!N7-'Summary 11PM-5AM'!N7</f>
        <v>300.27123747119367</v>
      </c>
      <c r="O7" s="94">
        <f>'Summary 12AM-6AM'!O7-'Summary 11PM-5AM'!O7</f>
        <v>-1295.8703618510644</v>
      </c>
      <c r="P7" s="94">
        <f>'Summary 12AM-6AM'!P7-'Summary 11PM-5AM'!P7</f>
        <v>-1576.5339954039573</v>
      </c>
      <c r="Q7" s="94">
        <f>'Summary 12AM-6AM'!Q7-'Summary 11PM-5AM'!Q7</f>
        <v>-636.25239683595646</v>
      </c>
      <c r="R7" s="94">
        <f>'Summary 12AM-6AM'!R7-'Summary 11PM-5AM'!R7</f>
        <v>-624.5103189574329</v>
      </c>
      <c r="S7" s="95">
        <f>'Summary 12AM-6AM'!S7-'Summary 11PM-5AM'!S7</f>
        <v>-982.44566367707193</v>
      </c>
      <c r="T7" s="115">
        <f t="shared" si="0"/>
        <v>-15306.551408719537</v>
      </c>
    </row>
    <row r="8" spans="3:20" x14ac:dyDescent="0.25">
      <c r="C8" s="14" t="s">
        <v>38</v>
      </c>
      <c r="D8" s="96">
        <f>SUM(D4:D7)</f>
        <v>1579.2949872918925</v>
      </c>
      <c r="E8" s="97">
        <f t="shared" ref="E8:S8" si="1">SUM(E4:E7)</f>
        <v>270.558469462012</v>
      </c>
      <c r="F8" s="97">
        <f t="shared" si="1"/>
        <v>2585.7080596883798</v>
      </c>
      <c r="G8" s="97">
        <f t="shared" si="1"/>
        <v>-1052.7932873059981</v>
      </c>
      <c r="H8" s="97">
        <f t="shared" si="1"/>
        <v>-721.13976277115944</v>
      </c>
      <c r="I8" s="97">
        <f t="shared" si="1"/>
        <v>1374.8179075193566</v>
      </c>
      <c r="J8" s="97">
        <f t="shared" si="1"/>
        <v>202.69290751935841</v>
      </c>
      <c r="K8" s="97">
        <f t="shared" si="1"/>
        <v>107.2451948079979</v>
      </c>
      <c r="L8" s="97">
        <f t="shared" si="1"/>
        <v>923.23872522313468</v>
      </c>
      <c r="M8" s="97">
        <f t="shared" si="1"/>
        <v>887.203128970119</v>
      </c>
      <c r="N8" s="97">
        <f t="shared" si="1"/>
        <v>3190.2712374711937</v>
      </c>
      <c r="O8" s="97">
        <f t="shared" si="1"/>
        <v>484.93675322186891</v>
      </c>
      <c r="P8" s="97">
        <f t="shared" si="1"/>
        <v>504.96059130592948</v>
      </c>
      <c r="Q8" s="97">
        <f t="shared" si="1"/>
        <v>2079.7476031640435</v>
      </c>
      <c r="R8" s="97">
        <f t="shared" si="1"/>
        <v>1179.4896810425671</v>
      </c>
      <c r="S8" s="98">
        <f t="shared" si="1"/>
        <v>2365.2775372953756</v>
      </c>
      <c r="T8" s="98">
        <f t="shared" si="0"/>
        <v>15961.509733906074</v>
      </c>
    </row>
    <row r="9" spans="3:20" ht="6" customHeight="1" x14ac:dyDescent="0.25">
      <c r="C9" s="7"/>
      <c r="D9" s="99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1"/>
      <c r="T9" s="101"/>
    </row>
    <row r="10" spans="3:20" x14ac:dyDescent="0.25">
      <c r="C10" s="7" t="s">
        <v>39</v>
      </c>
      <c r="D10" s="90">
        <f>'Summary 12AM-6AM'!D10-'Summary 11PM-5AM'!D10</f>
        <v>-23.790153618866555</v>
      </c>
      <c r="E10" s="91">
        <f>'Summary 12AM-6AM'!E10-'Summary 11PM-5AM'!E10</f>
        <v>-56.694086647783877</v>
      </c>
      <c r="F10" s="91">
        <f>'Summary 12AM-6AM'!F10-'Summary 11PM-5AM'!F10</f>
        <v>-51.254001316290157</v>
      </c>
      <c r="G10" s="91">
        <f>'Summary 12AM-6AM'!G10-'Summary 11PM-5AM'!G10</f>
        <v>-32.558047230192017</v>
      </c>
      <c r="H10" s="91">
        <f>'Summary 12AM-6AM'!H10-'Summary 11PM-5AM'!H10</f>
        <v>-29.902755845978049</v>
      </c>
      <c r="I10" s="91">
        <f>'Summary 12AM-6AM'!I10-'Summary 11PM-5AM'!I10</f>
        <v>-89.726136216035911</v>
      </c>
      <c r="J10" s="91">
        <f>'Summary 12AM-6AM'!J10-'Summary 11PM-5AM'!J10</f>
        <v>-34.273172949250522</v>
      </c>
      <c r="K10" s="91">
        <f>'Summary 12AM-6AM'!K10-'Summary 11PM-5AM'!K10</f>
        <v>-44.118570335624725</v>
      </c>
      <c r="L10" s="91">
        <f>'Summary 12AM-6AM'!L10-'Summary 11PM-5AM'!L10</f>
        <v>-49.588236323092929</v>
      </c>
      <c r="M10" s="91">
        <f>'Summary 12AM-6AM'!M10-'Summary 11PM-5AM'!M10</f>
        <v>-71.693392689426616</v>
      </c>
      <c r="N10" s="91">
        <f>'Summary 12AM-6AM'!N10-'Summary 11PM-5AM'!N10</f>
        <v>-126.31471483016855</v>
      </c>
      <c r="O10" s="91">
        <f>'Summary 12AM-6AM'!O10-'Summary 11PM-5AM'!O10</f>
        <v>-30.716692478896618</v>
      </c>
      <c r="P10" s="91">
        <f>'Summary 12AM-6AM'!P10-'Summary 11PM-5AM'!P10</f>
        <v>-43.316985379137122</v>
      </c>
      <c r="Q10" s="91">
        <f>'Summary 12AM-6AM'!Q10-'Summary 11PM-5AM'!Q10</f>
        <v>-110.11863817387086</v>
      </c>
      <c r="R10" s="91">
        <f>'Summary 12AM-6AM'!R10-'Summary 11PM-5AM'!R10</f>
        <v>-122.13996727503343</v>
      </c>
      <c r="S10" s="92">
        <f>'Summary 12AM-6AM'!S10-'Summary 11PM-5AM'!S10</f>
        <v>-49.785810934233098</v>
      </c>
      <c r="T10" s="114">
        <f t="shared" ref="T10:T14" si="2">SUM(D10:S10)</f>
        <v>-965.99136224388099</v>
      </c>
    </row>
    <row r="11" spans="3:20" x14ac:dyDescent="0.25">
      <c r="C11" s="7" t="s">
        <v>40</v>
      </c>
      <c r="D11" s="90">
        <f>'Summary 12AM-6AM'!D11-'Summary 11PM-5AM'!D11</f>
        <v>-7.3781442622053959</v>
      </c>
      <c r="E11" s="91">
        <f>'Summary 12AM-6AM'!E11-'Summary 11PM-5AM'!E11</f>
        <v>-21.463861377823207</v>
      </c>
      <c r="F11" s="91">
        <f>'Summary 12AM-6AM'!F11-'Summary 11PM-5AM'!F11</f>
        <v>-17.074567115370769</v>
      </c>
      <c r="G11" s="91">
        <f>'Summary 12AM-6AM'!G11-'Summary 11PM-5AM'!G11</f>
        <v>-9.9016764511145539</v>
      </c>
      <c r="H11" s="91">
        <f>'Summary 12AM-6AM'!H11-'Summary 11PM-5AM'!H11</f>
        <v>-8.070811136423913</v>
      </c>
      <c r="I11" s="91">
        <f>'Summary 12AM-6AM'!I11-'Summary 11PM-5AM'!I11</f>
        <v>-24.728692515923257</v>
      </c>
      <c r="J11" s="91">
        <f>'Summary 12AM-6AM'!J11-'Summary 11PM-5AM'!J11</f>
        <v>-12.229549669651107</v>
      </c>
      <c r="K11" s="91">
        <f>'Summary 12AM-6AM'!K11-'Summary 11PM-5AM'!K11</f>
        <v>-20.971284388422646</v>
      </c>
      <c r="L11" s="91">
        <f>'Summary 12AM-6AM'!L11-'Summary 11PM-5AM'!L11</f>
        <v>-18.270297786404882</v>
      </c>
      <c r="M11" s="91">
        <f>'Summary 12AM-6AM'!M11-'Summary 11PM-5AM'!M11</f>
        <v>-26.52353850891997</v>
      </c>
      <c r="N11" s="91">
        <f>'Summary 12AM-6AM'!N11-'Summary 11PM-5AM'!N11</f>
        <v>-32.563019523936887</v>
      </c>
      <c r="O11" s="91">
        <f>'Summary 12AM-6AM'!O11-'Summary 11PM-5AM'!O11</f>
        <v>-9.0821664110429481</v>
      </c>
      <c r="P11" s="91">
        <f>'Summary 12AM-6AM'!P11-'Summary 11PM-5AM'!P11</f>
        <v>-9.050640806185271</v>
      </c>
      <c r="Q11" s="91">
        <f>'Summary 12AM-6AM'!Q11-'Summary 11PM-5AM'!Q11</f>
        <v>-34.356356483729968</v>
      </c>
      <c r="R11" s="91">
        <f>'Summary 12AM-6AM'!R11-'Summary 11PM-5AM'!R11</f>
        <v>-33.662005542922657</v>
      </c>
      <c r="S11" s="92">
        <f>'Summary 12AM-6AM'!S11-'Summary 11PM-5AM'!S11</f>
        <v>-14.194082637017587</v>
      </c>
      <c r="T11" s="114">
        <f t="shared" si="2"/>
        <v>-299.52069461709493</v>
      </c>
    </row>
    <row r="12" spans="3:20" x14ac:dyDescent="0.25">
      <c r="C12" s="7" t="s">
        <v>41</v>
      </c>
      <c r="D12" s="90">
        <f>'Summary 12AM-6AM'!D12-'Summary 11PM-5AM'!D12</f>
        <v>-16.900480691626854</v>
      </c>
      <c r="E12" s="91">
        <f>'Summary 12AM-6AM'!E12-'Summary 11PM-5AM'!E12</f>
        <v>-59.086130307617623</v>
      </c>
      <c r="F12" s="91">
        <f>'Summary 12AM-6AM'!F12-'Summary 11PM-5AM'!F12</f>
        <v>-65.650157851979202</v>
      </c>
      <c r="G12" s="91">
        <f>'Summary 12AM-6AM'!G12-'Summary 11PM-5AM'!G12</f>
        <v>-7.7816888104171085</v>
      </c>
      <c r="H12" s="91">
        <f>'Summary 12AM-6AM'!H12-'Summary 11PM-5AM'!H12</f>
        <v>-34.354464708463183</v>
      </c>
      <c r="I12" s="91">
        <f>'Summary 12AM-6AM'!I12-'Summary 11PM-5AM'!I12</f>
        <v>-49.601273264231622</v>
      </c>
      <c r="J12" s="91">
        <f>'Summary 12AM-6AM'!J12-'Summary 11PM-5AM'!J12</f>
        <v>-44.159438060246657</v>
      </c>
      <c r="K12" s="91">
        <f>'Summary 12AM-6AM'!K12-'Summary 11PM-5AM'!K12</f>
        <v>-39.844343493098677</v>
      </c>
      <c r="L12" s="91">
        <f>'Summary 12AM-6AM'!L12-'Summary 11PM-5AM'!L12</f>
        <v>-58.473159844629663</v>
      </c>
      <c r="M12" s="91">
        <f>'Summary 12AM-6AM'!M12-'Summary 11PM-5AM'!M12</f>
        <v>-82.467336637115977</v>
      </c>
      <c r="N12" s="91">
        <f>'Summary 12AM-6AM'!N12-'Summary 11PM-5AM'!N12</f>
        <v>-94.716971783899453</v>
      </c>
      <c r="O12" s="91">
        <f>'Summary 12AM-6AM'!O12-'Summary 11PM-5AM'!O12</f>
        <v>-18.578144344757447</v>
      </c>
      <c r="P12" s="91">
        <f>'Summary 12AM-6AM'!P12-'Summary 11PM-5AM'!P12</f>
        <v>-10.647123859207568</v>
      </c>
      <c r="Q12" s="91">
        <f>'Summary 12AM-6AM'!Q12-'Summary 11PM-5AM'!Q12</f>
        <v>-109.70343370568253</v>
      </c>
      <c r="R12" s="91">
        <f>'Summary 12AM-6AM'!R12-'Summary 11PM-5AM'!R12</f>
        <v>-67.5198793661026</v>
      </c>
      <c r="S12" s="92">
        <f>'Summary 12AM-6AM'!S12-'Summary 11PM-5AM'!S12</f>
        <v>-61.04267604145457</v>
      </c>
      <c r="T12" s="114">
        <f t="shared" si="2"/>
        <v>-820.52670277053073</v>
      </c>
    </row>
    <row r="13" spans="3:20" x14ac:dyDescent="0.25">
      <c r="C13" s="7" t="s">
        <v>42</v>
      </c>
      <c r="D13" s="90">
        <f>'Summary 12AM-6AM'!D13-'Summary 11PM-5AM'!D13</f>
        <v>-13.30900510238979</v>
      </c>
      <c r="E13" s="91">
        <f>'Summary 12AM-6AM'!E13-'Summary 11PM-5AM'!E13</f>
        <v>-39.33720569925228</v>
      </c>
      <c r="F13" s="91">
        <f>'Summary 12AM-6AM'!F13-'Summary 11PM-5AM'!F13</f>
        <v>-35.729604701623771</v>
      </c>
      <c r="G13" s="91">
        <f>'Summary 12AM-6AM'!G13-'Summary 11PM-5AM'!G13</f>
        <v>-19.391374972412279</v>
      </c>
      <c r="H13" s="91">
        <f>'Summary 12AM-6AM'!H13-'Summary 11PM-5AM'!H13</f>
        <v>-9.9283187529902364</v>
      </c>
      <c r="I13" s="91">
        <f>'Summary 12AM-6AM'!I13-'Summary 11PM-5AM'!I13</f>
        <v>-42.029810986496784</v>
      </c>
      <c r="J13" s="91">
        <f>'Summary 12AM-6AM'!J13-'Summary 11PM-5AM'!J13</f>
        <v>-27.058921553466405</v>
      </c>
      <c r="K13" s="91">
        <f>'Summary 12AM-6AM'!K13-'Summary 11PM-5AM'!K13</f>
        <v>-22.828290500328109</v>
      </c>
      <c r="L13" s="91">
        <f>'Summary 12AM-6AM'!L13-'Summary 11PM-5AM'!L13</f>
        <v>-29.396829861977778</v>
      </c>
      <c r="M13" s="91">
        <f>'Summary 12AM-6AM'!M13-'Summary 11PM-5AM'!M13</f>
        <v>-49.00390136503745</v>
      </c>
      <c r="N13" s="91">
        <f>'Summary 12AM-6AM'!N13-'Summary 11PM-5AM'!N13</f>
        <v>-54.457706940358435</v>
      </c>
      <c r="O13" s="91">
        <f>'Summary 12AM-6AM'!O13-'Summary 11PM-5AM'!O13</f>
        <v>-13.571479974860466</v>
      </c>
      <c r="P13" s="91">
        <f>'Summary 12AM-6AM'!P13-'Summary 11PM-5AM'!P13</f>
        <v>-20.372708376731055</v>
      </c>
      <c r="Q13" s="91">
        <f>'Summary 12AM-6AM'!Q13-'Summary 11PM-5AM'!Q13</f>
        <v>-53.517730937348261</v>
      </c>
      <c r="R13" s="91">
        <f>'Summary 12AM-6AM'!R13-'Summary 11PM-5AM'!R13</f>
        <v>-57.213204033509896</v>
      </c>
      <c r="S13" s="92">
        <f>'Summary 12AM-6AM'!S13-'Summary 11PM-5AM'!S13</f>
        <v>-17.909268207996504</v>
      </c>
      <c r="T13" s="114">
        <f t="shared" si="2"/>
        <v>-505.05536196677957</v>
      </c>
    </row>
    <row r="14" spans="3:20" x14ac:dyDescent="0.25">
      <c r="C14" s="14" t="s">
        <v>43</v>
      </c>
      <c r="D14" s="102">
        <f t="shared" ref="D14:S14" si="3">SUM(D10:D13)</f>
        <v>-61.377783675088594</v>
      </c>
      <c r="E14" s="103">
        <f t="shared" si="3"/>
        <v>-176.58128403247699</v>
      </c>
      <c r="F14" s="103">
        <f t="shared" si="3"/>
        <v>-169.7083309852639</v>
      </c>
      <c r="G14" s="103">
        <f t="shared" si="3"/>
        <v>-69.632787464135959</v>
      </c>
      <c r="H14" s="103">
        <f t="shared" si="3"/>
        <v>-82.256350443855382</v>
      </c>
      <c r="I14" s="103">
        <f t="shared" si="3"/>
        <v>-206.08591298268757</v>
      </c>
      <c r="J14" s="103">
        <f t="shared" si="3"/>
        <v>-117.72108223261469</v>
      </c>
      <c r="K14" s="103">
        <f t="shared" si="3"/>
        <v>-127.76248871747416</v>
      </c>
      <c r="L14" s="103">
        <f t="shared" si="3"/>
        <v>-155.72852381610525</v>
      </c>
      <c r="M14" s="103">
        <f t="shared" si="3"/>
        <v>-229.6881692005</v>
      </c>
      <c r="N14" s="103">
        <f t="shared" si="3"/>
        <v>-308.05241307836332</v>
      </c>
      <c r="O14" s="103">
        <f t="shared" si="3"/>
        <v>-71.94848320955748</v>
      </c>
      <c r="P14" s="103">
        <f t="shared" si="3"/>
        <v>-83.387458421261016</v>
      </c>
      <c r="Q14" s="103">
        <f t="shared" si="3"/>
        <v>-307.69615930063162</v>
      </c>
      <c r="R14" s="103">
        <f t="shared" si="3"/>
        <v>-280.53505621756858</v>
      </c>
      <c r="S14" s="104">
        <f t="shared" si="3"/>
        <v>-142.93183782070176</v>
      </c>
      <c r="T14" s="104">
        <f t="shared" si="2"/>
        <v>-2591.0941215982862</v>
      </c>
    </row>
    <row r="15" spans="3:20" ht="6" customHeight="1" x14ac:dyDescent="0.25">
      <c r="C15" s="7"/>
      <c r="D15" s="90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2"/>
    </row>
    <row r="16" spans="3:20" x14ac:dyDescent="0.25">
      <c r="C16" s="7" t="s">
        <v>44</v>
      </c>
      <c r="D16" s="90">
        <f>'Assumptions 11PM-5AM'!F4*'Assumptions 11PM-5AM'!$F$36</f>
        <v>0</v>
      </c>
      <c r="E16" s="91">
        <f>'Assumptions 11PM-5AM'!G4*'Assumptions 11PM-5AM'!$F$36</f>
        <v>0</v>
      </c>
      <c r="F16" s="91">
        <f>'Assumptions 11PM-5AM'!H4*'Assumptions 11PM-5AM'!$F$36</f>
        <v>0</v>
      </c>
      <c r="G16" s="91">
        <f>'Assumptions 11PM-5AM'!I4*'Assumptions 11PM-5AM'!$F$36</f>
        <v>0</v>
      </c>
      <c r="H16" s="91">
        <f>'Assumptions 11PM-5AM'!J4*'Assumptions 11PM-5AM'!$F$36</f>
        <v>0</v>
      </c>
      <c r="I16" s="91">
        <f>'Assumptions 11PM-5AM'!K4*'Assumptions 11PM-5AM'!$F$36</f>
        <v>0</v>
      </c>
      <c r="J16" s="91">
        <f>'Assumptions 11PM-5AM'!L4*'Assumptions 11PM-5AM'!$F$36</f>
        <v>0</v>
      </c>
      <c r="K16" s="91">
        <f>'Assumptions 11PM-5AM'!M4*'Assumptions 11PM-5AM'!$F$36</f>
        <v>0</v>
      </c>
      <c r="L16" s="91">
        <f>'Assumptions 11PM-5AM'!N4*'Assumptions 11PM-5AM'!$F$36</f>
        <v>0</v>
      </c>
      <c r="M16" s="91">
        <f>'Assumptions 11PM-5AM'!O4*'Assumptions 11PM-5AM'!$F$36</f>
        <v>0</v>
      </c>
      <c r="N16" s="91">
        <f>'Assumptions 11PM-5AM'!P4*'Assumptions 11PM-5AM'!$F$36</f>
        <v>0</v>
      </c>
      <c r="O16" s="91">
        <f>'Assumptions 11PM-5AM'!Q4*'Assumptions 11PM-5AM'!$F$36</f>
        <v>0</v>
      </c>
      <c r="P16" s="91">
        <f>'Assumptions 11PM-5AM'!R4*'Assumptions 11PM-5AM'!$F$36</f>
        <v>0</v>
      </c>
      <c r="Q16" s="91">
        <f>'Assumptions 11PM-5AM'!S4*'Assumptions 11PM-5AM'!$F$36</f>
        <v>0</v>
      </c>
      <c r="R16" s="91">
        <f>'Assumptions 11PM-5AM'!T4*'Assumptions 11PM-5AM'!$F$36</f>
        <v>0</v>
      </c>
      <c r="S16" s="92">
        <f>'Assumptions 11PM-5AM'!U4*'Assumptions 11PM-5AM'!$F$36</f>
        <v>0</v>
      </c>
      <c r="T16" s="92">
        <v>0</v>
      </c>
    </row>
    <row r="17" spans="3:20" ht="6" customHeight="1" thickBot="1" x14ac:dyDescent="0.3">
      <c r="C17" s="7"/>
      <c r="D17" s="99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1"/>
      <c r="T17" s="101"/>
    </row>
    <row r="18" spans="3:20" ht="15.75" thickTop="1" x14ac:dyDescent="0.25">
      <c r="C18" s="23" t="s">
        <v>45</v>
      </c>
      <c r="D18" s="105">
        <f>SUM(D8,D14,D16)</f>
        <v>1517.917203616804</v>
      </c>
      <c r="E18" s="106">
        <f t="shared" ref="E18:S18" si="4">SUM(E8,E14,E16)</f>
        <v>93.977185429535012</v>
      </c>
      <c r="F18" s="106">
        <f t="shared" si="4"/>
        <v>2415.999728703116</v>
      </c>
      <c r="G18" s="106">
        <f t="shared" si="4"/>
        <v>-1122.4260747701342</v>
      </c>
      <c r="H18" s="106">
        <f t="shared" si="4"/>
        <v>-803.39611321501479</v>
      </c>
      <c r="I18" s="106">
        <f t="shared" si="4"/>
        <v>1168.7319945366689</v>
      </c>
      <c r="J18" s="106">
        <f t="shared" si="4"/>
        <v>84.971825286743723</v>
      </c>
      <c r="K18" s="106">
        <f t="shared" si="4"/>
        <v>-20.517293909476251</v>
      </c>
      <c r="L18" s="106">
        <f t="shared" si="4"/>
        <v>767.5102014070294</v>
      </c>
      <c r="M18" s="106">
        <f t="shared" si="4"/>
        <v>657.51495976961905</v>
      </c>
      <c r="N18" s="106">
        <f t="shared" si="4"/>
        <v>2882.2188243928304</v>
      </c>
      <c r="O18" s="106">
        <f t="shared" si="4"/>
        <v>412.98827001231143</v>
      </c>
      <c r="P18" s="106">
        <f t="shared" si="4"/>
        <v>421.57313288466844</v>
      </c>
      <c r="Q18" s="106">
        <f t="shared" si="4"/>
        <v>1772.0514438634118</v>
      </c>
      <c r="R18" s="106">
        <f t="shared" si="4"/>
        <v>898.95462482499852</v>
      </c>
      <c r="S18" s="107">
        <f t="shared" si="4"/>
        <v>2222.3456994746739</v>
      </c>
      <c r="T18" s="107">
        <f>SUM(D18:S18)</f>
        <v>13370.415612307786</v>
      </c>
    </row>
    <row r="19" spans="3:20" ht="6.75" customHeight="1" x14ac:dyDescent="0.25">
      <c r="C19" s="7"/>
      <c r="D19" s="99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1"/>
      <c r="T19" s="101"/>
    </row>
    <row r="20" spans="3:20" x14ac:dyDescent="0.25">
      <c r="C20" s="27" t="s">
        <v>46</v>
      </c>
      <c r="D20" s="108">
        <f t="shared" ref="D20:S20" si="5">D18/4*13</f>
        <v>4933.2309117546129</v>
      </c>
      <c r="E20" s="109">
        <f t="shared" si="5"/>
        <v>305.42585264598881</v>
      </c>
      <c r="F20" s="109">
        <f t="shared" si="5"/>
        <v>7851.9991182851272</v>
      </c>
      <c r="G20" s="109">
        <f t="shared" si="5"/>
        <v>-3647.8847430029359</v>
      </c>
      <c r="H20" s="109">
        <f t="shared" si="5"/>
        <v>-2611.037367948798</v>
      </c>
      <c r="I20" s="109">
        <f t="shared" si="5"/>
        <v>3798.378982244174</v>
      </c>
      <c r="J20" s="109">
        <f t="shared" si="5"/>
        <v>276.15843218191708</v>
      </c>
      <c r="K20" s="109">
        <f t="shared" si="5"/>
        <v>-66.681205205797824</v>
      </c>
      <c r="L20" s="109">
        <f t="shared" si="5"/>
        <v>2494.4081545728454</v>
      </c>
      <c r="M20" s="109">
        <f t="shared" si="5"/>
        <v>2136.9236192512617</v>
      </c>
      <c r="N20" s="109">
        <f t="shared" si="5"/>
        <v>9367.2111792766991</v>
      </c>
      <c r="O20" s="109">
        <f t="shared" si="5"/>
        <v>1342.2118775400122</v>
      </c>
      <c r="P20" s="109">
        <f t="shared" si="5"/>
        <v>1370.1126818751725</v>
      </c>
      <c r="Q20" s="109">
        <f t="shared" si="5"/>
        <v>5759.1671925560886</v>
      </c>
      <c r="R20" s="109">
        <f t="shared" si="5"/>
        <v>2921.6025306812453</v>
      </c>
      <c r="S20" s="110">
        <f t="shared" si="5"/>
        <v>7222.6235232926902</v>
      </c>
      <c r="T20" s="110">
        <f>SUM(D20:S20)</f>
        <v>43453.850740000307</v>
      </c>
    </row>
    <row r="21" spans="3:20" ht="6" customHeight="1" x14ac:dyDescent="0.25">
      <c r="C21" s="7"/>
      <c r="D21" s="99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1"/>
      <c r="T21" s="101"/>
    </row>
    <row r="22" spans="3:20" x14ac:dyDescent="0.25">
      <c r="C22" s="38" t="s">
        <v>50</v>
      </c>
      <c r="D22" s="111">
        <f>'Summary 12AM-6AM'!D26-'Summary 11PM-5AM'!D26</f>
        <v>36302.911868446972</v>
      </c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</row>
    <row r="23" spans="3:20" x14ac:dyDescent="0.25"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</row>
    <row r="24" spans="3:20" s="47" customFormat="1" x14ac:dyDescent="0.25">
      <c r="C24" s="44" t="s">
        <v>52</v>
      </c>
      <c r="D24" s="45" t="s">
        <v>53</v>
      </c>
      <c r="E24" s="112">
        <f>'Summary 12AM-6AM'!E30-'Summary 11PM-5AM'!E30</f>
        <v>-1.97320458735167E-4</v>
      </c>
      <c r="F24" s="112">
        <f>'Summary 12AM-6AM'!F30-'Summary 11PM-5AM'!F30</f>
        <v>-7.0892649435049613E-3</v>
      </c>
      <c r="G24" s="112">
        <f>'Summary 12AM-6AM'!G30-'Summary 11PM-5AM'!G30</f>
        <v>2.9145186520190079E-3</v>
      </c>
      <c r="H24" s="112">
        <f>'Summary 12AM-6AM'!H30-'Summary 11PM-5AM'!H30</f>
        <v>-1.082546195479886E-3</v>
      </c>
      <c r="I24" s="112">
        <f>'Summary 12AM-6AM'!I30-'Summary 11PM-5AM'!I30</f>
        <v>-2.3211856994578978E-3</v>
      </c>
      <c r="J24" s="112">
        <f>'Summary 12AM-6AM'!J30-'Summary 11PM-5AM'!J30</f>
        <v>-2.2658098448734634E-4</v>
      </c>
      <c r="K24" s="112">
        <f>'Summary 12AM-6AM'!K30-'Summary 11PM-5AM'!K30</f>
        <v>5.8780475757417433E-5</v>
      </c>
      <c r="L24" s="112">
        <f>'Summary 12AM-6AM'!L30-'Summary 11PM-5AM'!L30</f>
        <v>-1.5833587298092356E-3</v>
      </c>
      <c r="M24" s="112">
        <f>'Summary 12AM-6AM'!M30-'Summary 11PM-5AM'!M30</f>
        <v>-1.6737465845709093E-3</v>
      </c>
      <c r="N24" s="112">
        <f>'Summary 12AM-6AM'!N30-'Summary 11PM-5AM'!N30</f>
        <v>-7.4121585722314916E-3</v>
      </c>
      <c r="O24" s="112">
        <f>'Summary 12AM-6AM'!O30-'Summary 11PM-5AM'!O30</f>
        <v>-1.0815662666511863E-3</v>
      </c>
      <c r="P24" s="112">
        <f>'Summary 12AM-6AM'!P30-'Summary 11PM-5AM'!P30</f>
        <v>-6.0602158316764437E-4</v>
      </c>
      <c r="Q24" s="45" t="s">
        <v>53</v>
      </c>
      <c r="R24" s="45" t="s">
        <v>53</v>
      </c>
      <c r="S24" s="112">
        <f>'Summary 12AM-6AM'!S30-'Summary 11PM-5AM'!S30</f>
        <v>-6.6564934790130006E-3</v>
      </c>
      <c r="T24" s="45" t="s">
        <v>53</v>
      </c>
    </row>
    <row r="25" spans="3:20" x14ac:dyDescent="0.25">
      <c r="C25" s="42"/>
      <c r="D25" s="43"/>
      <c r="E25" s="48"/>
    </row>
  </sheetData>
  <mergeCells count="1">
    <mergeCell ref="D2:F2"/>
  </mergeCells>
  <phoneticPr fontId="16" type="noConversion"/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>
      <selection activeCell="G6" sqref="G6:H6"/>
    </sheetView>
  </sheetViews>
  <sheetFormatPr defaultRowHeight="15" x14ac:dyDescent="0.25"/>
  <cols>
    <col min="2" max="2" width="10" customWidth="1"/>
    <col min="5" max="5" width="11.42578125" customWidth="1"/>
    <col min="7" max="8" width="9.85546875" customWidth="1"/>
    <col min="10" max="10" width="9.140625" customWidth="1"/>
    <col min="14" max="14" width="16.42578125" customWidth="1"/>
  </cols>
  <sheetData>
    <row r="1" spans="1:14" s="89" customFormat="1" ht="45" x14ac:dyDescent="0.25">
      <c r="J1" s="89" t="s">
        <v>135</v>
      </c>
      <c r="K1" s="89" t="s">
        <v>136</v>
      </c>
      <c r="L1" s="89" t="s">
        <v>85</v>
      </c>
      <c r="N1" s="89" t="s">
        <v>137</v>
      </c>
    </row>
    <row r="2" spans="1:14" x14ac:dyDescent="0.25">
      <c r="A2">
        <v>0</v>
      </c>
      <c r="B2" t="s">
        <v>138</v>
      </c>
      <c r="D2">
        <v>1</v>
      </c>
      <c r="E2" t="s">
        <v>139</v>
      </c>
      <c r="G2" t="s">
        <v>140</v>
      </c>
      <c r="H2" t="str">
        <f>G3</f>
        <v>P-01 W-02</v>
      </c>
      <c r="J2">
        <v>0</v>
      </c>
      <c r="K2">
        <v>1</v>
      </c>
      <c r="L2">
        <v>1</v>
      </c>
      <c r="N2" t="s">
        <v>18</v>
      </c>
    </row>
    <row r="3" spans="1:14" x14ac:dyDescent="0.25">
      <c r="A3">
        <v>1</v>
      </c>
      <c r="B3" t="s">
        <v>138</v>
      </c>
      <c r="D3">
        <v>2</v>
      </c>
      <c r="E3" t="s">
        <v>141</v>
      </c>
      <c r="G3" t="s">
        <v>142</v>
      </c>
      <c r="H3" t="str">
        <f t="shared" ref="H3:H36" si="0">G4</f>
        <v>P-01 W-03</v>
      </c>
      <c r="J3">
        <v>1</v>
      </c>
      <c r="K3">
        <v>1</v>
      </c>
      <c r="L3">
        <v>1</v>
      </c>
      <c r="N3" t="s">
        <v>19</v>
      </c>
    </row>
    <row r="4" spans="1:14" x14ac:dyDescent="0.25">
      <c r="A4">
        <v>2</v>
      </c>
      <c r="B4" t="s">
        <v>138</v>
      </c>
      <c r="D4">
        <v>3</v>
      </c>
      <c r="E4" t="s">
        <v>143</v>
      </c>
      <c r="G4" t="s">
        <v>144</v>
      </c>
      <c r="H4" t="str">
        <f t="shared" si="0"/>
        <v>P-01 W-04</v>
      </c>
      <c r="J4">
        <v>2</v>
      </c>
      <c r="K4">
        <v>0.5</v>
      </c>
      <c r="L4">
        <v>0.5</v>
      </c>
      <c r="N4" t="s">
        <v>20</v>
      </c>
    </row>
    <row r="5" spans="1:14" x14ac:dyDescent="0.25">
      <c r="A5">
        <v>3</v>
      </c>
      <c r="B5" t="s">
        <v>138</v>
      </c>
      <c r="D5">
        <v>4</v>
      </c>
      <c r="E5" t="s">
        <v>145</v>
      </c>
      <c r="G5" t="s">
        <v>146</v>
      </c>
      <c r="H5" t="str">
        <f t="shared" si="0"/>
        <v>P-02 W-01</v>
      </c>
      <c r="J5">
        <v>3</v>
      </c>
      <c r="K5">
        <v>0</v>
      </c>
      <c r="L5">
        <v>0</v>
      </c>
      <c r="N5" t="s">
        <v>21</v>
      </c>
    </row>
    <row r="6" spans="1:14" x14ac:dyDescent="0.25">
      <c r="A6">
        <v>4</v>
      </c>
      <c r="B6" t="s">
        <v>138</v>
      </c>
      <c r="D6">
        <v>5</v>
      </c>
      <c r="E6" t="s">
        <v>147</v>
      </c>
      <c r="G6" t="s">
        <v>148</v>
      </c>
      <c r="H6" t="str">
        <f t="shared" si="0"/>
        <v>P-02 W-02</v>
      </c>
      <c r="J6">
        <v>4</v>
      </c>
      <c r="K6">
        <v>0</v>
      </c>
      <c r="L6">
        <v>0</v>
      </c>
      <c r="N6" t="s">
        <v>22</v>
      </c>
    </row>
    <row r="7" spans="1:14" x14ac:dyDescent="0.25">
      <c r="A7">
        <v>5</v>
      </c>
      <c r="B7" t="s">
        <v>149</v>
      </c>
      <c r="D7">
        <v>6</v>
      </c>
      <c r="E7" t="s">
        <v>150</v>
      </c>
      <c r="G7" t="s">
        <v>151</v>
      </c>
      <c r="H7" t="str">
        <f t="shared" si="0"/>
        <v>P-02 W-03</v>
      </c>
      <c r="J7">
        <v>5</v>
      </c>
      <c r="K7">
        <v>0</v>
      </c>
      <c r="L7">
        <v>0</v>
      </c>
      <c r="N7" t="s">
        <v>23</v>
      </c>
    </row>
    <row r="8" spans="1:14" x14ac:dyDescent="0.25">
      <c r="A8">
        <v>6</v>
      </c>
      <c r="B8" t="s">
        <v>149</v>
      </c>
      <c r="D8">
        <v>7</v>
      </c>
      <c r="E8" t="s">
        <v>152</v>
      </c>
      <c r="G8" t="s">
        <v>153</v>
      </c>
      <c r="H8" t="str">
        <f t="shared" si="0"/>
        <v>P-02 W-04</v>
      </c>
      <c r="J8">
        <v>6</v>
      </c>
      <c r="K8">
        <v>0</v>
      </c>
      <c r="L8">
        <v>0</v>
      </c>
      <c r="N8" t="s">
        <v>24</v>
      </c>
    </row>
    <row r="9" spans="1:14" x14ac:dyDescent="0.25">
      <c r="A9">
        <v>7</v>
      </c>
      <c r="B9" t="s">
        <v>149</v>
      </c>
      <c r="G9" t="s">
        <v>154</v>
      </c>
      <c r="H9" t="str">
        <f t="shared" si="0"/>
        <v>P-03 W-01</v>
      </c>
      <c r="J9">
        <v>7</v>
      </c>
      <c r="K9">
        <v>0</v>
      </c>
      <c r="L9">
        <v>1</v>
      </c>
      <c r="N9" t="s">
        <v>25</v>
      </c>
    </row>
    <row r="10" spans="1:14" x14ac:dyDescent="0.25">
      <c r="A10">
        <v>8</v>
      </c>
      <c r="B10" t="s">
        <v>149</v>
      </c>
      <c r="G10" t="s">
        <v>155</v>
      </c>
      <c r="H10" t="str">
        <f t="shared" si="0"/>
        <v>P-03 W-02</v>
      </c>
      <c r="J10">
        <v>8</v>
      </c>
      <c r="K10">
        <v>0</v>
      </c>
      <c r="L10">
        <v>1</v>
      </c>
      <c r="N10" t="s">
        <v>26</v>
      </c>
    </row>
    <row r="11" spans="1:14" x14ac:dyDescent="0.25">
      <c r="A11">
        <v>9</v>
      </c>
      <c r="B11" t="s">
        <v>149</v>
      </c>
      <c r="G11" t="s">
        <v>156</v>
      </c>
      <c r="H11" t="str">
        <f t="shared" si="0"/>
        <v>P-03 W-03</v>
      </c>
      <c r="J11">
        <v>9</v>
      </c>
      <c r="K11">
        <v>0</v>
      </c>
      <c r="L11">
        <v>1</v>
      </c>
      <c r="N11" t="s">
        <v>27</v>
      </c>
    </row>
    <row r="12" spans="1:14" x14ac:dyDescent="0.25">
      <c r="A12">
        <v>10</v>
      </c>
      <c r="B12" t="s">
        <v>149</v>
      </c>
      <c r="G12" t="s">
        <v>157</v>
      </c>
      <c r="H12" t="str">
        <f t="shared" si="0"/>
        <v>P-03 W-04</v>
      </c>
      <c r="J12">
        <v>10</v>
      </c>
      <c r="K12">
        <v>0</v>
      </c>
      <c r="L12">
        <v>1</v>
      </c>
      <c r="N12" t="s">
        <v>28</v>
      </c>
    </row>
    <row r="13" spans="1:14" x14ac:dyDescent="0.25">
      <c r="A13">
        <v>11</v>
      </c>
      <c r="B13" t="s">
        <v>149</v>
      </c>
      <c r="G13" t="s">
        <v>158</v>
      </c>
      <c r="H13" t="str">
        <f t="shared" si="0"/>
        <v>P-04 W-01</v>
      </c>
      <c r="J13">
        <v>11</v>
      </c>
      <c r="K13">
        <v>0</v>
      </c>
      <c r="L13">
        <v>1</v>
      </c>
      <c r="N13" t="s">
        <v>29</v>
      </c>
    </row>
    <row r="14" spans="1:14" x14ac:dyDescent="0.25">
      <c r="A14">
        <v>12</v>
      </c>
      <c r="B14" t="s">
        <v>149</v>
      </c>
      <c r="G14" t="s">
        <v>159</v>
      </c>
      <c r="H14" t="str">
        <f t="shared" si="0"/>
        <v>P-04 W-02</v>
      </c>
      <c r="J14">
        <v>12</v>
      </c>
      <c r="K14">
        <v>0</v>
      </c>
      <c r="L14">
        <v>1</v>
      </c>
      <c r="N14" t="s">
        <v>30</v>
      </c>
    </row>
    <row r="15" spans="1:14" x14ac:dyDescent="0.25">
      <c r="A15">
        <v>13</v>
      </c>
      <c r="B15" t="s">
        <v>149</v>
      </c>
      <c r="G15" t="s">
        <v>160</v>
      </c>
      <c r="H15" t="str">
        <f t="shared" si="0"/>
        <v>P-04 W-03</v>
      </c>
      <c r="J15">
        <v>13</v>
      </c>
      <c r="K15">
        <v>0</v>
      </c>
      <c r="L15">
        <v>1</v>
      </c>
      <c r="N15" t="s">
        <v>31</v>
      </c>
    </row>
    <row r="16" spans="1:14" x14ac:dyDescent="0.25">
      <c r="A16">
        <v>14</v>
      </c>
      <c r="B16" t="s">
        <v>149</v>
      </c>
      <c r="G16" t="s">
        <v>161</v>
      </c>
      <c r="H16" t="str">
        <f t="shared" si="0"/>
        <v>P-04 W-04</v>
      </c>
      <c r="J16">
        <v>14</v>
      </c>
      <c r="K16">
        <v>0</v>
      </c>
      <c r="L16">
        <v>1</v>
      </c>
      <c r="N16" t="s">
        <v>32</v>
      </c>
    </row>
    <row r="17" spans="1:14" x14ac:dyDescent="0.25">
      <c r="A17">
        <v>15</v>
      </c>
      <c r="B17" t="s">
        <v>149</v>
      </c>
      <c r="G17" t="s">
        <v>162</v>
      </c>
      <c r="H17" t="str">
        <f t="shared" si="0"/>
        <v>P-05 W-01</v>
      </c>
      <c r="J17">
        <v>15</v>
      </c>
      <c r="K17">
        <v>0</v>
      </c>
      <c r="L17">
        <v>1</v>
      </c>
      <c r="N17" t="s">
        <v>33</v>
      </c>
    </row>
    <row r="18" spans="1:14" x14ac:dyDescent="0.25">
      <c r="A18">
        <v>16</v>
      </c>
      <c r="B18" t="s">
        <v>149</v>
      </c>
      <c r="G18" t="s">
        <v>163</v>
      </c>
      <c r="H18" t="str">
        <f t="shared" si="0"/>
        <v>P-05 W-02</v>
      </c>
      <c r="J18">
        <v>16</v>
      </c>
      <c r="K18">
        <v>0</v>
      </c>
      <c r="L18">
        <v>1</v>
      </c>
    </row>
    <row r="19" spans="1:14" x14ac:dyDescent="0.25">
      <c r="A19">
        <v>17</v>
      </c>
      <c r="B19" t="s">
        <v>149</v>
      </c>
      <c r="G19" t="s">
        <v>164</v>
      </c>
      <c r="H19" t="str">
        <f t="shared" si="0"/>
        <v>P-05 W-03</v>
      </c>
      <c r="J19">
        <v>17</v>
      </c>
      <c r="K19">
        <v>0</v>
      </c>
      <c r="L19">
        <v>1</v>
      </c>
    </row>
    <row r="20" spans="1:14" x14ac:dyDescent="0.25">
      <c r="A20">
        <v>18</v>
      </c>
      <c r="B20" t="s">
        <v>149</v>
      </c>
      <c r="G20" t="s">
        <v>165</v>
      </c>
      <c r="H20" t="str">
        <f t="shared" si="0"/>
        <v>P-01 W-01</v>
      </c>
      <c r="J20">
        <v>18</v>
      </c>
      <c r="K20">
        <v>0</v>
      </c>
      <c r="L20">
        <v>1</v>
      </c>
    </row>
    <row r="21" spans="1:14" x14ac:dyDescent="0.25">
      <c r="A21">
        <v>19</v>
      </c>
      <c r="B21" t="s">
        <v>149</v>
      </c>
      <c r="G21" t="s">
        <v>140</v>
      </c>
      <c r="H21" t="str">
        <f t="shared" si="0"/>
        <v>P-01 W-02</v>
      </c>
      <c r="J21">
        <v>19</v>
      </c>
      <c r="K21">
        <v>0</v>
      </c>
      <c r="L21">
        <v>1</v>
      </c>
    </row>
    <row r="22" spans="1:14" x14ac:dyDescent="0.25">
      <c r="A22">
        <v>20</v>
      </c>
      <c r="B22" t="s">
        <v>149</v>
      </c>
      <c r="G22" t="s">
        <v>142</v>
      </c>
      <c r="H22" t="str">
        <f t="shared" si="0"/>
        <v>P-01 W-03</v>
      </c>
      <c r="J22">
        <v>20</v>
      </c>
      <c r="K22">
        <v>0</v>
      </c>
      <c r="L22">
        <v>1</v>
      </c>
    </row>
    <row r="23" spans="1:14" x14ac:dyDescent="0.25">
      <c r="A23">
        <v>21</v>
      </c>
      <c r="B23" t="s">
        <v>149</v>
      </c>
      <c r="G23" t="s">
        <v>144</v>
      </c>
      <c r="H23" t="str">
        <f t="shared" si="0"/>
        <v>P-01 W-04</v>
      </c>
      <c r="J23">
        <v>21</v>
      </c>
      <c r="K23">
        <v>0</v>
      </c>
      <c r="L23">
        <v>1</v>
      </c>
    </row>
    <row r="24" spans="1:14" x14ac:dyDescent="0.25">
      <c r="A24">
        <v>22</v>
      </c>
      <c r="B24" t="s">
        <v>149</v>
      </c>
      <c r="G24" t="s">
        <v>146</v>
      </c>
      <c r="H24" t="str">
        <f t="shared" si="0"/>
        <v>P-02 W-01</v>
      </c>
      <c r="J24">
        <v>22</v>
      </c>
      <c r="K24">
        <v>0</v>
      </c>
      <c r="L24">
        <v>1</v>
      </c>
    </row>
    <row r="25" spans="1:14" x14ac:dyDescent="0.25">
      <c r="A25">
        <v>23</v>
      </c>
      <c r="B25" t="s">
        <v>138</v>
      </c>
      <c r="G25" t="s">
        <v>148</v>
      </c>
      <c r="H25" t="str">
        <f t="shared" si="0"/>
        <v>P-02 W-02</v>
      </c>
      <c r="J25">
        <v>23</v>
      </c>
      <c r="K25">
        <v>1</v>
      </c>
      <c r="L25">
        <v>1</v>
      </c>
    </row>
    <row r="26" spans="1:14" x14ac:dyDescent="0.25">
      <c r="G26" t="s">
        <v>151</v>
      </c>
      <c r="H26" t="str">
        <f t="shared" si="0"/>
        <v>P-02 W-03</v>
      </c>
    </row>
    <row r="27" spans="1:14" x14ac:dyDescent="0.25">
      <c r="G27" t="s">
        <v>153</v>
      </c>
      <c r="H27" t="str">
        <f t="shared" si="0"/>
        <v>P-02 W-04</v>
      </c>
    </row>
    <row r="28" spans="1:14" x14ac:dyDescent="0.25">
      <c r="G28" t="s">
        <v>154</v>
      </c>
      <c r="H28" t="str">
        <f t="shared" si="0"/>
        <v>P-03 W-01</v>
      </c>
    </row>
    <row r="29" spans="1:14" x14ac:dyDescent="0.25">
      <c r="G29" t="s">
        <v>155</v>
      </c>
      <c r="H29" t="str">
        <f t="shared" si="0"/>
        <v>P-03 W-02</v>
      </c>
    </row>
    <row r="30" spans="1:14" x14ac:dyDescent="0.25">
      <c r="G30" t="s">
        <v>156</v>
      </c>
      <c r="H30" t="str">
        <f t="shared" si="0"/>
        <v>P-03 W-03</v>
      </c>
    </row>
    <row r="31" spans="1:14" x14ac:dyDescent="0.25">
      <c r="G31" t="s">
        <v>157</v>
      </c>
      <c r="H31" t="str">
        <f t="shared" si="0"/>
        <v>P-03 W-04</v>
      </c>
    </row>
    <row r="32" spans="1:14" x14ac:dyDescent="0.25">
      <c r="G32" t="s">
        <v>158</v>
      </c>
      <c r="H32" t="str">
        <f t="shared" si="0"/>
        <v>P-04 W-01</v>
      </c>
    </row>
    <row r="33" spans="7:8" x14ac:dyDescent="0.25">
      <c r="G33" t="s">
        <v>159</v>
      </c>
      <c r="H33" t="str">
        <f t="shared" si="0"/>
        <v>P-04 W-02</v>
      </c>
    </row>
    <row r="34" spans="7:8" x14ac:dyDescent="0.25">
      <c r="G34" t="s">
        <v>160</v>
      </c>
      <c r="H34" t="str">
        <f t="shared" si="0"/>
        <v>P-04 W-03</v>
      </c>
    </row>
    <row r="35" spans="7:8" x14ac:dyDescent="0.25">
      <c r="G35" t="s">
        <v>161</v>
      </c>
      <c r="H35" t="str">
        <f t="shared" si="0"/>
        <v>P-04 W-04</v>
      </c>
    </row>
    <row r="36" spans="7:8" x14ac:dyDescent="0.25">
      <c r="G36" t="s">
        <v>162</v>
      </c>
      <c r="H36" t="str">
        <f t="shared" si="0"/>
        <v>P-05 W-01</v>
      </c>
    </row>
    <row r="37" spans="7:8" x14ac:dyDescent="0.25">
      <c r="G37" t="s">
        <v>163</v>
      </c>
      <c r="H37" t="s">
        <v>164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11PM-5AM</vt:lpstr>
      <vt:lpstr>Assumptions 11PM-5AM</vt:lpstr>
      <vt:lpstr>Summary 12AM-6AM</vt:lpstr>
      <vt:lpstr>Assumptions 12AM-6AM</vt:lpstr>
      <vt:lpstr>Summary Variance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Herbert</dc:creator>
  <cp:lastModifiedBy>John Herbert</cp:lastModifiedBy>
  <dcterms:created xsi:type="dcterms:W3CDTF">2017-05-17T17:32:20Z</dcterms:created>
  <dcterms:modified xsi:type="dcterms:W3CDTF">2023-02-07T23:47:43Z</dcterms:modified>
</cp:coreProperties>
</file>