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7.CAMPUS.018\Desktop\"/>
    </mc:Choice>
  </mc:AlternateContent>
  <xr:revisionPtr revIDLastSave="0" documentId="13_ncr:1_{2E2C99D2-DDA8-4BB4-B4EC-FC8127587D20}" xr6:coauthVersionLast="47" xr6:coauthVersionMax="47" xr10:uidLastSave="{00000000-0000-0000-0000-000000000000}"/>
  <bookViews>
    <workbookView xWindow="-120" yWindow="-120" windowWidth="29040" windowHeight="15840" activeTab="2" xr2:uid="{19EE711A-3283-4873-9107-9C9869A047C7}"/>
  </bookViews>
  <sheets>
    <sheet name="operacje" sheetId="1" r:id="rId1"/>
    <sheet name="kategorie" sheetId="2" r:id="rId2"/>
    <sheet name="bilans" sheetId="15" r:id="rId3"/>
    <sheet name="styczeń" sheetId="3" r:id="rId4"/>
    <sheet name="luty" sheetId="4" r:id="rId5"/>
    <sheet name="marzec" sheetId="5" r:id="rId6"/>
    <sheet name="kwiecień" sheetId="6" r:id="rId7"/>
    <sheet name="maj" sheetId="7" r:id="rId8"/>
    <sheet name="czerwiec" sheetId="8" r:id="rId9"/>
    <sheet name="lipiec" sheetId="9" r:id="rId10"/>
    <sheet name="sierpień" sheetId="10" r:id="rId11"/>
    <sheet name="wrzesień" sheetId="11" r:id="rId12"/>
    <sheet name="październik" sheetId="12" r:id="rId13"/>
    <sheet name="listopad" sheetId="13" r:id="rId14"/>
    <sheet name="grudzień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4" l="1"/>
  <c r="C30" i="14"/>
  <c r="C29" i="14"/>
  <c r="C28" i="14"/>
  <c r="C27" i="14"/>
  <c r="C26" i="14"/>
  <c r="C25" i="14"/>
  <c r="C24" i="14"/>
  <c r="C23" i="14"/>
  <c r="C21" i="14"/>
  <c r="C20" i="14"/>
  <c r="C19" i="14"/>
  <c r="C18" i="14"/>
  <c r="C17" i="14"/>
  <c r="C16" i="14"/>
  <c r="C14" i="14"/>
  <c r="C11" i="14"/>
  <c r="D8" i="14"/>
  <c r="D7" i="14"/>
  <c r="D6" i="14"/>
  <c r="D5" i="14"/>
  <c r="D4" i="14"/>
  <c r="D3" i="14"/>
  <c r="D2" i="14"/>
  <c r="D9" i="14" s="1"/>
  <c r="C31" i="13"/>
  <c r="C30" i="13"/>
  <c r="C29" i="13"/>
  <c r="C28" i="13"/>
  <c r="C27" i="13"/>
  <c r="C26" i="13"/>
  <c r="C25" i="13"/>
  <c r="C24" i="13"/>
  <c r="C23" i="13"/>
  <c r="C21" i="13"/>
  <c r="C20" i="13"/>
  <c r="C19" i="13"/>
  <c r="C18" i="13"/>
  <c r="C17" i="13"/>
  <c r="C16" i="13"/>
  <c r="C14" i="13"/>
  <c r="C11" i="13"/>
  <c r="D8" i="13"/>
  <c r="D7" i="13"/>
  <c r="D6" i="13"/>
  <c r="D5" i="13"/>
  <c r="D4" i="13"/>
  <c r="D3" i="13"/>
  <c r="D2" i="13"/>
  <c r="D9" i="13" s="1"/>
  <c r="C31" i="12"/>
  <c r="C30" i="12"/>
  <c r="C29" i="12"/>
  <c r="C28" i="12"/>
  <c r="C27" i="12"/>
  <c r="C26" i="12"/>
  <c r="C25" i="12"/>
  <c r="C24" i="12"/>
  <c r="C23" i="12"/>
  <c r="C21" i="12"/>
  <c r="C20" i="12"/>
  <c r="C19" i="12"/>
  <c r="C18" i="12"/>
  <c r="C17" i="12"/>
  <c r="C16" i="12"/>
  <c r="C14" i="12"/>
  <c r="C11" i="12"/>
  <c r="D8" i="12"/>
  <c r="D7" i="12"/>
  <c r="D6" i="12"/>
  <c r="D5" i="12"/>
  <c r="D4" i="12"/>
  <c r="D3" i="12"/>
  <c r="D2" i="12"/>
  <c r="D9" i="12" s="1"/>
  <c r="C31" i="11"/>
  <c r="C30" i="11"/>
  <c r="C29" i="11"/>
  <c r="C28" i="11"/>
  <c r="C27" i="11"/>
  <c r="C26" i="11"/>
  <c r="C25" i="11"/>
  <c r="C24" i="11"/>
  <c r="C23" i="11"/>
  <c r="C21" i="11"/>
  <c r="C20" i="11"/>
  <c r="C19" i="11"/>
  <c r="C18" i="11"/>
  <c r="C17" i="11"/>
  <c r="C16" i="11"/>
  <c r="C14" i="11"/>
  <c r="C11" i="11"/>
  <c r="D8" i="11"/>
  <c r="D7" i="11"/>
  <c r="D6" i="11"/>
  <c r="D5" i="11"/>
  <c r="D4" i="11"/>
  <c r="D3" i="11"/>
  <c r="D2" i="11"/>
  <c r="D9" i="11" s="1"/>
  <c r="C31" i="10"/>
  <c r="C30" i="10"/>
  <c r="C29" i="10"/>
  <c r="C28" i="10"/>
  <c r="C27" i="10"/>
  <c r="C26" i="10"/>
  <c r="C25" i="10"/>
  <c r="C24" i="10"/>
  <c r="C23" i="10"/>
  <c r="C21" i="10"/>
  <c r="C20" i="10"/>
  <c r="C19" i="10"/>
  <c r="C18" i="10"/>
  <c r="C22" i="10" s="1"/>
  <c r="C17" i="10"/>
  <c r="C16" i="10"/>
  <c r="C14" i="10"/>
  <c r="C11" i="10"/>
  <c r="D8" i="10"/>
  <c r="D7" i="10"/>
  <c r="D6" i="10"/>
  <c r="D5" i="10"/>
  <c r="D4" i="10"/>
  <c r="D3" i="10"/>
  <c r="D2" i="10"/>
  <c r="D9" i="10" s="1"/>
  <c r="C31" i="9"/>
  <c r="C30" i="9"/>
  <c r="C29" i="9"/>
  <c r="C28" i="9"/>
  <c r="C27" i="9"/>
  <c r="C26" i="9"/>
  <c r="C25" i="9"/>
  <c r="C24" i="9"/>
  <c r="C23" i="9"/>
  <c r="C21" i="9"/>
  <c r="C20" i="9"/>
  <c r="C19" i="9"/>
  <c r="C18" i="9"/>
  <c r="C17" i="9"/>
  <c r="C16" i="9"/>
  <c r="C14" i="9"/>
  <c r="C11" i="9"/>
  <c r="D8" i="9"/>
  <c r="D7" i="9"/>
  <c r="D6" i="9"/>
  <c r="D5" i="9"/>
  <c r="D4" i="9"/>
  <c r="D3" i="9"/>
  <c r="D2" i="9"/>
  <c r="C31" i="8"/>
  <c r="C30" i="8"/>
  <c r="C29" i="8"/>
  <c r="C28" i="8"/>
  <c r="C27" i="8"/>
  <c r="C26" i="8"/>
  <c r="C25" i="8"/>
  <c r="C24" i="8"/>
  <c r="C23" i="8"/>
  <c r="C32" i="8" s="1"/>
  <c r="C21" i="8"/>
  <c r="C20" i="8"/>
  <c r="C19" i="8"/>
  <c r="C18" i="8"/>
  <c r="C22" i="8" s="1"/>
  <c r="C17" i="8"/>
  <c r="C16" i="8"/>
  <c r="C14" i="8"/>
  <c r="C11" i="8"/>
  <c r="D8" i="8"/>
  <c r="D7" i="8"/>
  <c r="D6" i="8"/>
  <c r="D5" i="8"/>
  <c r="D4" i="8"/>
  <c r="D3" i="8"/>
  <c r="D2" i="8"/>
  <c r="D9" i="8" s="1"/>
  <c r="C31" i="7"/>
  <c r="C30" i="7"/>
  <c r="C29" i="7"/>
  <c r="C28" i="7"/>
  <c r="C27" i="7"/>
  <c r="C26" i="7"/>
  <c r="C25" i="7"/>
  <c r="C24" i="7"/>
  <c r="C23" i="7"/>
  <c r="C21" i="7"/>
  <c r="C20" i="7"/>
  <c r="C19" i="7"/>
  <c r="C18" i="7"/>
  <c r="C17" i="7"/>
  <c r="C16" i="7"/>
  <c r="C14" i="7"/>
  <c r="C11" i="7"/>
  <c r="D8" i="7"/>
  <c r="D7" i="7"/>
  <c r="D6" i="7"/>
  <c r="D5" i="7"/>
  <c r="D4" i="7"/>
  <c r="D3" i="7"/>
  <c r="D2" i="7"/>
  <c r="D9" i="7" s="1"/>
  <c r="C31" i="6"/>
  <c r="C30" i="6"/>
  <c r="C29" i="6"/>
  <c r="C28" i="6"/>
  <c r="C27" i="6"/>
  <c r="C26" i="6"/>
  <c r="C25" i="6"/>
  <c r="C24" i="6"/>
  <c r="C23" i="6"/>
  <c r="C21" i="6"/>
  <c r="C20" i="6"/>
  <c r="C19" i="6"/>
  <c r="C18" i="6"/>
  <c r="C17" i="6"/>
  <c r="C16" i="6"/>
  <c r="C14" i="6"/>
  <c r="C11" i="6"/>
  <c r="D8" i="6"/>
  <c r="D7" i="6"/>
  <c r="D6" i="6"/>
  <c r="D5" i="6"/>
  <c r="D4" i="6"/>
  <c r="D3" i="6"/>
  <c r="D2" i="6"/>
  <c r="D9" i="6" s="1"/>
  <c r="C31" i="5"/>
  <c r="C30" i="5"/>
  <c r="C29" i="5"/>
  <c r="C28" i="5"/>
  <c r="C27" i="5"/>
  <c r="C26" i="5"/>
  <c r="C25" i="5"/>
  <c r="C24" i="5"/>
  <c r="C23" i="5"/>
  <c r="C21" i="5"/>
  <c r="C20" i="5"/>
  <c r="C19" i="5"/>
  <c r="C18" i="5"/>
  <c r="C17" i="5"/>
  <c r="C16" i="5"/>
  <c r="C14" i="5"/>
  <c r="C11" i="5"/>
  <c r="D8" i="5"/>
  <c r="D7" i="5"/>
  <c r="D6" i="5"/>
  <c r="D5" i="5"/>
  <c r="D4" i="5"/>
  <c r="D3" i="5"/>
  <c r="D2" i="5"/>
  <c r="D9" i="5" s="1"/>
  <c r="C11" i="4"/>
  <c r="C11" i="3"/>
  <c r="C31" i="4"/>
  <c r="C30" i="4"/>
  <c r="C29" i="4"/>
  <c r="C28" i="4"/>
  <c r="C27" i="4"/>
  <c r="C26" i="4"/>
  <c r="C25" i="4"/>
  <c r="C24" i="4"/>
  <c r="C23" i="4"/>
  <c r="C32" i="4" s="1"/>
  <c r="C21" i="4"/>
  <c r="C20" i="4"/>
  <c r="C19" i="4"/>
  <c r="C18" i="4"/>
  <c r="C17" i="4"/>
  <c r="C16" i="4"/>
  <c r="C14" i="4"/>
  <c r="D8" i="4"/>
  <c r="D7" i="4"/>
  <c r="D6" i="4"/>
  <c r="D5" i="4"/>
  <c r="D4" i="4"/>
  <c r="D3" i="4"/>
  <c r="D9" i="4" s="1"/>
  <c r="D2" i="4"/>
  <c r="C16" i="3"/>
  <c r="C22" i="3" s="1"/>
  <c r="C17" i="3"/>
  <c r="C18" i="3"/>
  <c r="C19" i="3"/>
  <c r="C20" i="3"/>
  <c r="C21" i="3"/>
  <c r="C23" i="3"/>
  <c r="C32" i="3" s="1"/>
  <c r="C24" i="3"/>
  <c r="C25" i="3"/>
  <c r="C26" i="3"/>
  <c r="C27" i="3"/>
  <c r="C28" i="3"/>
  <c r="C29" i="3"/>
  <c r="C30" i="3"/>
  <c r="C31" i="3"/>
  <c r="C14" i="3"/>
  <c r="C9" i="3"/>
  <c r="D2" i="3"/>
  <c r="E2" i="3" s="1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C13" i="15" a="1"/>
  <c r="E13" i="15" a="1"/>
  <c r="G13" i="15" a="1"/>
  <c r="I13" i="15" a="1"/>
  <c r="K13" i="15" a="1"/>
  <c r="M13" i="15" a="1"/>
  <c r="C14" i="15" a="1"/>
  <c r="E14" i="15" a="1"/>
  <c r="G14" i="15" a="1"/>
  <c r="I14" i="15" a="1"/>
  <c r="K14" i="15" a="1"/>
  <c r="M14" i="15" a="1"/>
  <c r="D13" i="15" a="1"/>
  <c r="H13" i="15" a="1"/>
  <c r="J13" i="15" a="1"/>
  <c r="L13" i="15" a="1"/>
  <c r="N13" i="15" a="1"/>
  <c r="D14" i="15" a="1"/>
  <c r="F14" i="15" a="1"/>
  <c r="H14" i="15" a="1"/>
  <c r="J14" i="15" a="1"/>
  <c r="L14" i="15" a="1"/>
  <c r="F13" i="15" a="1"/>
  <c r="N14" i="15" a="1"/>
  <c r="D12" i="15" a="1"/>
  <c r="F12" i="15" a="1"/>
  <c r="H12" i="15" a="1"/>
  <c r="J12" i="15" a="1"/>
  <c r="L12" i="15" a="1"/>
  <c r="N12" i="15" a="1"/>
  <c r="G12" i="15" a="1"/>
  <c r="I12" i="15" a="1"/>
  <c r="K12" i="15" a="1"/>
  <c r="M12" i="15" a="1"/>
  <c r="E12" i="15" a="1"/>
  <c r="C12" i="15" a="1"/>
  <c r="C2" i="15" a="1"/>
  <c r="C4" i="15" a="1"/>
  <c r="C6" i="15" a="1"/>
  <c r="C8" i="15" a="1"/>
  <c r="C3" i="15" a="1"/>
  <c r="C5" i="15" a="1"/>
  <c r="C7" i="15" a="1"/>
  <c r="C3" i="4" a="1"/>
  <c r="C5" i="4" a="1"/>
  <c r="C7" i="4" a="1"/>
  <c r="C2" i="4" a="1"/>
  <c r="C4" i="4" a="1"/>
  <c r="C6" i="4" a="1"/>
  <c r="C8" i="4" a="1"/>
  <c r="N14" i="15" l="1"/>
  <c r="F13" i="15"/>
  <c r="L14" i="15"/>
  <c r="J14" i="15"/>
  <c r="H14" i="15"/>
  <c r="F14" i="15"/>
  <c r="D14" i="15"/>
  <c r="N13" i="15"/>
  <c r="L13" i="15"/>
  <c r="J13" i="15"/>
  <c r="H13" i="15"/>
  <c r="D13" i="15"/>
  <c r="M14" i="15"/>
  <c r="K14" i="15"/>
  <c r="I14" i="15"/>
  <c r="G14" i="15"/>
  <c r="E14" i="15"/>
  <c r="C14" i="15"/>
  <c r="M13" i="15"/>
  <c r="K13" i="15"/>
  <c r="I13" i="15"/>
  <c r="G13" i="15"/>
  <c r="E13" i="15"/>
  <c r="C13" i="15"/>
  <c r="E12" i="15"/>
  <c r="M12" i="15"/>
  <c r="M15" i="15" s="1"/>
  <c r="K12" i="15"/>
  <c r="I12" i="15"/>
  <c r="G12" i="15"/>
  <c r="N12" i="15"/>
  <c r="L12" i="15"/>
  <c r="L15" i="15" s="1"/>
  <c r="J12" i="15"/>
  <c r="J15" i="15" s="1"/>
  <c r="H12" i="15"/>
  <c r="F12" i="15"/>
  <c r="F15" i="15" s="1"/>
  <c r="D12" i="15"/>
  <c r="C12" i="15"/>
  <c r="C7" i="15"/>
  <c r="C5" i="15"/>
  <c r="C3" i="15"/>
  <c r="C8" i="15"/>
  <c r="C6" i="15"/>
  <c r="C4" i="15"/>
  <c r="C2" i="15"/>
  <c r="C22" i="14"/>
  <c r="C32" i="14"/>
  <c r="C15" i="14"/>
  <c r="C33" i="14" s="1"/>
  <c r="C22" i="13"/>
  <c r="C32" i="13"/>
  <c r="C15" i="13"/>
  <c r="C33" i="13" s="1"/>
  <c r="C22" i="12"/>
  <c r="C32" i="12"/>
  <c r="C15" i="12"/>
  <c r="C22" i="11"/>
  <c r="C32" i="11"/>
  <c r="C15" i="11"/>
  <c r="C33" i="11" s="1"/>
  <c r="C32" i="10"/>
  <c r="C15" i="10"/>
  <c r="C33" i="10" s="1"/>
  <c r="D9" i="9"/>
  <c r="C22" i="9"/>
  <c r="C32" i="9"/>
  <c r="C15" i="9"/>
  <c r="C33" i="9" s="1"/>
  <c r="C15" i="8"/>
  <c r="C33" i="8" s="1"/>
  <c r="C22" i="7"/>
  <c r="C32" i="7"/>
  <c r="C15" i="7"/>
  <c r="C33" i="7" s="1"/>
  <c r="C22" i="6"/>
  <c r="C32" i="6"/>
  <c r="C15" i="6"/>
  <c r="C33" i="6" s="1"/>
  <c r="C22" i="5"/>
  <c r="C32" i="5"/>
  <c r="C15" i="5"/>
  <c r="C33" i="5" s="1"/>
  <c r="C8" i="4"/>
  <c r="E8" i="4" s="1"/>
  <c r="C6" i="4"/>
  <c r="E6" i="4" s="1"/>
  <c r="C4" i="4"/>
  <c r="E4" i="4" s="1"/>
  <c r="C2" i="4"/>
  <c r="C7" i="4"/>
  <c r="E7" i="4" s="1"/>
  <c r="C5" i="4"/>
  <c r="E5" i="4" s="1"/>
  <c r="C3" i="4"/>
  <c r="E3" i="4" s="1"/>
  <c r="C22" i="4"/>
  <c r="C15" i="4"/>
  <c r="C15" i="3"/>
  <c r="C33" i="3" s="1"/>
  <c r="E9" i="3"/>
  <c r="D9" i="3"/>
  <c r="D6" i="15" a="1"/>
  <c r="D5" i="15" a="1"/>
  <c r="D4" i="15" a="1"/>
  <c r="D3" i="15" a="1"/>
  <c r="D8" i="15" a="1"/>
  <c r="D7" i="15" a="1"/>
  <c r="C5" i="5" a="1"/>
  <c r="C4" i="5" a="1"/>
  <c r="C3" i="5" a="1"/>
  <c r="C6" i="5" a="1"/>
  <c r="C8" i="5" a="1"/>
  <c r="C7" i="5" a="1"/>
  <c r="K15" i="15" l="1"/>
  <c r="I15" i="15"/>
  <c r="H15" i="15"/>
  <c r="G15" i="15"/>
  <c r="E15" i="15"/>
  <c r="C15" i="15"/>
  <c r="D15" i="15"/>
  <c r="N15" i="15"/>
  <c r="C9" i="15"/>
  <c r="D7" i="15"/>
  <c r="D8" i="15"/>
  <c r="D3" i="15"/>
  <c r="D4" i="15"/>
  <c r="D5" i="15"/>
  <c r="D6" i="15"/>
  <c r="C33" i="12"/>
  <c r="C7" i="5"/>
  <c r="E7" i="5" s="1"/>
  <c r="C8" i="5"/>
  <c r="E8" i="5" s="1"/>
  <c r="C6" i="5"/>
  <c r="E6" i="5" s="1"/>
  <c r="C3" i="5"/>
  <c r="E3" i="5" s="1"/>
  <c r="C4" i="5"/>
  <c r="E4" i="5" s="1"/>
  <c r="C5" i="5"/>
  <c r="E5" i="5" s="1"/>
  <c r="C9" i="4"/>
  <c r="E2" i="4"/>
  <c r="C33" i="4"/>
  <c r="E8" i="15" a="1"/>
  <c r="E5" i="15" a="1"/>
  <c r="E6" i="15" a="1"/>
  <c r="D2" i="15" a="1"/>
  <c r="E4" i="15" a="1"/>
  <c r="E3" i="15" a="1"/>
  <c r="E7" i="15" a="1"/>
  <c r="C6" i="6" a="1"/>
  <c r="C3" i="6" a="1"/>
  <c r="C7" i="6" a="1"/>
  <c r="C4" i="6" a="1"/>
  <c r="C8" i="6" a="1"/>
  <c r="C5" i="6" a="1"/>
  <c r="C2" i="5" a="1"/>
  <c r="E7" i="15" l="1"/>
  <c r="E3" i="15"/>
  <c r="E4" i="15"/>
  <c r="D2" i="15"/>
  <c r="D9" i="15" s="1"/>
  <c r="E6" i="15"/>
  <c r="E5" i="15"/>
  <c r="E8" i="15"/>
  <c r="C5" i="6"/>
  <c r="E5" i="6" s="1"/>
  <c r="C8" i="6"/>
  <c r="E8" i="6" s="1"/>
  <c r="C4" i="6"/>
  <c r="E4" i="6" s="1"/>
  <c r="C7" i="6"/>
  <c r="E7" i="6" s="1"/>
  <c r="C3" i="6"/>
  <c r="E3" i="6" s="1"/>
  <c r="C6" i="6"/>
  <c r="E6" i="6" s="1"/>
  <c r="C2" i="5"/>
  <c r="E9" i="4"/>
  <c r="F8" i="15" a="1"/>
  <c r="F6" i="15" a="1"/>
  <c r="F7" i="15" a="1"/>
  <c r="F3" i="15" a="1"/>
  <c r="F4" i="15" a="1"/>
  <c r="F5" i="15" a="1"/>
  <c r="C4" i="7" a="1"/>
  <c r="C7" i="7" a="1"/>
  <c r="C5" i="7" a="1"/>
  <c r="C3" i="7" a="1"/>
  <c r="C8" i="7" a="1"/>
  <c r="C6" i="7" a="1"/>
  <c r="F5" i="15" l="1"/>
  <c r="F4" i="15"/>
  <c r="F3" i="15"/>
  <c r="F7" i="15"/>
  <c r="F6" i="15"/>
  <c r="F8" i="15"/>
  <c r="C6" i="7"/>
  <c r="E6" i="7" s="1"/>
  <c r="C8" i="7"/>
  <c r="E8" i="7" s="1"/>
  <c r="C3" i="7"/>
  <c r="E3" i="7" s="1"/>
  <c r="C5" i="7"/>
  <c r="E5" i="7" s="1"/>
  <c r="C7" i="7"/>
  <c r="E7" i="7" s="1"/>
  <c r="C4" i="7"/>
  <c r="E4" i="7" s="1"/>
  <c r="E2" i="5"/>
  <c r="C9" i="5"/>
  <c r="G3" i="15" a="1"/>
  <c r="E2" i="15" a="1"/>
  <c r="G5" i="15" a="1"/>
  <c r="G4" i="15" a="1"/>
  <c r="G6" i="15" a="1"/>
  <c r="G7" i="15" a="1"/>
  <c r="G8" i="15" a="1"/>
  <c r="C3" i="8" a="1"/>
  <c r="C6" i="8" a="1"/>
  <c r="C8" i="8" a="1"/>
  <c r="C5" i="8" a="1"/>
  <c r="C7" i="8" a="1"/>
  <c r="C4" i="8" a="1"/>
  <c r="C2" i="6" a="1"/>
  <c r="G8" i="15" l="1"/>
  <c r="G7" i="15"/>
  <c r="G6" i="15"/>
  <c r="G4" i="15"/>
  <c r="G5" i="15"/>
  <c r="E2" i="15"/>
  <c r="E9" i="15" s="1"/>
  <c r="G3" i="15"/>
  <c r="C4" i="8"/>
  <c r="E4" i="8" s="1"/>
  <c r="C7" i="8"/>
  <c r="E7" i="8" s="1"/>
  <c r="C5" i="8"/>
  <c r="E5" i="8" s="1"/>
  <c r="C8" i="8"/>
  <c r="E8" i="8" s="1"/>
  <c r="C6" i="8"/>
  <c r="E6" i="8" s="1"/>
  <c r="C3" i="8"/>
  <c r="E3" i="8" s="1"/>
  <c r="C2" i="6"/>
  <c r="E9" i="5"/>
  <c r="H7" i="15" a="1"/>
  <c r="H3" i="15" a="1"/>
  <c r="H4" i="15" a="1"/>
  <c r="H5" i="15" a="1"/>
  <c r="H6" i="15" a="1"/>
  <c r="H8" i="15" a="1"/>
  <c r="C8" i="9" a="1"/>
  <c r="C4" i="9" a="1"/>
  <c r="C6" i="9" a="1"/>
  <c r="C7" i="9" a="1"/>
  <c r="C3" i="9" a="1"/>
  <c r="C5" i="9" a="1"/>
  <c r="H8" i="15" l="1"/>
  <c r="H6" i="15"/>
  <c r="H5" i="15"/>
  <c r="H4" i="15"/>
  <c r="H3" i="15"/>
  <c r="H7" i="15"/>
  <c r="C5" i="9"/>
  <c r="E5" i="9" s="1"/>
  <c r="C3" i="9"/>
  <c r="E3" i="9" s="1"/>
  <c r="C7" i="9"/>
  <c r="E7" i="9" s="1"/>
  <c r="C6" i="9"/>
  <c r="E6" i="9" s="1"/>
  <c r="C4" i="9"/>
  <c r="E4" i="9" s="1"/>
  <c r="C8" i="9"/>
  <c r="E8" i="9" s="1"/>
  <c r="E2" i="6"/>
  <c r="C9" i="6"/>
  <c r="I7" i="15" a="1"/>
  <c r="F2" i="15" a="1"/>
  <c r="I6" i="15" a="1"/>
  <c r="I5" i="15" a="1"/>
  <c r="I4" i="15" a="1"/>
  <c r="I3" i="15" a="1"/>
  <c r="I8" i="15" a="1"/>
  <c r="C7" i="10" a="1"/>
  <c r="C6" i="10" a="1"/>
  <c r="C5" i="10" a="1"/>
  <c r="C4" i="10" a="1"/>
  <c r="C3" i="10" a="1"/>
  <c r="C8" i="10" a="1"/>
  <c r="C2" i="7" a="1"/>
  <c r="I8" i="15" l="1"/>
  <c r="I3" i="15"/>
  <c r="I4" i="15"/>
  <c r="I5" i="15"/>
  <c r="I6" i="15"/>
  <c r="F2" i="15"/>
  <c r="F9" i="15" s="1"/>
  <c r="I7" i="15"/>
  <c r="C8" i="10"/>
  <c r="E8" i="10" s="1"/>
  <c r="C3" i="10"/>
  <c r="E3" i="10" s="1"/>
  <c r="C4" i="10"/>
  <c r="E4" i="10" s="1"/>
  <c r="C5" i="10"/>
  <c r="E5" i="10" s="1"/>
  <c r="C6" i="10"/>
  <c r="E6" i="10" s="1"/>
  <c r="C7" i="10"/>
  <c r="E7" i="10" s="1"/>
  <c r="C2" i="7"/>
  <c r="E9" i="6"/>
  <c r="J3" i="15" a="1"/>
  <c r="J7" i="15" a="1"/>
  <c r="J6" i="15" a="1"/>
  <c r="J4" i="15" a="1"/>
  <c r="J8" i="15" a="1"/>
  <c r="J5" i="15" a="1"/>
  <c r="C4" i="11" a="1"/>
  <c r="C8" i="11" a="1"/>
  <c r="C6" i="11" a="1"/>
  <c r="C3" i="11" a="1"/>
  <c r="C7" i="11" a="1"/>
  <c r="C5" i="11" a="1"/>
  <c r="J5" i="15" l="1"/>
  <c r="J8" i="15"/>
  <c r="J4" i="15"/>
  <c r="J6" i="15"/>
  <c r="J7" i="15"/>
  <c r="J3" i="15"/>
  <c r="C5" i="11"/>
  <c r="E5" i="11" s="1"/>
  <c r="C7" i="11"/>
  <c r="E7" i="11" s="1"/>
  <c r="C3" i="11"/>
  <c r="E3" i="11" s="1"/>
  <c r="C6" i="11"/>
  <c r="E6" i="11" s="1"/>
  <c r="C8" i="11"/>
  <c r="E8" i="11" s="1"/>
  <c r="C4" i="11"/>
  <c r="E4" i="11" s="1"/>
  <c r="E2" i="7"/>
  <c r="C9" i="7"/>
  <c r="K3" i="15" a="1"/>
  <c r="G2" i="15" a="1"/>
  <c r="K6" i="15" a="1"/>
  <c r="K7" i="15" a="1"/>
  <c r="K5" i="15" a="1"/>
  <c r="K8" i="15" a="1"/>
  <c r="K4" i="15" a="1"/>
  <c r="C3" i="12" a="1"/>
  <c r="C6" i="12" a="1"/>
  <c r="C8" i="12" a="1"/>
  <c r="C7" i="12" a="1"/>
  <c r="C4" i="12" a="1"/>
  <c r="C5" i="12" a="1"/>
  <c r="C2" i="8" a="1"/>
  <c r="K4" i="15" l="1"/>
  <c r="K8" i="15"/>
  <c r="K5" i="15"/>
  <c r="K7" i="15"/>
  <c r="K6" i="15"/>
  <c r="G2" i="15"/>
  <c r="G9" i="15" s="1"/>
  <c r="K3" i="15"/>
  <c r="C5" i="12"/>
  <c r="E5" i="12" s="1"/>
  <c r="C4" i="12"/>
  <c r="E4" i="12" s="1"/>
  <c r="C7" i="12"/>
  <c r="E7" i="12" s="1"/>
  <c r="C8" i="12"/>
  <c r="E8" i="12" s="1"/>
  <c r="C6" i="12"/>
  <c r="E6" i="12" s="1"/>
  <c r="C3" i="12"/>
  <c r="E3" i="12" s="1"/>
  <c r="C2" i="8"/>
  <c r="E9" i="7"/>
  <c r="L4" i="15" a="1"/>
  <c r="L3" i="15" a="1"/>
  <c r="L8" i="15" a="1"/>
  <c r="L5" i="15" a="1"/>
  <c r="L7" i="15" a="1"/>
  <c r="L6" i="15" a="1"/>
  <c r="C5" i="13" a="1"/>
  <c r="C6" i="13" a="1"/>
  <c r="C4" i="13" a="1"/>
  <c r="C3" i="13" a="1"/>
  <c r="C7" i="13" a="1"/>
  <c r="C8" i="13" a="1"/>
  <c r="L6" i="15" l="1"/>
  <c r="L7" i="15"/>
  <c r="L5" i="15"/>
  <c r="L8" i="15"/>
  <c r="L3" i="15"/>
  <c r="L4" i="15"/>
  <c r="C8" i="13"/>
  <c r="E8" i="13" s="1"/>
  <c r="C7" i="13"/>
  <c r="E7" i="13" s="1"/>
  <c r="C3" i="13"/>
  <c r="E3" i="13" s="1"/>
  <c r="C4" i="13"/>
  <c r="E4" i="13" s="1"/>
  <c r="C6" i="13"/>
  <c r="E6" i="13" s="1"/>
  <c r="C5" i="13"/>
  <c r="E5" i="13" s="1"/>
  <c r="E2" i="8"/>
  <c r="C9" i="8"/>
  <c r="M3" i="15" a="1"/>
  <c r="H2" i="15" a="1"/>
  <c r="M7" i="15" a="1"/>
  <c r="M4" i="15" a="1"/>
  <c r="M8" i="15" a="1"/>
  <c r="M6" i="15" a="1"/>
  <c r="M5" i="15" a="1"/>
  <c r="C7" i="14" a="1"/>
  <c r="C5" i="14" a="1"/>
  <c r="C3" i="14" a="1"/>
  <c r="C4" i="14" a="1"/>
  <c r="C8" i="14" a="1"/>
  <c r="C6" i="14" a="1"/>
  <c r="C2" i="9" a="1"/>
  <c r="M5" i="15" l="1"/>
  <c r="M6" i="15"/>
  <c r="M8" i="15"/>
  <c r="M4" i="15"/>
  <c r="M7" i="15"/>
  <c r="H2" i="15"/>
  <c r="H9" i="15" s="1"/>
  <c r="M3" i="15"/>
  <c r="C6" i="14"/>
  <c r="E6" i="14" s="1"/>
  <c r="C8" i="14"/>
  <c r="E8" i="14" s="1"/>
  <c r="C4" i="14"/>
  <c r="E4" i="14" s="1"/>
  <c r="C3" i="14"/>
  <c r="E3" i="14" s="1"/>
  <c r="C5" i="14"/>
  <c r="E5" i="14" s="1"/>
  <c r="C7" i="14"/>
  <c r="E7" i="14" s="1"/>
  <c r="C2" i="9"/>
  <c r="E9" i="8"/>
  <c r="N8" i="15" a="1"/>
  <c r="N7" i="15" a="1"/>
  <c r="N5" i="15" a="1"/>
  <c r="N4" i="15" a="1"/>
  <c r="N3" i="15" a="1"/>
  <c r="N6" i="15" a="1"/>
  <c r="N6" i="15" l="1"/>
  <c r="N3" i="15"/>
  <c r="N4" i="15"/>
  <c r="N5" i="15"/>
  <c r="N7" i="15"/>
  <c r="N8" i="15"/>
  <c r="C9" i="9"/>
  <c r="E2" i="9"/>
  <c r="I2" i="15" a="1"/>
  <c r="C2" i="10" a="1"/>
  <c r="I2" i="15" l="1"/>
  <c r="I9" i="15" s="1"/>
  <c r="C2" i="10"/>
  <c r="E9" i="9"/>
  <c r="E2" i="10" l="1"/>
  <c r="C9" i="10"/>
  <c r="J2" i="15" a="1"/>
  <c r="C2" i="11" a="1"/>
  <c r="J2" i="15" l="1"/>
  <c r="J9" i="15" s="1"/>
  <c r="C2" i="11"/>
  <c r="E9" i="10"/>
  <c r="E2" i="11" l="1"/>
  <c r="C9" i="11"/>
  <c r="K2" i="15" a="1"/>
  <c r="C2" i="12" a="1"/>
  <c r="K2" i="15" l="1"/>
  <c r="K9" i="15" s="1"/>
  <c r="C2" i="12"/>
  <c r="E9" i="11"/>
  <c r="E2" i="12" l="1"/>
  <c r="C9" i="12"/>
  <c r="L2" i="15" a="1"/>
  <c r="C2" i="13" a="1"/>
  <c r="L2" i="15" l="1"/>
  <c r="L9" i="15" s="1"/>
  <c r="C2" i="13"/>
  <c r="E9" i="12"/>
  <c r="E2" i="13" l="1"/>
  <c r="C9" i="13"/>
  <c r="M2" i="15" a="1"/>
  <c r="C2" i="14" a="1"/>
  <c r="M2" i="15" l="1"/>
  <c r="M9" i="15" s="1"/>
  <c r="C2" i="14"/>
  <c r="E9" i="13"/>
  <c r="E2" i="14" l="1"/>
  <c r="C9" i="14"/>
  <c r="N2" i="15" a="1"/>
  <c r="N2" i="15" l="1"/>
  <c r="N9" i="15" s="1"/>
  <c r="E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<sst xmlns="http://schemas.openxmlformats.org/spreadsheetml/2006/main" count="1463" uniqueCount="68">
  <si>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</si>
  <si>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</si>
  <si>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</si>
  <si>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</si>
  <si>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</si>
  <si>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</si>
  <si>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</si>
  <si>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</si>
  <si>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</si>
  <si>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</si>
  <si>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</si>
  <si>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</si>
  <si>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</si>
  <si>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</si>
  <si>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</si>
  <si>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</si>
  <si>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</si>
  <si>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</si>
  <si>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</si>
  <si>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</si>
  <si>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</si>
  <si>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</si>
  <si>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</si>
  <si>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</si>
  <si>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</si>
  <si>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</si>
  <si>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</si>
  <si>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</si>
  <si>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</si>
  <si>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</si>
  <si>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</si>
  <si>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</si>
  <si>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Darowizny</t>
  </si>
  <si>
    <t>Świadczenia</t>
  </si>
  <si>
    <t>Transfer</t>
  </si>
  <si>
    <t>Saldo początkowe</t>
  </si>
  <si>
    <t>Operacje</t>
  </si>
  <si>
    <t>Saldo końcowe</t>
  </si>
  <si>
    <t>Suma</t>
  </si>
  <si>
    <t>Transfer Suma</t>
  </si>
  <si>
    <t>Wpływy Suma</t>
  </si>
  <si>
    <t>Wydatki Suma</t>
  </si>
  <si>
    <t>Suma końcowa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</si>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</sst>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zł&quot;;[Red]\-#,##0.00\ &quot;zł&quot;"/>
    <numFmt numFmtId="164" formatCode="#,##0.00\ &quot;zł&quot;"/>
    <numFmt numFmtId="165" formatCode="#,##0.0\ &quot;zł&quot;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Aptos Narrow"/>
      <family val="2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5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5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0" fontId="0" fillId="4" borderId="0" xfId="0" applyFont="1" applyFill="1"/>
    <xf numFmtId="0" fontId="0" fillId="0" borderId="0" xfId="0" applyFont="1"/>
    <xf numFmtId="0" fontId="0" fillId="0" borderId="2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3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0" borderId="5" xfId="0" applyFont="1" applyBorder="1"/>
    <xf numFmtId="0" fontId="1" fillId="0" borderId="6" xfId="0" applyFont="1" applyBorder="1"/>
    <xf numFmtId="164" fontId="0" fillId="0" borderId="0" xfId="0" applyNumberFormat="1"/>
    <xf numFmtId="0" fontId="2" fillId="4" borderId="0" xfId="0" applyFont="1" applyFill="1"/>
    <xf numFmtId="0" fontId="0" fillId="0" borderId="0" xfId="0" applyFont="1" applyBorder="1"/>
    <xf numFmtId="0" fontId="2" fillId="0" borderId="0" xfId="0" applyFont="1" applyBorder="1"/>
    <xf numFmtId="165" fontId="0" fillId="0" borderId="0" xfId="0" applyNumberFormat="1"/>
  </cellXfs>
  <cellStyles count="1">
    <cellStyle name="Normalny" xfId="0" builtinId="0"/>
  </cellStyles>
  <dxfs count="109"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5" formatCode="#,##0.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theme="6"/>
          <bgColor theme="6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6C1D7-8019-44A2-9C8F-C35CC22955DA}" name="operacje" displayName="operacje" ref="A1:G207" totalsRowShown="0" headerRowDxfId="108" dataDxfId="107">
  <autoFilter ref="A1:G207" xr:uid="{7016C1D7-8019-44A2-9C8F-C35CC22955DA}"/>
  <tableColumns count="7">
    <tableColumn id="1" xr3:uid="{A7BF5FD6-E7F6-49E7-BD70-F1607EF1F3EB}" name="Kwota" dataDxfId="106"/>
    <tableColumn id="2" xr3:uid="{9A816B60-D756-4164-83F3-B75575C50269}" name="Bank" dataDxfId="105"/>
    <tableColumn id="3" xr3:uid="{3FFAAE4E-EC70-4761-AADA-42A5F290CA36}" name="Produkt" dataDxfId="104"/>
    <tableColumn id="4" xr3:uid="{B1B81941-7C77-41CF-A6BC-6FFD3BA7E61E}" name="Kategoria" dataDxfId="103"/>
    <tableColumn id="5" xr3:uid="{AB245718-9864-4D82-A5EC-40CD6DE88CEB}" name="Typ" dataDxfId="102">
      <calculatedColumnFormula>_xlfn.XLOOKUP(operacje[[#This Row],[Kategoria]],kategorie[Kategoria],kategorie[Typ],"",0)</calculatedColumnFormula>
    </tableColumn>
    <tableColumn id="6" xr3:uid="{A88DF091-A59B-4D13-B4CC-B9116A9EE463}" name="Data" dataDxfId="101"/>
    <tableColumn id="7" xr3:uid="{88DAA4E4-A227-4185-99AB-DFD2DBFFDA3A}" name="Miesiąc" dataDxfId="100">
      <calculatedColumnFormula>IF(ISBLANK(operacje[[#This Row],[Data]]),,MONTH(operacje[[#This Row],[Data]]))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AC56F-D90F-4239-916C-7392ACBA218B}" name="kategorie" displayName="kategorie" ref="A1:B17" totalsRowShown="0">
  <autoFilter ref="A1:B17" xr:uid="{615AC56F-D90F-4239-916C-7392ACBA218B}"/>
  <tableColumns count="2">
    <tableColumn id="1" xr3:uid="{B33EED79-9524-4099-9718-3C1223C19CBC}" name="Kategoria"/>
    <tableColumn id="2" xr3:uid="{B89640C2-4605-4DAA-8E21-4656DE6E3FFF}" name="Typ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47AD91-F01E-45AB-B3F5-7767CF6F6AFF}" name="produkty" displayName="produkty" ref="I1:J8" totalsRowShown="0" headerRowDxfId="96" dataDxfId="94" headerRowBorderDxfId="95" tableBorderDxfId="93" totalsRowBorderDxfId="92">
  <autoFilter ref="I1:J8" xr:uid="{B147AD91-F01E-45AB-B3F5-7767CF6F6AFF}"/>
  <sortState xmlns:xlrd2="http://schemas.microsoft.com/office/spreadsheetml/2017/richdata2" ref="I2:J8">
    <sortCondition ref="I2:I8"/>
    <sortCondition ref="J2:J8"/>
  </sortState>
  <tableColumns count="2">
    <tableColumn id="1" xr3:uid="{AF8E4BF8-A7D3-4449-9119-B183711D20A5}" name="Bank" dataDxfId="91"/>
    <tableColumn id="2" xr3:uid="{616C5DC9-0BC1-47E2-9F9F-0F0E3394B68B}" name="Produkt" dataDxfId="9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8EB288-FDC8-4EA5-B18D-EA3A67E20B4D}" name="saldo" displayName="saldo" ref="A1:N9" totalsRowCount="1">
  <autoFilter ref="A1:N8" xr:uid="{098EB288-FDC8-4EA5-B18D-EA3A67E20B4D}"/>
  <tableColumns count="14">
    <tableColumn id="1" xr3:uid="{FDAAA82A-2597-461B-858A-D765C912440F}" name="Bank" totalsRowLabel="Suma"/>
    <tableColumn id="2" xr3:uid="{7BD9751A-5795-4EDE-8A71-6555A2E425DD}" name="Produkt"/>
    <tableColumn id="3" xr3:uid="{2B6B2577-701B-4EC4-BB3A-564A017A6566}" name="Styczeń" totalsRowFunction="sum" dataDxfId="23">
      <calculatedColumnFormula array="1">INDIRECT(saldo[[#Headers],[Styczeń]]&amp;"_saldo[@[Saldo Końcowe]]")</calculatedColumnFormula>
    </tableColumn>
    <tableColumn id="4" xr3:uid="{C6637F60-EAF7-4C38-89AB-0EA8C3845291}" name="Luty" totalsRowFunction="sum" dataDxfId="22">
      <calculatedColumnFormula array="1">INDIRECT(saldo[[#Headers],[Luty]]&amp;"_saldo[@[Saldo Końcowe]]")</calculatedColumnFormula>
    </tableColumn>
    <tableColumn id="5" xr3:uid="{BD0E5B1F-9300-4C2F-B73A-39C9D5DB8275}" name="Marzec" totalsRowFunction="sum" dataDxfId="21">
      <calculatedColumnFormula array="1">INDIRECT(saldo[[#Headers],[Marzec]]&amp;"_saldo[@[Saldo Końcowe]]")</calculatedColumnFormula>
    </tableColumn>
    <tableColumn id="6" xr3:uid="{39C596E9-2A5E-4F30-8F1F-C8A8FB66AEED}" name="Kwiecień" totalsRowFunction="sum" dataDxfId="20">
      <calculatedColumnFormula array="1">INDIRECT(saldo[[#Headers],[Kwiecień]]&amp;"_saldo[@[Saldo Końcowe]]")</calculatedColumnFormula>
    </tableColumn>
    <tableColumn id="7" xr3:uid="{4A9E3F57-0962-477A-8500-CB678DB8B072}" name="Maj" totalsRowFunction="sum" dataDxfId="19">
      <calculatedColumnFormula array="1">INDIRECT(saldo[[#Headers],[Maj]]&amp;"_saldo[@[Saldo Końcowe]]")</calculatedColumnFormula>
    </tableColumn>
    <tableColumn id="8" xr3:uid="{B7650E66-8675-41A1-AE06-F32335D7BD89}" name="Czerwiec" totalsRowFunction="sum" dataDxfId="18">
      <calculatedColumnFormula array="1">INDIRECT(saldo[[#Headers],[Czerwiec]]&amp;"_saldo[@[Saldo Końcowe]]")</calculatedColumnFormula>
    </tableColumn>
    <tableColumn id="9" xr3:uid="{B47B8FBE-DEC3-42B2-B991-5886E1714CF2}" name="Lipiec" totalsRowFunction="sum" dataDxfId="17">
      <calculatedColumnFormula array="1">INDIRECT(saldo[[#Headers],[Lipiec]]&amp;"_saldo[@[Saldo Końcowe]]")</calculatedColumnFormula>
    </tableColumn>
    <tableColumn id="10" xr3:uid="{A129387D-5861-426F-AAEA-3CB1DB8CD5B1}" name="Sierpień" totalsRowFunction="sum" dataDxfId="16">
      <calculatedColumnFormula array="1">INDIRECT(saldo[[#Headers],[Sierpień]]&amp;"_saldo[@[Saldo Końcowe]]")</calculatedColumnFormula>
    </tableColumn>
    <tableColumn id="11" xr3:uid="{602D08E9-6B4D-4566-8AE7-CD745B285571}" name="Wrzesień" totalsRowFunction="sum" dataDxfId="15">
      <calculatedColumnFormula array="1">INDIRECT(saldo[[#Headers],[Wrzesień]]&amp;"_saldo[@[Saldo Końcowe]]")</calculatedColumnFormula>
    </tableColumn>
    <tableColumn id="12" xr3:uid="{C14C5703-3E1E-45C1-8FDF-1C56830225FE}" name="Październik" totalsRowFunction="sum" dataDxfId="14">
      <calculatedColumnFormula array="1">INDIRECT(saldo[[#Headers],[Październik]]&amp;"_saldo[@[Saldo Końcowe]]")</calculatedColumnFormula>
    </tableColumn>
    <tableColumn id="13" xr3:uid="{CD2B936A-7303-4ABB-BFDD-63DA2AFFDDC5}" name="Listopad" totalsRowFunction="sum" dataDxfId="13">
      <calculatedColumnFormula array="1">INDIRECT(saldo[[#Headers],[Listopad]]&amp;"_saldo[@[Saldo Końcowe]]")</calculatedColumnFormula>
    </tableColumn>
    <tableColumn id="14" xr3:uid="{7DBF0510-26EE-452C-823E-6C342EE0BF11}" name="Grudzień" totalsRowFunction="sum" dataDxfId="12">
      <calculatedColumnFormula array="1">INDIRECT(saldo[[#Headers],[Grudzień]]&amp;"_saldo[@[Saldo Końcowe]]")</calculatedColumnFormula>
    </tableColumn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577B9DD-8DC8-4112-B37F-9FC36F394F04}" name="Tabela17" displayName="Tabela17" ref="B11:N15" totalsRowCount="1">
  <autoFilter ref="B11:N14" xr:uid="{3577B9DD-8DC8-4112-B37F-9FC36F394F04}"/>
  <tableColumns count="13">
    <tableColumn id="1" xr3:uid="{A46412E2-6D3D-46D3-A906-0C34FF8A7CFA}" name="Kolumna1" totalsRowLabel="Suma"/>
    <tableColumn id="2" xr3:uid="{DCDD2047-1D4B-448C-B648-29CB97C4FB31}" name="Styczeń" totalsRowFunction="sum" dataDxfId="11">
      <calculatedColumnFormula array="1">_xlfn.XLOOKUP($B12&amp;" Suma",INDIRECT(C$11&amp;"!$B$14:$B$32"),INDIRECT(C$11&amp;"!$C$14:$C$32"))</calculatedColumnFormula>
    </tableColumn>
    <tableColumn id="3" xr3:uid="{AE0635AF-4211-4440-827B-16FC5134EA98}" name="Luty" totalsRowFunction="sum" dataDxfId="10">
      <calculatedColumnFormula array="1">_xlfn.XLOOKUP($B12&amp;" Suma",INDIRECT(D$11&amp;"!$B$14:$B$32"),INDIRECT(D$11&amp;"!$C$14:$C$32"))</calculatedColumnFormula>
    </tableColumn>
    <tableColumn id="4" xr3:uid="{9AA11C9A-90FF-4168-B6BC-681CF1E5337E}" name="Marzec" totalsRowFunction="sum" dataDxfId="9">
      <calculatedColumnFormula array="1">_xlfn.XLOOKUP($B12&amp;" Suma",INDIRECT(E$11&amp;"!$B$14:$B$32"),INDIRECT(E$11&amp;"!$C$14:$C$32"))</calculatedColumnFormula>
    </tableColumn>
    <tableColumn id="5" xr3:uid="{18BDBADB-DDDE-427E-A32B-F81760D61402}" name="Kwiecień" totalsRowFunction="sum" dataDxfId="8">
      <calculatedColumnFormula array="1">_xlfn.XLOOKUP($B12&amp;" Suma",INDIRECT(F$11&amp;"!$B$14:$B$32"),INDIRECT(F$11&amp;"!$C$14:$C$32"))</calculatedColumnFormula>
    </tableColumn>
    <tableColumn id="6" xr3:uid="{E1AE1004-67FA-40B6-8448-6BBB62A4F381}" name="Maj" totalsRowFunction="sum" dataDxfId="7">
      <calculatedColumnFormula array="1">_xlfn.XLOOKUP($B12&amp;" Suma",INDIRECT(G$11&amp;"!$B$14:$B$32"),INDIRECT(G$11&amp;"!$C$14:$C$32"))</calculatedColumnFormula>
    </tableColumn>
    <tableColumn id="7" xr3:uid="{B9788DED-F9A0-4FF2-A657-E016BA3CBB54}" name="Czerwiec" totalsRowFunction="sum" dataDxfId="6">
      <calculatedColumnFormula array="1">_xlfn.XLOOKUP($B12&amp;" Suma",INDIRECT(H$11&amp;"!$B$14:$B$32"),INDIRECT(H$11&amp;"!$C$14:$C$32"))</calculatedColumnFormula>
    </tableColumn>
    <tableColumn id="8" xr3:uid="{E1A5D125-25F7-46CE-8B1C-2EE7335D55D0}" name="Lipiec" totalsRowFunction="sum" dataDxfId="5">
      <calculatedColumnFormula array="1">_xlfn.XLOOKUP($B12&amp;" Suma",INDIRECT(I$11&amp;"!$B$14:$B$32"),INDIRECT(I$11&amp;"!$C$14:$C$32"))</calculatedColumnFormula>
    </tableColumn>
    <tableColumn id="9" xr3:uid="{261CAC99-1626-47BD-96D6-BAB3D657CE9C}" name="Sierpień" totalsRowFunction="sum" dataDxfId="4">
      <calculatedColumnFormula array="1">_xlfn.XLOOKUP($B12&amp;" Suma",INDIRECT(J$11&amp;"!$B$14:$B$32"),INDIRECT(J$11&amp;"!$C$14:$C$32"))</calculatedColumnFormula>
    </tableColumn>
    <tableColumn id="10" xr3:uid="{AC5D651B-D12B-4B1A-8C8A-C34954DE6FA3}" name="Wrzesień" totalsRowFunction="sum" dataDxfId="3">
      <calculatedColumnFormula array="1">_xlfn.XLOOKUP($B12&amp;" Suma",INDIRECT(K$11&amp;"!$B$14:$B$32"),INDIRECT(K$11&amp;"!$C$14:$C$32"))</calculatedColumnFormula>
    </tableColumn>
    <tableColumn id="11" xr3:uid="{5618BD67-1DBE-4927-8CB2-5983D17374B3}" name="Październik" totalsRowFunction="sum" dataDxfId="2">
      <calculatedColumnFormula array="1">_xlfn.XLOOKUP($B12&amp;" Suma",INDIRECT(L$11&amp;"!$B$14:$B$32"),INDIRECT(L$11&amp;"!$C$14:$C$32"))</calculatedColumnFormula>
    </tableColumn>
    <tableColumn id="12" xr3:uid="{2EAA226E-C49A-4DDE-A415-78543AC3C166}" name="Listopad" totalsRowFunction="sum" dataDxfId="1">
      <calculatedColumnFormula array="1">_xlfn.XLOOKUP($B12&amp;" Suma",INDIRECT(M$11&amp;"!$B$14:$B$32"),INDIRECT(M$11&amp;"!$C$14:$C$32"))</calculatedColumnFormula>
    </tableColumn>
    <tableColumn id="13" xr3:uid="{788CC65C-1339-4163-905B-958D936CD409}" name="Grudzień" totalsRowFunction="sum" dataDxfId="0">
      <calculatedColumnFormula array="1">_xlfn.XLOOKUP($B12&amp;" Suma",INDIRECT(N$11&amp;"!$B$14:$B$32"),INDIRECT(N$11&amp;"!$C$14:$C$32"))</calculatedColumnFormula>
    </tableColumn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99928C-49EA-49B5-9935-4F3503684763}" name="styczeń_saldo" displayName="styczeń_saldo" ref="A1:E9" totalsRowCount="1">
  <autoFilter ref="A1:E8" xr:uid="{9E99928C-49EA-49B5-9935-4F3503684763}"/>
  <tableColumns count="5">
    <tableColumn id="1" xr3:uid="{6D5BA780-F5F3-425E-9E03-291232AA8139}" name="Bank" totalsRowLabel="Suma"/>
    <tableColumn id="2" xr3:uid="{7B174532-C8DD-4D5E-90F4-B1A5772C5C14}" name="Produkt"/>
    <tableColumn id="3" xr3:uid="{A6191FD7-277F-4E3E-B5DD-6A0017D9E3BF}" name="Saldo początkowe" totalsRowFunction="sum" dataDxfId="99"/>
    <tableColumn id="4" xr3:uid="{9906C94A-2C3A-4E82-B611-26A78029ECEE}" name="Operacje" totalsRowFunction="sum" dataDxfId="98">
      <calculatedColumnFormula>SUMIFS(operacje[Kwota],operacje[Bank],styczeń_saldo[[#This Row],[Bank]],operacje[Produkt],styczeń_saldo[[#This Row],[Produkt]],operacje[Miesiąc],$B$11)</calculatedColumnFormula>
    </tableColumn>
    <tableColumn id="5" xr3:uid="{FAB5DFDC-D50A-4941-9DD7-2B8A9000B7C5}" name="Saldo końcowe" totalsRowFunction="sum" dataDxfId="97">
      <calculatedColumnFormula>styczeń_saldo[[#This Row],[Saldo początkowe]]+styczeń_saldo[[#This Row],[Operacje]]</calculatedColumnFormula>
    </tableColumn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8CB6A2-8923-41E5-84DF-B2BCE164FCAB}" name="luty_saldo" displayName="luty_saldo" ref="A1:E9" totalsRowCount="1">
  <autoFilter ref="A1:E8" xr:uid="{9E99928C-49EA-49B5-9935-4F3503684763}"/>
  <tableColumns count="5">
    <tableColumn id="1" xr3:uid="{515DC50D-C27D-4003-B953-A1B2840D1FD6}" name="Bank" totalsRowLabel="Suma"/>
    <tableColumn id="2" xr3:uid="{49FC7D21-0D61-4DEE-A7B9-BE15A50E1E0C}" name="Produkt"/>
    <tableColumn id="3" xr3:uid="{58F0BC4A-93A4-4CA0-874A-8315414DC447}" name="Saldo początkowe" totalsRowFunction="sum" dataDxfId="84" totalsRowDxfId="87">
      <calculatedColumnFormula array="1">INDIRECT(TEXT(DATE(2025,$B$11-1,1),"mmmm")&amp;"_saldo[@[Saldo końcowe]]")</calculatedColumnFormula>
    </tableColumn>
    <tableColumn id="4" xr3:uid="{B8A65D18-74BF-4EE5-8AB8-C19B2551CEBF}" name="Operacje" totalsRowFunction="sum" dataDxfId="89" totalsRowDxfId="86">
      <calculatedColumnFormula>SUMIFS(operacje[Kwota],operacje[Bank],luty_saldo[[#This Row],[Bank]],operacje[Produkt],luty_saldo[[#This Row],[Produkt]],operacje[Miesiąc],$B$11)</calculatedColumnFormula>
    </tableColumn>
    <tableColumn id="5" xr3:uid="{18F9D996-56C1-4700-9A23-9C31F1BD2F88}" name="Saldo końcowe" totalsRowFunction="sum" dataDxfId="88" totalsRowDxfId="85">
      <calculatedColumnFormula>luty_saldo[[#This Row],[Saldo początkowe]]+luty_saldo[[#This Row],[Operacje]]</calculatedColumnFormula>
    </tableColumn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7D3126-C4ED-4E8A-BACC-AD840AFC9598}" name="marzec_saldo" displayName="marzec_saldo" ref="A1:E9" totalsRowCount="1">
  <autoFilter ref="A1:E8" xr:uid="{9E99928C-49EA-49B5-9935-4F3503684763}"/>
  <tableColumns count="5">
    <tableColumn id="1" xr3:uid="{FBA9011F-C331-4FAE-870F-050067432B73}" name="Bank" totalsRowLabel="Suma"/>
    <tableColumn id="2" xr3:uid="{F86EEE51-0B67-4B5E-BCEB-61D15E481058}" name="Produkt"/>
    <tableColumn id="3" xr3:uid="{6603671E-4DA5-4850-B6AE-15C2301E9630}" name="Saldo początkowe" totalsRowFunction="sum" dataDxfId="82" totalsRowDxfId="83">
      <calculatedColumnFormula array="1">INDIRECT(TEXT(DATE(2025,$B$11-1,1),"mmmm")&amp;"_saldo[@[Saldo końcowe]]")</calculatedColumnFormula>
    </tableColumn>
    <tableColumn id="4" xr3:uid="{2233F788-B3C1-4C8E-A898-4E8D00762978}" name="Operacje" totalsRowFunction="sum" dataDxfId="80" totalsRowDxfId="81">
      <calculatedColumnFormula>SUMIFS(operacje[Kwota],operacje[Bank],marzec_saldo[[#This Row],[Bank]],operacje[Produkt],marzec_saldo[[#This Row],[Produkt]],operacje[Miesiąc],$B$11)</calculatedColumnFormula>
    </tableColumn>
    <tableColumn id="5" xr3:uid="{76E9CFAC-1166-48F6-BC97-6CFF4810FD31}" name="Saldo końcowe" totalsRowFunction="sum" dataDxfId="78" totalsRowDxfId="79">
      <calculatedColumnFormula>marzec_saldo[[#This Row],[Saldo początkowe]]+marzec_saldo[[#This Row],[Operacje]]</calculatedColumnFormula>
    </tableColumn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3A4E8F-A69F-4EDD-9286-49ABFAF35E66}" name="kwiecień_saldo" displayName="kwiecień_saldo" ref="A1:E9" totalsRowCount="1">
  <autoFilter ref="A1:E8" xr:uid="{9E99928C-49EA-49B5-9935-4F3503684763}"/>
  <tableColumns count="5">
    <tableColumn id="1" xr3:uid="{52ADD602-8A2F-41E8-A5F5-3E42943C81C8}" name="Bank" totalsRowLabel="Suma"/>
    <tableColumn id="2" xr3:uid="{5E7588C4-98C4-47CE-948B-8F1FE88D2411}" name="Produkt"/>
    <tableColumn id="3" xr3:uid="{D5FF2845-8CBC-4B14-ABAE-830B14E69DA7}" name="Saldo początkowe" totalsRowFunction="sum" dataDxfId="76" totalsRowDxfId="77">
      <calculatedColumnFormula array="1">INDIRECT(TEXT(DATE(2025,$B$11-1,1),"mmmm")&amp;"_saldo[@[Saldo końcowe]]")</calculatedColumnFormula>
    </tableColumn>
    <tableColumn id="4" xr3:uid="{DFA71AC3-84F0-4127-AF1C-6A8D39C9343F}" name="Operacje" totalsRowFunction="sum" dataDxfId="74" totalsRowDxfId="75">
      <calculatedColumnFormula>SUMIFS(operacje[Kwota],operacje[Bank],kwiecień_saldo[[#This Row],[Bank]],operacje[Produkt],kwiecień_saldo[[#This Row],[Produkt]],operacje[Miesiąc],$B$11)</calculatedColumnFormula>
    </tableColumn>
    <tableColumn id="5" xr3:uid="{C84E40A7-BFDC-4885-8603-FBA3CFEDE55D}" name="Saldo końcowe" totalsRowFunction="sum" dataDxfId="72" totalsRowDxfId="73">
      <calculatedColumnFormula>kwiecień_saldo[[#This Row],[Saldo początkowe]]+kwiecień_saldo[[#This Row],[Operacje]]</calculatedColumnFormula>
    </tableColumn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CD3EC9-99A6-4868-B383-6B0C42390AAA}" name="maj_saldo" displayName="maj_saldo" ref="A1:E9" totalsRowCount="1">
  <autoFilter ref="A1:E8" xr:uid="{9E99928C-49EA-49B5-9935-4F3503684763}"/>
  <tableColumns count="5">
    <tableColumn id="1" xr3:uid="{5CA2E220-99DD-41F5-8C82-353DAF65DC72}" name="Bank" totalsRowLabel="Suma"/>
    <tableColumn id="2" xr3:uid="{A439D3D5-5BBB-4841-919C-AC577CF6CE50}" name="Produkt"/>
    <tableColumn id="3" xr3:uid="{9350BA87-D394-4A02-947E-E2C72D4EDDB3}" name="Saldo początkowe" totalsRowFunction="sum" dataDxfId="70" totalsRowDxfId="71">
      <calculatedColumnFormula array="1">INDIRECT(TEXT(DATE(2025,$B$11-1,1),"mmmm")&amp;"_saldo[@[Saldo końcowe]]")</calculatedColumnFormula>
    </tableColumn>
    <tableColumn id="4" xr3:uid="{A3A5673D-2324-4462-8A7C-2615244E6F07}" name="Operacje" totalsRowFunction="sum" dataDxfId="68" totalsRowDxfId="69">
      <calculatedColumnFormula>SUMIFS(operacje[Kwota],operacje[Bank],maj_saldo[[#This Row],[Bank]],operacje[Produkt],maj_saldo[[#This Row],[Produkt]],operacje[Miesiąc],$B$11)</calculatedColumnFormula>
    </tableColumn>
    <tableColumn id="5" xr3:uid="{06DAA3D4-CB0E-47AD-A1FD-B26FEDBBDEC3}" name="Saldo końcowe" totalsRowFunction="sum" dataDxfId="66" totalsRowDxfId="67">
      <calculatedColumnFormula>maj_saldo[[#This Row],[Saldo początkowe]]+maj_saldo[[#This Row],[Operacje]]</calculatedColumnFormula>
    </tableColumn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E8664F-69A7-4D2B-8E5B-B7B3765BEED3}" name="czerwiec_saldo" displayName="czerwiec_saldo" ref="A1:E9" totalsRowCount="1">
  <autoFilter ref="A1:E8" xr:uid="{9E99928C-49EA-49B5-9935-4F3503684763}"/>
  <tableColumns count="5">
    <tableColumn id="1" xr3:uid="{1E77B320-0B85-4083-B8D0-CC7C99969187}" name="Bank" totalsRowLabel="Suma"/>
    <tableColumn id="2" xr3:uid="{740D7F37-8B5A-48E1-8368-CE319C900EFC}" name="Produkt"/>
    <tableColumn id="3" xr3:uid="{22FDA2FB-4653-4738-9972-4F73C9477759}" name="Saldo początkowe" totalsRowFunction="sum" dataDxfId="64" totalsRowDxfId="65">
      <calculatedColumnFormula array="1">INDIRECT(TEXT(DATE(2025,$B$11-1,1),"mmmm")&amp;"_saldo[@[Saldo końcowe]]")</calculatedColumnFormula>
    </tableColumn>
    <tableColumn id="4" xr3:uid="{837B0130-77E2-4DB4-9BA7-17743F2894B3}" name="Operacje" totalsRowFunction="sum" dataDxfId="62" totalsRowDxfId="63">
      <calculatedColumnFormula>SUMIFS(operacje[Kwota],operacje[Bank],czerwiec_saldo[[#This Row],[Bank]],operacje[Produkt],czerwiec_saldo[[#This Row],[Produkt]],operacje[Miesiąc],$B$11)</calculatedColumnFormula>
    </tableColumn>
    <tableColumn id="5" xr3:uid="{A157E97D-9441-405E-B490-75EECAF602AF}" name="Saldo końcowe" totalsRowFunction="sum" dataDxfId="60" totalsRowDxfId="61">
      <calculatedColumnFormula>czerwiec_saldo[[#This Row],[Saldo początkowe]]+czerwiec_saldo[[#This Row],[Operacje]]</calculatedColumnFormula>
    </tableColumn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EBD5ED8-6C53-435F-B143-9FEF7C7D6371}" name="lipiec_saldo" displayName="lipiec_saldo" ref="A1:E9" totalsRowCount="1">
  <autoFilter ref="A1:E8" xr:uid="{9E99928C-49EA-49B5-9935-4F3503684763}"/>
  <tableColumns count="5">
    <tableColumn id="1" xr3:uid="{0FD0F232-B602-4285-88B7-3396ADF9BF78}" name="Bank" totalsRowLabel="Suma"/>
    <tableColumn id="2" xr3:uid="{0144FB71-8D58-4315-9EC1-BBBE7502B911}" name="Produkt"/>
    <tableColumn id="3" xr3:uid="{26017F7A-BD00-4B5D-A938-73C6FA055546}" name="Saldo początkowe" totalsRowFunction="sum" dataDxfId="58" totalsRowDxfId="59">
      <calculatedColumnFormula array="1">INDIRECT(TEXT(DATE(2025,$B$11-1,1),"mmmm")&amp;"_saldo[@[Saldo końcowe]]")</calculatedColumnFormula>
    </tableColumn>
    <tableColumn id="4" xr3:uid="{F43A6591-8E1A-4002-B9E2-3CF0A79C9BCD}" name="Operacje" totalsRowFunction="sum" dataDxfId="56" totalsRowDxfId="57">
      <calculatedColumnFormula>SUMIFS(operacje[Kwota],operacje[Bank],lipiec_saldo[[#This Row],[Bank]],operacje[Produkt],lipiec_saldo[[#This Row],[Produkt]],operacje[Miesiąc],$B$11)</calculatedColumnFormula>
    </tableColumn>
    <tableColumn id="5" xr3:uid="{0BC0AC6F-F48E-4F81-B873-C99C25CC31B9}" name="Saldo końcowe" totalsRowFunction="sum" dataDxfId="54" totalsRowDxfId="55">
      <calculatedColumnFormula>lipiec_saldo[[#This Row],[Saldo początkowe]]+lipiec_saldo[[#This Row],[Operacje]]</calculatedColumnFormula>
    </tableColumn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4DED86-AB6D-4C8B-8039-8558E3A51D4C}" name="sierpień_saldo" displayName="sierpień_saldo" ref="A1:E9" totalsRowCount="1">
  <autoFilter ref="A1:E8" xr:uid="{9E99928C-49EA-49B5-9935-4F3503684763}"/>
  <tableColumns count="5">
    <tableColumn id="1" xr3:uid="{2A1CC9FF-A4E3-4FFB-8856-D3B9449C0037}" name="Bank" totalsRowLabel="Suma"/>
    <tableColumn id="2" xr3:uid="{D9AE0B12-C06B-49F5-B2DD-4FB8E76981A4}" name="Produkt"/>
    <tableColumn id="3" xr3:uid="{D7B4D74E-23B4-4392-AFF7-89B0DE37C741}" name="Saldo początkowe" totalsRowFunction="sum" dataDxfId="52" totalsRowDxfId="53">
      <calculatedColumnFormula array="1">INDIRECT(TEXT(DATE(2025,$B$11-1,1),"mmmm")&amp;"_saldo[@[Saldo końcowe]]")</calculatedColumnFormula>
    </tableColumn>
    <tableColumn id="4" xr3:uid="{DFB8A4BF-F965-4F56-BFC1-556B56FB48C3}" name="Operacje" totalsRowFunction="sum" dataDxfId="50" totalsRowDxfId="51">
      <calculatedColumnFormula>SUMIFS(operacje[Kwota],operacje[Bank],sierpień_saldo[[#This Row],[Bank]],operacje[Produkt],sierpień_saldo[[#This Row],[Produkt]],operacje[Miesiąc],$B$11)</calculatedColumnFormula>
    </tableColumn>
    <tableColumn id="5" xr3:uid="{7900A5D8-CF9C-4AB6-9DB6-9C3E3335A26A}" name="Saldo końcowe" totalsRowFunction="sum" dataDxfId="48" totalsRowDxfId="49">
      <calculatedColumnFormula>sierpień_saldo[[#This Row],[Saldo początkowe]]+sierpień_saldo[[#This Row],[Operacje]]</calculatedColumnFormula>
    </tableColumn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233D304-3EB2-4196-84B2-DAAA980CA08D}" name="wrzesień_saldo" displayName="wrzesień_saldo" ref="A1:E9" totalsRowCount="1">
  <autoFilter ref="A1:E8" xr:uid="{9E99928C-49EA-49B5-9935-4F3503684763}"/>
  <tableColumns count="5">
    <tableColumn id="1" xr3:uid="{3C2A1E85-2138-40B3-BE5D-A83C506F6860}" name="Bank" totalsRowLabel="Suma"/>
    <tableColumn id="2" xr3:uid="{0DB3C641-DC22-4888-8357-6BB6D5098575}" name="Produkt"/>
    <tableColumn id="3" xr3:uid="{07AB9E70-5C31-4C2A-8451-95AAE8292E0C}" name="Saldo początkowe" totalsRowFunction="sum" dataDxfId="46" totalsRowDxfId="47">
      <calculatedColumnFormula array="1">INDIRECT(TEXT(DATE(2025,$B$11-1,1),"mmmm")&amp;"_saldo[@[Saldo końcowe]]")</calculatedColumnFormula>
    </tableColumn>
    <tableColumn id="4" xr3:uid="{8CCE47A5-042E-45F2-B022-BA376BE18B93}" name="Operacje" totalsRowFunction="sum" dataDxfId="44" totalsRowDxfId="45">
      <calculatedColumnFormula>SUMIFS(operacje[Kwota],operacje[Bank],wrzesień_saldo[[#This Row],[Bank]],operacje[Produkt],wrzesień_saldo[[#This Row],[Produkt]],operacje[Miesiąc],$B$11)</calculatedColumnFormula>
    </tableColumn>
    <tableColumn id="5" xr3:uid="{1EA77BBF-B849-44A4-8EC5-E70C25C2C318}" name="Saldo końcowe" totalsRowFunction="sum" dataDxfId="42" totalsRowDxfId="43">
      <calculatedColumnFormula>wrzesień_saldo[[#This Row],[Saldo początkowe]]+wrzesień_saldo[[#This Row],[Operacje]]</calculatedColumnFormula>
    </tableColumn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8F3B9C1-B9E4-4513-833A-F0E64146F47B}" name="październik_saldo" displayName="październik_saldo" ref="A1:E9" totalsRowCount="1">
  <autoFilter ref="A1:E8" xr:uid="{9E99928C-49EA-49B5-9935-4F3503684763}"/>
  <tableColumns count="5">
    <tableColumn id="1" xr3:uid="{429BED34-5DDD-4EC4-B85D-905F13D89CAD}" name="Bank" totalsRowLabel="Suma"/>
    <tableColumn id="2" xr3:uid="{050DC4AD-4940-4E96-A1A0-355135D40341}" name="Produkt"/>
    <tableColumn id="3" xr3:uid="{730EBB9B-1937-4F52-B845-E0B770CA4359}" name="Saldo początkowe" totalsRowFunction="sum" dataDxfId="40" totalsRowDxfId="41">
      <calculatedColumnFormula array="1">INDIRECT(TEXT(DATE(2025,$B$11-1,1),"mmmm")&amp;"_saldo[@[Saldo końcowe]]")</calculatedColumnFormula>
    </tableColumn>
    <tableColumn id="4" xr3:uid="{2F54AC3C-7A66-49D0-8BE2-79D81EB2CEA4}" name="Operacje" totalsRowFunction="sum" dataDxfId="38" totalsRowDxfId="39">
      <calculatedColumnFormula>SUMIFS(operacje[Kwota],operacje[Bank],październik_saldo[[#This Row],[Bank]],operacje[Produkt],październik_saldo[[#This Row],[Produkt]],operacje[Miesiąc],$B$11)</calculatedColumnFormula>
    </tableColumn>
    <tableColumn id="5" xr3:uid="{22BD71FA-1282-4F92-9DD9-56DAC42CB0CB}" name="Saldo końcowe" totalsRowFunction="sum" dataDxfId="36" totalsRowDxfId="37">
      <calculatedColumnFormula>październik_saldo[[#This Row],[Saldo początkowe]]+październik_saldo[[#This Row],[Operacje]]</calculatedColumnFormula>
    </tableColumn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D8FE37A-A7FA-4027-A982-F10D436EC06F}" name="listopad_saldo" displayName="listopad_saldo" ref="A1:E9" totalsRowCount="1">
  <autoFilter ref="A1:E8" xr:uid="{9E99928C-49EA-49B5-9935-4F3503684763}"/>
  <tableColumns count="5">
    <tableColumn id="1" xr3:uid="{F84E5B16-A9B8-451F-AAD2-D26C5E5869A4}" name="Bank" totalsRowLabel="Suma"/>
    <tableColumn id="2" xr3:uid="{E8BA6A34-706C-41CA-B0CD-3B6EA77FF5F0}" name="Produkt"/>
    <tableColumn id="3" xr3:uid="{3BE7ADBE-C2E0-463F-A7A6-BA7350FD0B16}" name="Saldo początkowe" totalsRowFunction="sum" dataDxfId="34" totalsRowDxfId="35">
      <calculatedColumnFormula array="1">INDIRECT(TEXT(DATE(2025,$B$11-1,1),"mmmm")&amp;"_saldo[@[Saldo końcowe]]")</calculatedColumnFormula>
    </tableColumn>
    <tableColumn id="4" xr3:uid="{B94A05A4-BB88-464F-8BC0-4DE9ADDF8751}" name="Operacje" totalsRowFunction="sum" dataDxfId="32" totalsRowDxfId="33">
      <calculatedColumnFormula>SUMIFS(operacje[Kwota],operacje[Bank],listopad_saldo[[#This Row],[Bank]],operacje[Produkt],listopad_saldo[[#This Row],[Produkt]],operacje[Miesiąc],$B$11)</calculatedColumnFormula>
    </tableColumn>
    <tableColumn id="5" xr3:uid="{80E959EC-1622-418C-9CE8-42A2A5223D79}" name="Saldo końcowe" totalsRowFunction="sum" dataDxfId="30" totalsRowDxfId="31">
      <calculatedColumnFormula>listopad_saldo[[#This Row],[Saldo początkowe]]+listopad_saldo[[#This Row],[Operacje]]</calculatedColumnFormula>
    </tableColumn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976B55-7EC9-4BE7-9321-3AB6DFDC05B5}" name="grudzień_saldo" displayName="grudzień_saldo" ref="A1:E9" totalsRowCount="1">
  <autoFilter ref="A1:E8" xr:uid="{9E99928C-49EA-49B5-9935-4F3503684763}"/>
  <tableColumns count="5">
    <tableColumn id="1" xr3:uid="{299FDA2D-447B-4397-850C-C15D7F22FFB2}" name="Bank" totalsRowLabel="Suma"/>
    <tableColumn id="2" xr3:uid="{3875D9C9-EDC4-4F5E-A266-055AB4AC988A}" name="Produkt"/>
    <tableColumn id="3" xr3:uid="{3C911614-F602-4B7A-BB6E-9B1EC4BC3484}" name="Saldo początkowe" totalsRowFunction="sum" dataDxfId="28" totalsRowDxfId="29">
      <calculatedColumnFormula array="1">INDIRECT(TEXT(DATE(2025,$B$11-1,1),"mmmm")&amp;"_saldo[@[Saldo końcowe]]")</calculatedColumnFormula>
    </tableColumn>
    <tableColumn id="4" xr3:uid="{83AF7F4F-EF42-4AD8-B05D-EDFEFC6A52C4}" name="Operacje" totalsRowFunction="sum" dataDxfId="26" totalsRowDxfId="27">
      <calculatedColumnFormula>SUMIFS(operacje[Kwota],operacje[Bank],grudzień_saldo[[#This Row],[Bank]],operacje[Produkt],grudzień_saldo[[#This Row],[Produkt]],operacje[Miesiąc],$B$11)</calculatedColumnFormula>
    </tableColumn>
    <tableColumn id="5" xr3:uid="{89FBA883-9EE5-4258-B030-C2867B1D05E4}" name="Saldo końcowe" totalsRowFunction="sum" dataDxfId="24" totalsRowDxfId="25">
      <calculatedColumnFormula>grudzień_saldo[[#This Row],[Saldo początkowe]]+grudzień_saldo[[#This Row],[Operacje]]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G207"/>
  <sheetViews>
    <sheetView workbookViewId="0">
      <selection activeCell="B1" sqref="B1:C207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-1500</v>
      </c>
      <c r="B2" s="1" t="s">
        <v>7</v>
      </c>
      <c r="C2" s="1" t="s">
        <v>8</v>
      </c>
      <c r="D2" s="1" t="s">
        <v>9</v>
      </c>
      <c r="E2" s="1" t="str">
        <f>_xlfn.XLOOKUP(operacje[[#This Row],[Kategoria]],kategorie[Kategoria],kategorie[Typ],"",0)</f>
        <v>Wydatki</v>
      </c>
      <c r="F2" s="3">
        <v>45296</v>
      </c>
      <c r="G2" s="1">
        <f>IF(ISBLANK(operacje[[#This Row],[Data]]),,MONTH(operacje[[#This Row],[Data]]))</f>
        <v>1</v>
      </c>
    </row>
    <row r="3" spans="1:7" x14ac:dyDescent="0.25">
      <c r="A3" s="2">
        <v>4500</v>
      </c>
      <c r="B3" s="1" t="s">
        <v>7</v>
      </c>
      <c r="C3" s="1" t="s">
        <v>8</v>
      </c>
      <c r="D3" s="1" t="s">
        <v>11</v>
      </c>
      <c r="E3" s="1" t="str">
        <f>_xlfn.XLOOKUP(operacje[[#This Row],[Kategoria]],kategorie[Kategoria],kategorie[Typ],"",0)</f>
        <v>Wpływy</v>
      </c>
      <c r="F3" s="3">
        <v>45301</v>
      </c>
      <c r="G3" s="1">
        <f>IF(ISBLANK(operacje[[#This Row],[Data]]),,MONTH(operacje[[#This Row],[Data]]))</f>
        <v>1</v>
      </c>
    </row>
    <row r="4" spans="1:7" x14ac:dyDescent="0.25">
      <c r="A4" s="2">
        <v>-2000</v>
      </c>
      <c r="B4" s="1" t="s">
        <v>7</v>
      </c>
      <c r="C4" s="1" t="s">
        <v>8</v>
      </c>
      <c r="D4" s="1" t="s">
        <v>13</v>
      </c>
      <c r="E4" s="1" t="str">
        <f>_xlfn.XLOOKUP(operacje[[#This Row],[Kategoria]],kategorie[Kategoria],kategorie[Typ],"",0)</f>
        <v>Wydatki</v>
      </c>
      <c r="F4" s="3">
        <v>45302</v>
      </c>
      <c r="G4" s="1">
        <f>IF(ISBLANK(operacje[[#This Row],[Data]]),,MONTH(operacje[[#This Row],[Data]]))</f>
        <v>1</v>
      </c>
    </row>
    <row r="5" spans="1:7" x14ac:dyDescent="0.25">
      <c r="A5" s="2">
        <v>-45</v>
      </c>
      <c r="B5" s="1" t="s">
        <v>14</v>
      </c>
      <c r="C5" s="1" t="s">
        <v>8</v>
      </c>
      <c r="D5" s="1" t="s">
        <v>9</v>
      </c>
      <c r="E5" s="1" t="str">
        <f>_xlfn.XLOOKUP(operacje[[#This Row],[Kategoria]],kategorie[Kategoria],kategorie[Typ],"",0)</f>
        <v>Wydatki</v>
      </c>
      <c r="F5" s="3">
        <v>45305</v>
      </c>
      <c r="G5" s="1">
        <f>IF(ISBLANK(operacje[[#This Row],[Data]]),,MONTH(operacje[[#This Row],[Data]]))</f>
        <v>1</v>
      </c>
    </row>
    <row r="6" spans="1:7" x14ac:dyDescent="0.25">
      <c r="A6" s="2">
        <v>-150</v>
      </c>
      <c r="B6" s="1" t="s">
        <v>7</v>
      </c>
      <c r="C6" s="1" t="s">
        <v>15</v>
      </c>
      <c r="D6" s="1" t="s">
        <v>16</v>
      </c>
      <c r="E6" s="1" t="str">
        <f>_xlfn.XLOOKUP(operacje[[#This Row],[Kategoria]],kategorie[Kategoria],kategorie[Typ],"",0)</f>
        <v>Wydatki</v>
      </c>
      <c r="F6" s="3">
        <v>45306</v>
      </c>
      <c r="G6" s="1">
        <f>IF(ISBLANK(operacje[[#This Row],[Data]]),,MONTH(operacje[[#This Row],[Data]]))</f>
        <v>1</v>
      </c>
    </row>
    <row r="7" spans="1:7" x14ac:dyDescent="0.25">
      <c r="A7" s="2">
        <v>-120</v>
      </c>
      <c r="B7" s="1" t="s">
        <v>7</v>
      </c>
      <c r="C7" s="1" t="s">
        <v>8</v>
      </c>
      <c r="D7" s="1" t="s">
        <v>9</v>
      </c>
      <c r="E7" s="1" t="str">
        <f>_xlfn.XLOOKUP(operacje[[#This Row],[Kategoria]],kategorie[Kategoria],kategorie[Typ],"",0)</f>
        <v>Wydatki</v>
      </c>
      <c r="F7" s="3">
        <v>45307</v>
      </c>
      <c r="G7" s="1">
        <f>IF(ISBLANK(operacje[[#This Row],[Data]]),,MONTH(operacje[[#This Row],[Data]]))</f>
        <v>1</v>
      </c>
    </row>
    <row r="8" spans="1:7" x14ac:dyDescent="0.25">
      <c r="A8" s="2">
        <v>500</v>
      </c>
      <c r="B8" s="1" t="s">
        <v>7</v>
      </c>
      <c r="C8" s="1" t="s">
        <v>8</v>
      </c>
      <c r="D8" s="1" t="s">
        <v>17</v>
      </c>
      <c r="E8" s="1" t="str">
        <f>_xlfn.XLOOKUP(operacje[[#This Row],[Kategoria]],kategorie[Kategoria],kategorie[Typ],"",0)</f>
        <v>Wpływy</v>
      </c>
      <c r="F8" s="3">
        <v>45308</v>
      </c>
      <c r="G8" s="1">
        <f>IF(ISBLANK(operacje[[#This Row],[Data]]),,MONTH(operacje[[#This Row],[Data]]))</f>
        <v>1</v>
      </c>
    </row>
    <row r="9" spans="1:7" x14ac:dyDescent="0.25">
      <c r="A9" s="2">
        <v>-500</v>
      </c>
      <c r="B9" s="1" t="s">
        <v>7</v>
      </c>
      <c r="C9" s="1" t="s">
        <v>18</v>
      </c>
      <c r="D9" s="1" t="s">
        <v>19</v>
      </c>
      <c r="E9" s="1" t="str">
        <f>_xlfn.XLOOKUP(operacje[[#This Row],[Kategoria]],kategorie[Kategoria],kategorie[Typ],"",0)</f>
        <v>Wydatki</v>
      </c>
      <c r="F9" s="3">
        <v>45308</v>
      </c>
      <c r="G9" s="1">
        <f>IF(ISBLANK(operacje[[#This Row],[Data]]),,MONTH(operacje[[#This Row],[Data]]))</f>
        <v>1</v>
      </c>
    </row>
    <row r="10" spans="1:7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tr">
        <f>_xlfn.XLOOKUP(operacje[[#This Row],[Kategoria]],kategorie[Kategoria],kategorie[Typ],"",0)</f>
        <v>Wpływy</v>
      </c>
      <c r="F10" s="3">
        <v>45308</v>
      </c>
      <c r="G10" s="1">
        <f>IF(ISBLANK(operacje[[#This Row],[Data]]),,MONTH(operacje[[#This Row],[Data]]))</f>
        <v>1</v>
      </c>
    </row>
    <row r="11" spans="1:7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tr">
        <f>_xlfn.XLOOKUP(operacje[[#This Row],[Kategoria]],kategorie[Kategoria],kategorie[Typ],"",0)</f>
        <v>Wydatki</v>
      </c>
      <c r="F11" s="3">
        <v>45310</v>
      </c>
      <c r="G11" s="1">
        <f>IF(ISBLANK(operacje[[#This Row],[Data]]),,MONTH(operacje[[#This Row],[Data]]))</f>
        <v>1</v>
      </c>
    </row>
    <row r="12" spans="1:7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tr">
        <f>_xlfn.XLOOKUP(operacje[[#This Row],[Kategoria]],kategorie[Kategoria],kategorie[Typ],"",0)</f>
        <v>Wydatki</v>
      </c>
      <c r="F12" s="3">
        <v>45311</v>
      </c>
      <c r="G12" s="1">
        <f>IF(ISBLANK(operacje[[#This Row],[Data]]),,MONTH(operacje[[#This Row],[Data]]))</f>
        <v>1</v>
      </c>
    </row>
    <row r="13" spans="1:7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tr">
        <f>_xlfn.XLOOKUP(operacje[[#This Row],[Kategoria]],kategorie[Kategoria],kategorie[Typ],"",0)</f>
        <v>Wpływy</v>
      </c>
      <c r="F13" s="3">
        <v>45312</v>
      </c>
      <c r="G13" s="1">
        <f>IF(ISBLANK(operacje[[#This Row],[Data]]),,MONTH(operacje[[#This Row],[Data]]))</f>
        <v>1</v>
      </c>
    </row>
    <row r="14" spans="1:7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tr">
        <f>_xlfn.XLOOKUP(operacje[[#This Row],[Kategoria]],kategorie[Kategoria],kategorie[Typ],"",0)</f>
        <v>Wydatki</v>
      </c>
      <c r="F14" s="3">
        <v>45313</v>
      </c>
      <c r="G14" s="1">
        <f>IF(ISBLANK(operacje[[#This Row],[Data]]),,MONTH(operacje[[#This Row],[Data]]))</f>
        <v>1</v>
      </c>
    </row>
    <row r="15" spans="1:7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tr">
        <f>_xlfn.XLOOKUP(operacje[[#This Row],[Kategoria]],kategorie[Kategoria],kategorie[Typ],"",0)</f>
        <v>Wydatki</v>
      </c>
      <c r="F15" s="3">
        <v>45314</v>
      </c>
      <c r="G15" s="1">
        <f>IF(ISBLANK(operacje[[#This Row],[Data]]),,MONTH(operacje[[#This Row],[Data]]))</f>
        <v>1</v>
      </c>
    </row>
    <row r="16" spans="1:7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tr">
        <f>_xlfn.XLOOKUP(operacje[[#This Row],[Kategoria]],kategorie[Kategoria],kategorie[Typ],"",0)</f>
        <v>Wydatki</v>
      </c>
      <c r="F16" s="3">
        <v>45315</v>
      </c>
      <c r="G16" s="1">
        <f>IF(ISBLANK(operacje[[#This Row],[Data]]),,MONTH(operacje[[#This Row],[Data]]))</f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tr">
        <f>_xlfn.XLOOKUP(operacje[[#This Row],[Kategoria]],kategorie[Kategoria],kategorie[Typ],"",0)</f>
        <v>Wydatki</v>
      </c>
      <c r="F17" s="3">
        <v>45316</v>
      </c>
      <c r="G17" s="1">
        <f>IF(ISBLANK(operacje[[#This Row],[Data]]),,MONTH(operacje[[#This Row],[Data]]))</f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tr">
        <f>_xlfn.XLOOKUP(operacje[[#This Row],[Kategoria]],kategorie[Kategoria],kategorie[Typ],"",0)</f>
        <v>Wpływy</v>
      </c>
      <c r="F18" s="3">
        <v>45316</v>
      </c>
      <c r="G18" s="1">
        <f>IF(ISBLANK(operacje[[#This Row],[Data]]),,MONTH(operacje[[#This Row],[Data]]))</f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tr">
        <f>_xlfn.XLOOKUP(operacje[[#This Row],[Kategoria]],kategorie[Kategoria],kategorie[Typ],"",0)</f>
        <v>Wpływy</v>
      </c>
      <c r="F19" s="3">
        <v>45317</v>
      </c>
      <c r="G19" s="1">
        <f>IF(ISBLANK(operacje[[#This Row],[Data]]),,MONTH(operacje[[#This Row],[Data]]))</f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tr">
        <f>_xlfn.XLOOKUP(operacje[[#This Row],[Kategoria]],kategorie[Kategoria],kategorie[Typ],"",0)</f>
        <v>Wpływy</v>
      </c>
      <c r="F20" s="3">
        <v>45318</v>
      </c>
      <c r="G20" s="1">
        <f>IF(ISBLANK(operacje[[#This Row],[Data]]),,MONTH(operacje[[#This Row],[Data]]))</f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tr">
        <f>_xlfn.XLOOKUP(operacje[[#This Row],[Kategoria]],kategorie[Kategoria],kategorie[Typ],"",0)</f>
        <v>Wydatki</v>
      </c>
      <c r="F21" s="3">
        <v>45319</v>
      </c>
      <c r="G21" s="1">
        <f>IF(ISBLANK(operacje[[#This Row],[Data]]),,MONTH(operacje[[#This Row],[Data]]))</f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tr">
        <f>_xlfn.XLOOKUP(operacje[[#This Row],[Kategoria]],kategorie[Kategoria],kategorie[Typ],"",0)</f>
        <v>Wpływy</v>
      </c>
      <c r="F22" s="3">
        <v>45324</v>
      </c>
      <c r="G22" s="1">
        <f>IF(ISBLANK(operacje[[#This Row],[Data]]),,MONTH(operacje[[#This Row],[Data]]))</f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tr">
        <f>_xlfn.XLOOKUP(operacje[[#This Row],[Kategoria]],kategorie[Kategoria],kategorie[Typ],"",0)</f>
        <v>Wydatki</v>
      </c>
      <c r="F23" s="3">
        <v>45326</v>
      </c>
      <c r="G23" s="1">
        <f>IF(ISBLANK(operacje[[#This Row],[Data]]),,MONTH(operacje[[#This Row],[Data]]))</f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tr">
        <f>_xlfn.XLOOKUP(operacje[[#This Row],[Kategoria]],kategorie[Kategoria],kategorie[Typ],"",0)</f>
        <v>Wydatki</v>
      </c>
      <c r="F24" s="3">
        <v>45328</v>
      </c>
      <c r="G24" s="1">
        <f>IF(ISBLANK(operacje[[#This Row],[Data]]),,MONTH(operacje[[#This Row],[Data]]))</f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tr">
        <f>_xlfn.XLOOKUP(operacje[[#This Row],[Kategoria]],kategorie[Kategoria],kategorie[Typ],"",0)</f>
        <v>Wpływy</v>
      </c>
      <c r="F25" s="3">
        <v>45332</v>
      </c>
      <c r="G25" s="1">
        <f>IF(ISBLANK(operacje[[#This Row],[Data]]),,MONTH(operacje[[#This Row],[Data]]))</f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tr">
        <f>_xlfn.XLOOKUP(operacje[[#This Row],[Kategoria]],kategorie[Kategoria],kategorie[Typ],"",0)</f>
        <v>Wydatki</v>
      </c>
      <c r="F26" s="3">
        <v>45333</v>
      </c>
      <c r="G26" s="1">
        <f>IF(ISBLANK(operacje[[#This Row],[Data]]),,MONTH(operacje[[#This Row],[Data]]))</f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tr">
        <f>_xlfn.XLOOKUP(operacje[[#This Row],[Kategoria]],kategorie[Kategoria],kategorie[Typ],"",0)</f>
        <v>Wydatki</v>
      </c>
      <c r="F27" s="3">
        <v>45335</v>
      </c>
      <c r="G27" s="1">
        <f>IF(ISBLANK(operacje[[#This Row],[Data]]),,MONTH(operacje[[#This Row],[Data]]))</f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tr">
        <f>_xlfn.XLOOKUP(operacje[[#This Row],[Kategoria]],kategorie[Kategoria],kategorie[Typ],"",0)</f>
        <v>Wpływy</v>
      </c>
      <c r="F28" s="3">
        <v>45336</v>
      </c>
      <c r="G28" s="1">
        <f>IF(ISBLANK(operacje[[#This Row],[Data]]),,MONTH(operacje[[#This Row],[Data]]))</f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tr">
        <f>_xlfn.XLOOKUP(operacje[[#This Row],[Kategoria]],kategorie[Kategoria],kategorie[Typ],"",0)</f>
        <v>Wydatki</v>
      </c>
      <c r="F29" s="3">
        <v>45336</v>
      </c>
      <c r="G29" s="1">
        <f>IF(ISBLANK(operacje[[#This Row],[Data]]),,MONTH(operacje[[#This Row],[Data]]))</f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tr">
        <f>_xlfn.XLOOKUP(operacje[[#This Row],[Kategoria]],kategorie[Kategoria],kategorie[Typ],"",0)</f>
        <v>Wydatki</v>
      </c>
      <c r="F30" s="3">
        <v>45336</v>
      </c>
      <c r="G30" s="1">
        <f>IF(ISBLANK(operacje[[#This Row],[Data]]),,MONTH(operacje[[#This Row],[Data]]))</f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tr">
        <f>_xlfn.XLOOKUP(operacje[[#This Row],[Kategoria]],kategorie[Kategoria],kategorie[Typ],"",0)</f>
        <v>Wydatki</v>
      </c>
      <c r="F31" s="3">
        <v>45336</v>
      </c>
      <c r="G31" s="1">
        <f>IF(ISBLANK(operacje[[#This Row],[Data]]),,MONTH(operacje[[#This Row],[Data]]))</f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tr">
        <f>_xlfn.XLOOKUP(operacje[[#This Row],[Kategoria]],kategorie[Kategoria],kategorie[Typ],"",0)</f>
        <v>Transfer</v>
      </c>
      <c r="F32" s="3">
        <v>45337</v>
      </c>
      <c r="G32" s="1">
        <f>IF(ISBLANK(operacje[[#This Row],[Data]]),,MONTH(operacje[[#This Row],[Data]]))</f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tr">
        <f>_xlfn.XLOOKUP(operacje[[#This Row],[Kategoria]],kategorie[Kategoria],kategorie[Typ],"",0)</f>
        <v>Transfer</v>
      </c>
      <c r="F33" s="3">
        <v>45337</v>
      </c>
      <c r="G33" s="1">
        <f>IF(ISBLANK(operacje[[#This Row],[Data]]),,MONTH(operacje[[#This Row],[Data]]))</f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tr">
        <f>_xlfn.XLOOKUP(operacje[[#This Row],[Kategoria]],kategorie[Kategoria],kategorie[Typ],"",0)</f>
        <v>Wydatki</v>
      </c>
      <c r="F34" s="3">
        <v>45339</v>
      </c>
      <c r="G34" s="1">
        <f>IF(ISBLANK(operacje[[#This Row],[Data]]),,MONTH(operacje[[#This Row],[Data]]))</f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tr">
        <f>_xlfn.XLOOKUP(operacje[[#This Row],[Kategoria]],kategorie[Kategoria],kategorie[Typ],"",0)</f>
        <v>Wydatki</v>
      </c>
      <c r="F35" s="3">
        <v>45342</v>
      </c>
      <c r="G35" s="1">
        <f>IF(ISBLANK(operacje[[#This Row],[Data]]),,MONTH(operacje[[#This Row],[Data]]))</f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tr">
        <f>_xlfn.XLOOKUP(operacje[[#This Row],[Kategoria]],kategorie[Kategoria],kategorie[Typ],"",0)</f>
        <v>Wpływy</v>
      </c>
      <c r="F36" s="3">
        <v>45344</v>
      </c>
      <c r="G36" s="1">
        <f>IF(ISBLANK(operacje[[#This Row],[Data]]),,MONTH(operacje[[#This Row],[Data]]))</f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tr">
        <f>_xlfn.XLOOKUP(operacje[[#This Row],[Kategoria]],kategorie[Kategoria],kategorie[Typ],"",0)</f>
        <v>Wpływy</v>
      </c>
      <c r="F37" s="3">
        <v>45345</v>
      </c>
      <c r="G37" s="1">
        <f>IF(ISBLANK(operacje[[#This Row],[Data]]),,MONTH(operacje[[#This Row],[Data]]))</f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tr">
        <f>_xlfn.XLOOKUP(operacje[[#This Row],[Kategoria]],kategorie[Kategoria],kategorie[Typ],"",0)</f>
        <v>Wydatki</v>
      </c>
      <c r="F38" s="3">
        <v>45346</v>
      </c>
      <c r="G38" s="1">
        <f>IF(ISBLANK(operacje[[#This Row],[Data]]),,MONTH(operacje[[#This Row],[Data]]))</f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tr">
        <f>_xlfn.XLOOKUP(operacje[[#This Row],[Kategoria]],kategorie[Kategoria],kategorie[Typ],"",0)</f>
        <v>Wpływy</v>
      </c>
      <c r="F39" s="3">
        <v>45347</v>
      </c>
      <c r="G39" s="1">
        <f>IF(ISBLANK(operacje[[#This Row],[Data]]),,MONTH(operacje[[#This Row],[Data]]))</f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tr">
        <f>_xlfn.XLOOKUP(operacje[[#This Row],[Kategoria]],kategorie[Kategoria],kategorie[Typ],"",0)</f>
        <v>Wydatki</v>
      </c>
      <c r="F40" s="3">
        <v>45347</v>
      </c>
      <c r="G40" s="1">
        <f>IF(ISBLANK(operacje[[#This Row],[Data]]),,MONTH(operacje[[#This Row],[Data]]))</f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tr">
        <f>_xlfn.XLOOKUP(operacje[[#This Row],[Kategoria]],kategorie[Kategoria],kategorie[Typ],"",0)</f>
        <v>Wydatki</v>
      </c>
      <c r="F41" s="3">
        <v>45348</v>
      </c>
      <c r="G41" s="1">
        <f>IF(ISBLANK(operacje[[#This Row],[Data]]),,MONTH(operacje[[#This Row],[Data]]))</f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tr">
        <f>_xlfn.XLOOKUP(operacje[[#This Row],[Kategoria]],kategorie[Kategoria],kategorie[Typ],"",0)</f>
        <v>Wydatki</v>
      </c>
      <c r="F42" s="3">
        <v>45348</v>
      </c>
      <c r="G42" s="1">
        <f>IF(ISBLANK(operacje[[#This Row],[Data]]),,MONTH(operacje[[#This Row],[Data]]))</f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tr">
        <f>_xlfn.XLOOKUP(operacje[[#This Row],[Kategoria]],kategorie[Kategoria],kategorie[Typ],"",0)</f>
        <v>Wpływy</v>
      </c>
      <c r="F43" s="3">
        <v>45349</v>
      </c>
      <c r="G43" s="1">
        <f>IF(ISBLANK(operacje[[#This Row],[Data]]),,MONTH(operacje[[#This Row],[Data]]))</f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tr">
        <f>_xlfn.XLOOKUP(operacje[[#This Row],[Kategoria]],kategorie[Kategoria],kategorie[Typ],"",0)</f>
        <v>Wydatki</v>
      </c>
      <c r="F44" s="3">
        <v>45350</v>
      </c>
      <c r="G44" s="1">
        <f>IF(ISBLANK(operacje[[#This Row],[Data]]),,MONTH(operacje[[#This Row],[Data]]))</f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tr">
        <f>_xlfn.XLOOKUP(operacje[[#This Row],[Kategoria]],kategorie[Kategoria],kategorie[Typ],"",0)</f>
        <v>Wpływy</v>
      </c>
      <c r="F45" s="3">
        <v>45350</v>
      </c>
      <c r="G45" s="1">
        <f>IF(ISBLANK(operacje[[#This Row],[Data]]),,MONTH(operacje[[#This Row],[Data]]))</f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tr">
        <f>_xlfn.XLOOKUP(operacje[[#This Row],[Kategoria]],kategorie[Kategoria],kategorie[Typ],"",0)</f>
        <v>Wydatki</v>
      </c>
      <c r="F46" s="3">
        <v>45352</v>
      </c>
      <c r="G46" s="1">
        <f>IF(ISBLANK(operacje[[#This Row],[Data]]),,MONTH(operacje[[#This Row],[Data]]))</f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tr">
        <f>_xlfn.XLOOKUP(operacje[[#This Row],[Kategoria]],kategorie[Kategoria],kategorie[Typ],"",0)</f>
        <v>Wydatki</v>
      </c>
      <c r="F47" s="3">
        <v>45353</v>
      </c>
      <c r="G47" s="1">
        <f>IF(ISBLANK(operacje[[#This Row],[Data]]),,MONTH(operacje[[#This Row],[Data]]))</f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tr">
        <f>_xlfn.XLOOKUP(operacje[[#This Row],[Kategoria]],kategorie[Kategoria],kategorie[Typ],"",0)</f>
        <v>Wydatki</v>
      </c>
      <c r="F48" s="3">
        <v>45353</v>
      </c>
      <c r="G48" s="1">
        <f>IF(ISBLANK(operacje[[#This Row],[Data]]),,MONTH(operacje[[#This Row],[Data]]))</f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tr">
        <f>_xlfn.XLOOKUP(operacje[[#This Row],[Kategoria]],kategorie[Kategoria],kategorie[Typ],"",0)</f>
        <v>Wydatki</v>
      </c>
      <c r="F49" s="3">
        <v>45355</v>
      </c>
      <c r="G49" s="1">
        <f>IF(ISBLANK(operacje[[#This Row],[Data]]),,MONTH(operacje[[#This Row],[Data]]))</f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tr">
        <f>_xlfn.XLOOKUP(operacje[[#This Row],[Kategoria]],kategorie[Kategoria],kategorie[Typ],"",0)</f>
        <v>Wpływy</v>
      </c>
      <c r="F50" s="3">
        <v>45357</v>
      </c>
      <c r="G50" s="1">
        <f>IF(ISBLANK(operacje[[#This Row],[Data]]),,MONTH(operacje[[#This Row],[Data]]))</f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tr">
        <f>_xlfn.XLOOKUP(operacje[[#This Row],[Kategoria]],kategorie[Kategoria],kategorie[Typ],"",0)</f>
        <v>Wydatki</v>
      </c>
      <c r="F51" s="3">
        <v>45359</v>
      </c>
      <c r="G51" s="1">
        <f>IF(ISBLANK(operacje[[#This Row],[Data]]),,MONTH(operacje[[#This Row],[Data]]))</f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tr">
        <f>_xlfn.XLOOKUP(operacje[[#This Row],[Kategoria]],kategorie[Kategoria],kategorie[Typ],"",0)</f>
        <v>Wpływy</v>
      </c>
      <c r="F52" s="3">
        <v>45361</v>
      </c>
      <c r="G52" s="1">
        <f>IF(ISBLANK(operacje[[#This Row],[Data]]),,MONTH(operacje[[#This Row],[Data]]))</f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tr">
        <f>_xlfn.XLOOKUP(operacje[[#This Row],[Kategoria]],kategorie[Kategoria],kategorie[Typ],"",0)</f>
        <v>Wydatki</v>
      </c>
      <c r="F53" s="3">
        <v>45362</v>
      </c>
      <c r="G53" s="1">
        <f>IF(ISBLANK(operacje[[#This Row],[Data]]),,MONTH(operacje[[#This Row],[Data]]))</f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tr">
        <f>_xlfn.XLOOKUP(operacje[[#This Row],[Kategoria]],kategorie[Kategoria],kategorie[Typ],"",0)</f>
        <v>Wydatki</v>
      </c>
      <c r="F54" s="3">
        <v>45363</v>
      </c>
      <c r="G54" s="1">
        <f>IF(ISBLANK(operacje[[#This Row],[Data]]),,MONTH(operacje[[#This Row],[Data]]))</f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tr">
        <f>_xlfn.XLOOKUP(operacje[[#This Row],[Kategoria]],kategorie[Kategoria],kategorie[Typ],"",0)</f>
        <v>Wydatki</v>
      </c>
      <c r="F55" s="3">
        <v>45364</v>
      </c>
      <c r="G55" s="1">
        <f>IF(ISBLANK(operacje[[#This Row],[Data]]),,MONTH(operacje[[#This Row],[Data]]))</f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tr">
        <f>_xlfn.XLOOKUP(operacje[[#This Row],[Kategoria]],kategorie[Kategoria],kategorie[Typ],"",0)</f>
        <v>Wydatki</v>
      </c>
      <c r="F56" s="3">
        <v>45368</v>
      </c>
      <c r="G56" s="1">
        <f>IF(ISBLANK(operacje[[#This Row],[Data]]),,MONTH(operacje[[#This Row],[Data]]))</f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tr">
        <f>_xlfn.XLOOKUP(operacje[[#This Row],[Kategoria]],kategorie[Kategoria],kategorie[Typ],"",0)</f>
        <v>Wydatki</v>
      </c>
      <c r="F57" s="3">
        <v>45371</v>
      </c>
      <c r="G57" s="1">
        <f>IF(ISBLANK(operacje[[#This Row],[Data]]),,MONTH(operacje[[#This Row],[Data]]))</f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tr">
        <f>_xlfn.XLOOKUP(operacje[[#This Row],[Kategoria]],kategorie[Kategoria],kategorie[Typ],"",0)</f>
        <v>Wydatki</v>
      </c>
      <c r="F58" s="3">
        <v>45373</v>
      </c>
      <c r="G58" s="1">
        <f>IF(ISBLANK(operacje[[#This Row],[Data]]),,MONTH(operacje[[#This Row],[Data]]))</f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tr">
        <f>_xlfn.XLOOKUP(operacje[[#This Row],[Kategoria]],kategorie[Kategoria],kategorie[Typ],"",0)</f>
        <v>Wydatki</v>
      </c>
      <c r="F59" s="3">
        <v>45375</v>
      </c>
      <c r="G59" s="1">
        <f>IF(ISBLANK(operacje[[#This Row],[Data]]),,MONTH(operacje[[#This Row],[Data]]))</f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32</v>
      </c>
      <c r="E60" s="1" t="str">
        <f>_xlfn.XLOOKUP(operacje[[#This Row],[Kategoria]],kategorie[Kategoria],kategorie[Typ],"",0)</f>
        <v>Wpływy</v>
      </c>
      <c r="F60" s="3">
        <v>45377</v>
      </c>
      <c r="G60" s="1">
        <f>IF(ISBLANK(operacje[[#This Row],[Data]]),,MONTH(operacje[[#This Row],[Data]]))</f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tr">
        <f>_xlfn.XLOOKUP(operacje[[#This Row],[Kategoria]],kategorie[Kategoria],kategorie[Typ],"",0)</f>
        <v>Wydatki</v>
      </c>
      <c r="F61" s="3">
        <v>45379</v>
      </c>
      <c r="G61" s="1">
        <f>IF(ISBLANK(operacje[[#This Row],[Data]]),,MONTH(operacje[[#This Row],[Data]]))</f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tr">
        <f>_xlfn.XLOOKUP(operacje[[#This Row],[Kategoria]],kategorie[Kategoria],kategorie[Typ],"",0)</f>
        <v>Wydatki</v>
      </c>
      <c r="F62" s="3">
        <v>45381</v>
      </c>
      <c r="G62" s="1">
        <f>IF(ISBLANK(operacje[[#This Row],[Data]]),,MONTH(operacje[[#This Row],[Data]]))</f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tr">
        <f>_xlfn.XLOOKUP(operacje[[#This Row],[Kategoria]],kategorie[Kategoria],kategorie[Typ],"",0)</f>
        <v>Wydatki</v>
      </c>
      <c r="F63" s="3">
        <v>45383</v>
      </c>
      <c r="G63" s="1">
        <f>IF(ISBLANK(operacje[[#This Row],[Data]]),,MONTH(operacje[[#This Row],[Data]]))</f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tr">
        <f>_xlfn.XLOOKUP(operacje[[#This Row],[Kategoria]],kategorie[Kategoria],kategorie[Typ],"",0)</f>
        <v>Wydatki</v>
      </c>
      <c r="F64" s="3">
        <v>45384</v>
      </c>
      <c r="G64" s="1">
        <f>IF(ISBLANK(operacje[[#This Row],[Data]]),,MONTH(operacje[[#This Row],[Data]]))</f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tr">
        <f>_xlfn.XLOOKUP(operacje[[#This Row],[Kategoria]],kategorie[Kategoria],kategorie[Typ],"",0)</f>
        <v>Wpływy</v>
      </c>
      <c r="F65" s="3">
        <v>45388</v>
      </c>
      <c r="G65" s="1">
        <f>IF(ISBLANK(operacje[[#This Row],[Data]]),,MONTH(operacje[[#This Row],[Data]]))</f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tr">
        <f>_xlfn.XLOOKUP(operacje[[#This Row],[Kategoria]],kategorie[Kategoria],kategorie[Typ],"",0)</f>
        <v>Wydatki</v>
      </c>
      <c r="F66" s="3">
        <v>45389</v>
      </c>
      <c r="G66" s="1">
        <f>IF(ISBLANK(operacje[[#This Row],[Data]]),,MONTH(operacje[[#This Row],[Data]]))</f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tr">
        <f>_xlfn.XLOOKUP(operacje[[#This Row],[Kategoria]],kategorie[Kategoria],kategorie[Typ],"",0)</f>
        <v>Wpływy</v>
      </c>
      <c r="F67" s="3">
        <v>45392</v>
      </c>
      <c r="G67" s="1">
        <f>IF(ISBLANK(operacje[[#This Row],[Data]]),,MONTH(operacje[[#This Row],[Data]]))</f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tr">
        <f>_xlfn.XLOOKUP(operacje[[#This Row],[Kategoria]],kategorie[Kategoria],kategorie[Typ],"",0)</f>
        <v>Wydatki</v>
      </c>
      <c r="F68" s="3">
        <v>45393</v>
      </c>
      <c r="G68" s="1">
        <f>IF(ISBLANK(operacje[[#This Row],[Data]]),,MONTH(operacje[[#This Row],[Data]]))</f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tr">
        <f>_xlfn.XLOOKUP(operacje[[#This Row],[Kategoria]],kategorie[Kategoria],kategorie[Typ],"",0)</f>
        <v>Wydatki</v>
      </c>
      <c r="F69" s="3">
        <v>45395</v>
      </c>
      <c r="G69" s="1">
        <f>IF(ISBLANK(operacje[[#This Row],[Data]]),,MONTH(operacje[[#This Row],[Data]]))</f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tr">
        <f>_xlfn.XLOOKUP(operacje[[#This Row],[Kategoria]],kategorie[Kategoria],kategorie[Typ],"",0)</f>
        <v>Transfer</v>
      </c>
      <c r="F70" s="3">
        <v>45397</v>
      </c>
      <c r="G70" s="1">
        <f>IF(ISBLANK(operacje[[#This Row],[Data]]),,MONTH(operacje[[#This Row],[Data]]))</f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tr">
        <f>_xlfn.XLOOKUP(operacje[[#This Row],[Kategoria]],kategorie[Kategoria],kategorie[Typ],"",0)</f>
        <v>Transfer</v>
      </c>
      <c r="F71" s="3">
        <v>45397</v>
      </c>
      <c r="G71" s="1">
        <f>IF(ISBLANK(operacje[[#This Row],[Data]]),,MONTH(operacje[[#This Row],[Data]]))</f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tr">
        <f>_xlfn.XLOOKUP(operacje[[#This Row],[Kategoria]],kategorie[Kategoria],kategorie[Typ],"",0)</f>
        <v>Wydatki</v>
      </c>
      <c r="F72" s="3">
        <v>45397</v>
      </c>
      <c r="G72" s="1">
        <f>IF(ISBLANK(operacje[[#This Row],[Data]]),,MONTH(operacje[[#This Row],[Data]]))</f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tr">
        <f>_xlfn.XLOOKUP(operacje[[#This Row],[Kategoria]],kategorie[Kategoria],kategorie[Typ],"",0)</f>
        <v>Wydatki</v>
      </c>
      <c r="F73" s="3">
        <v>45398</v>
      </c>
      <c r="G73" s="1">
        <f>IF(ISBLANK(operacje[[#This Row],[Data]]),,MONTH(operacje[[#This Row],[Data]]))</f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tr">
        <f>_xlfn.XLOOKUP(operacje[[#This Row],[Kategoria]],kategorie[Kategoria],kategorie[Typ],"",0)</f>
        <v>Wydatki</v>
      </c>
      <c r="F74" s="3">
        <v>45399</v>
      </c>
      <c r="G74" s="1">
        <f>IF(ISBLANK(operacje[[#This Row],[Data]]),,MONTH(operacje[[#This Row],[Data]]))</f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tr">
        <f>_xlfn.XLOOKUP(operacje[[#This Row],[Kategoria]],kategorie[Kategoria],kategorie[Typ],"",0)</f>
        <v>Wydatki</v>
      </c>
      <c r="F75" s="3">
        <v>45401</v>
      </c>
      <c r="G75" s="1">
        <f>IF(ISBLANK(operacje[[#This Row],[Data]]),,MONTH(operacje[[#This Row],[Data]]))</f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tr">
        <f>_xlfn.XLOOKUP(operacje[[#This Row],[Kategoria]],kategorie[Kategoria],kategorie[Typ],"",0)</f>
        <v>Wydatki</v>
      </c>
      <c r="F76" s="3">
        <v>45403</v>
      </c>
      <c r="G76" s="1">
        <f>IF(ISBLANK(operacje[[#This Row],[Data]]),,MONTH(operacje[[#This Row],[Data]]))</f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tr">
        <f>_xlfn.XLOOKUP(operacje[[#This Row],[Kategoria]],kategorie[Kategoria],kategorie[Typ],"",0)</f>
        <v>Wydatki</v>
      </c>
      <c r="F77" s="3">
        <v>45405</v>
      </c>
      <c r="G77" s="1">
        <f>IF(ISBLANK(operacje[[#This Row],[Data]]),,MONTH(operacje[[#This Row],[Data]]))</f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32</v>
      </c>
      <c r="E78" s="1" t="str">
        <f>_xlfn.XLOOKUP(operacje[[#This Row],[Kategoria]],kategorie[Kategoria],kategorie[Typ],"",0)</f>
        <v>Wpływy</v>
      </c>
      <c r="F78" s="3">
        <v>45407</v>
      </c>
      <c r="G78" s="1">
        <f>IF(ISBLANK(operacje[[#This Row],[Data]]),,MONTH(operacje[[#This Row],[Data]]))</f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tr">
        <f>_xlfn.XLOOKUP(operacje[[#This Row],[Kategoria]],kategorie[Kategoria],kategorie[Typ],"",0)</f>
        <v>Wydatki</v>
      </c>
      <c r="F79" s="3">
        <v>45409</v>
      </c>
      <c r="G79" s="1">
        <f>IF(ISBLANK(operacje[[#This Row],[Data]]),,MONTH(operacje[[#This Row],[Data]]))</f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tr">
        <f>_xlfn.XLOOKUP(operacje[[#This Row],[Kategoria]],kategorie[Kategoria],kategorie[Typ],"",0)</f>
        <v>Wydatki</v>
      </c>
      <c r="F80" s="3">
        <v>45410</v>
      </c>
      <c r="G80" s="1">
        <f>IF(ISBLANK(operacje[[#This Row],[Data]]),,MONTH(operacje[[#This Row],[Data]]))</f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tr">
        <f>_xlfn.XLOOKUP(operacje[[#This Row],[Kategoria]],kategorie[Kategoria],kategorie[Typ],"",0)</f>
        <v>Wydatki</v>
      </c>
      <c r="F81" s="3">
        <v>45411</v>
      </c>
      <c r="G81" s="1">
        <f>IF(ISBLANK(operacje[[#This Row],[Data]]),,MONTH(operacje[[#This Row],[Data]]))</f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tr">
        <f>_xlfn.XLOOKUP(operacje[[#This Row],[Kategoria]],kategorie[Kategoria],kategorie[Typ],"",0)</f>
        <v>Wydatki</v>
      </c>
      <c r="F82" s="3">
        <v>45419</v>
      </c>
      <c r="G82" s="1">
        <f>IF(ISBLANK(operacje[[#This Row],[Data]]),,MONTH(operacje[[#This Row],[Data]]))</f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tr">
        <f>_xlfn.XLOOKUP(operacje[[#This Row],[Kategoria]],kategorie[Kategoria],kategorie[Typ],"",0)</f>
        <v>Wydatki</v>
      </c>
      <c r="F83" s="3">
        <v>45422</v>
      </c>
      <c r="G83" s="1">
        <f>IF(ISBLANK(operacje[[#This Row],[Data]]),,MONTH(operacje[[#This Row],[Data]]))</f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tr">
        <f>_xlfn.XLOOKUP(operacje[[#This Row],[Kategoria]],kategorie[Kategoria],kategorie[Typ],"",0)</f>
        <v>Wpływy</v>
      </c>
      <c r="F84" s="3">
        <v>45422</v>
      </c>
      <c r="G84" s="1">
        <f>IF(ISBLANK(operacje[[#This Row],[Data]]),,MONTH(operacje[[#This Row],[Data]]))</f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tr">
        <f>_xlfn.XLOOKUP(operacje[[#This Row],[Kategoria]],kategorie[Kategoria],kategorie[Typ],"",0)</f>
        <v>Wydatki</v>
      </c>
      <c r="F85" s="3">
        <v>45423</v>
      </c>
      <c r="G85" s="1">
        <f>IF(ISBLANK(operacje[[#This Row],[Data]]),,MONTH(operacje[[#This Row],[Data]]))</f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tr">
        <f>_xlfn.XLOOKUP(operacje[[#This Row],[Kategoria]],kategorie[Kategoria],kategorie[Typ],"",0)</f>
        <v>Wydatki</v>
      </c>
      <c r="F86" s="3">
        <v>45426</v>
      </c>
      <c r="G86" s="1">
        <f>IF(ISBLANK(operacje[[#This Row],[Data]]),,MONTH(operacje[[#This Row],[Data]]))</f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tr">
        <f>_xlfn.XLOOKUP(operacje[[#This Row],[Kategoria]],kategorie[Kategoria],kategorie[Typ],"",0)</f>
        <v>Transfer</v>
      </c>
      <c r="F87" s="3">
        <v>45427</v>
      </c>
      <c r="G87" s="1">
        <f>IF(ISBLANK(operacje[[#This Row],[Data]]),,MONTH(operacje[[#This Row],[Data]]))</f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tr">
        <f>_xlfn.XLOOKUP(operacje[[#This Row],[Kategoria]],kategorie[Kategoria],kategorie[Typ],"",0)</f>
        <v>Transfer</v>
      </c>
      <c r="F88" s="3">
        <v>45427</v>
      </c>
      <c r="G88" s="1">
        <f>IF(ISBLANK(operacje[[#This Row],[Data]]),,MONTH(operacje[[#This Row],[Data]]))</f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tr">
        <f>_xlfn.XLOOKUP(operacje[[#This Row],[Kategoria]],kategorie[Kategoria],kategorie[Typ],"",0)</f>
        <v>Wydatki</v>
      </c>
      <c r="F89" s="3">
        <v>45433</v>
      </c>
      <c r="G89" s="1">
        <f>IF(ISBLANK(operacje[[#This Row],[Data]]),,MONTH(operacje[[#This Row],[Data]]))</f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tr">
        <f>_xlfn.XLOOKUP(operacje[[#This Row],[Kategoria]],kategorie[Kategoria],kategorie[Typ],"",0)</f>
        <v>Wydatki</v>
      </c>
      <c r="F90" s="3">
        <v>45440</v>
      </c>
      <c r="G90" s="1">
        <f>IF(ISBLANK(operacje[[#This Row],[Data]]),,MONTH(operacje[[#This Row],[Data]]))</f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tr">
        <f>_xlfn.XLOOKUP(operacje[[#This Row],[Kategoria]],kategorie[Kategoria],kategorie[Typ],"",0)</f>
        <v>Wydatki</v>
      </c>
      <c r="F91" s="3">
        <v>45441</v>
      </c>
      <c r="G91" s="1">
        <f>IF(ISBLANK(operacje[[#This Row],[Data]]),,MONTH(operacje[[#This Row],[Data]]))</f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tr">
        <f>_xlfn.XLOOKUP(operacje[[#This Row],[Kategoria]],kategorie[Kategoria],kategorie[Typ],"",0)</f>
        <v>Wydatki</v>
      </c>
      <c r="F92" s="3">
        <v>45442</v>
      </c>
      <c r="G92" s="1">
        <f>IF(ISBLANK(operacje[[#This Row],[Data]]),,MONTH(operacje[[#This Row],[Data]]))</f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tr">
        <f>_xlfn.XLOOKUP(operacje[[#This Row],[Kategoria]],kategorie[Kategoria],kategorie[Typ],"",0)</f>
        <v>Wydatki</v>
      </c>
      <c r="F93" s="3">
        <v>45450</v>
      </c>
      <c r="G93" s="1">
        <f>IF(ISBLANK(operacje[[#This Row],[Data]]),,MONTH(operacje[[#This Row],[Data]]))</f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tr">
        <f>_xlfn.XLOOKUP(operacje[[#This Row],[Kategoria]],kategorie[Kategoria],kategorie[Typ],"",0)</f>
        <v>Wydatki</v>
      </c>
      <c r="F94" s="3">
        <v>45453</v>
      </c>
      <c r="G94" s="1">
        <f>IF(ISBLANK(operacje[[#This Row],[Data]]),,MONTH(operacje[[#This Row],[Data]]))</f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tr">
        <f>_xlfn.XLOOKUP(operacje[[#This Row],[Kategoria]],kategorie[Kategoria],kategorie[Typ],"",0)</f>
        <v>Wpływy</v>
      </c>
      <c r="F95" s="3">
        <v>45453</v>
      </c>
      <c r="G95" s="1">
        <f>IF(ISBLANK(operacje[[#This Row],[Data]]),,MONTH(operacje[[#This Row],[Data]]))</f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tr">
        <f>_xlfn.XLOOKUP(operacje[[#This Row],[Kategoria]],kategorie[Kategoria],kategorie[Typ],"",0)</f>
        <v>Wydatki</v>
      </c>
      <c r="F96" s="3">
        <v>45454</v>
      </c>
      <c r="G96" s="1">
        <f>IF(ISBLANK(operacje[[#This Row],[Data]]),,MONTH(operacje[[#This Row],[Data]]))</f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tr">
        <f>_xlfn.XLOOKUP(operacje[[#This Row],[Kategoria]],kategorie[Kategoria],kategorie[Typ],"",0)</f>
        <v>Wydatki</v>
      </c>
      <c r="F97" s="3">
        <v>45457</v>
      </c>
      <c r="G97" s="1">
        <f>IF(ISBLANK(operacje[[#This Row],[Data]]),,MONTH(operacje[[#This Row],[Data]]))</f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tr">
        <f>_xlfn.XLOOKUP(operacje[[#This Row],[Kategoria]],kategorie[Kategoria],kategorie[Typ],"",0)</f>
        <v>Transfer</v>
      </c>
      <c r="F98" s="3">
        <v>45458</v>
      </c>
      <c r="G98" s="1">
        <f>IF(ISBLANK(operacje[[#This Row],[Data]]),,MONTH(operacje[[#This Row],[Data]]))</f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tr">
        <f>_xlfn.XLOOKUP(operacje[[#This Row],[Kategoria]],kategorie[Kategoria],kategorie[Typ],"",0)</f>
        <v>Transfer</v>
      </c>
      <c r="F99" s="3">
        <v>45458</v>
      </c>
      <c r="G99" s="1">
        <f>IF(ISBLANK(operacje[[#This Row],[Data]]),,MONTH(operacje[[#This Row],[Data]]))</f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tr">
        <f>_xlfn.XLOOKUP(operacje[[#This Row],[Kategoria]],kategorie[Kategoria],kategorie[Typ],"",0)</f>
        <v>Wydatki</v>
      </c>
      <c r="F100" s="3">
        <v>45458</v>
      </c>
      <c r="G100" s="1">
        <f>IF(ISBLANK(operacje[[#This Row],[Data]]),,MONTH(operacje[[#This Row],[Data]]))</f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tr">
        <f>_xlfn.XLOOKUP(operacje[[#This Row],[Kategoria]],kategorie[Kategoria],kategorie[Typ],"",0)</f>
        <v>Wydatki</v>
      </c>
      <c r="F101" s="3">
        <v>45464</v>
      </c>
      <c r="G101" s="1">
        <f>IF(ISBLANK(operacje[[#This Row],[Data]]),,MONTH(operacje[[#This Row],[Data]]))</f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tr">
        <f>_xlfn.XLOOKUP(operacje[[#This Row],[Kategoria]],kategorie[Kategoria],kategorie[Typ],"",0)</f>
        <v>Wydatki</v>
      </c>
      <c r="F102" s="3">
        <v>45471</v>
      </c>
      <c r="G102" s="1">
        <f>IF(ISBLANK(operacje[[#This Row],[Data]]),,MONTH(operacje[[#This Row],[Data]]))</f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tr">
        <f>_xlfn.XLOOKUP(operacje[[#This Row],[Kategoria]],kategorie[Kategoria],kategorie[Typ],"",0)</f>
        <v>Wydatki</v>
      </c>
      <c r="F103" s="3">
        <v>45471</v>
      </c>
      <c r="G103" s="1">
        <f>IF(ISBLANK(operacje[[#This Row],[Data]]),,MONTH(operacje[[#This Row],[Data]]))</f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tr">
        <f>_xlfn.XLOOKUP(operacje[[#This Row],[Kategoria]],kategorie[Kategoria],kategorie[Typ],"",0)</f>
        <v>Wydatki</v>
      </c>
      <c r="F104" s="3">
        <v>45472</v>
      </c>
      <c r="G104" s="1">
        <f>IF(ISBLANK(operacje[[#This Row],[Data]]),,MONTH(operacje[[#This Row],[Data]]))</f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tr">
        <f>_xlfn.XLOOKUP(operacje[[#This Row],[Kategoria]],kategorie[Kategoria],kategorie[Typ],"",0)</f>
        <v>Wpływy</v>
      </c>
      <c r="F105" s="3">
        <v>45472</v>
      </c>
      <c r="G105" s="1">
        <f>IF(ISBLANK(operacje[[#This Row],[Data]]),,MONTH(operacje[[#This Row],[Data]]))</f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tr">
        <f>_xlfn.XLOOKUP(operacje[[#This Row],[Kategoria]],kategorie[Kategoria],kategorie[Typ],"",0)</f>
        <v>Wydatki</v>
      </c>
      <c r="F106" s="3">
        <v>45473</v>
      </c>
      <c r="G106" s="1">
        <f>IF(ISBLANK(operacje[[#This Row],[Data]]),,MONTH(operacje[[#This Row],[Data]]))</f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tr">
        <f>_xlfn.XLOOKUP(operacje[[#This Row],[Kategoria]],kategorie[Kategoria],kategorie[Typ],"",0)</f>
        <v>Wydatki</v>
      </c>
      <c r="F107" s="3">
        <v>45476</v>
      </c>
      <c r="G107" s="1">
        <f>IF(ISBLANK(operacje[[#This Row],[Data]]),,MONTH(operacje[[#This Row],[Data]]))</f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tr">
        <f>_xlfn.XLOOKUP(operacje[[#This Row],[Kategoria]],kategorie[Kategoria],kategorie[Typ],"",0)</f>
        <v>Wydatki</v>
      </c>
      <c r="F108" s="3">
        <v>45480</v>
      </c>
      <c r="G108" s="1">
        <f>IF(ISBLANK(operacje[[#This Row],[Data]]),,MONTH(operacje[[#This Row],[Data]]))</f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tr">
        <f>_xlfn.XLOOKUP(operacje[[#This Row],[Kategoria]],kategorie[Kategoria],kategorie[Typ],"",0)</f>
        <v>Wpływy</v>
      </c>
      <c r="F109" s="3">
        <v>45483</v>
      </c>
      <c r="G109" s="1">
        <f>IF(ISBLANK(operacje[[#This Row],[Data]]),,MONTH(operacje[[#This Row],[Data]]))</f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tr">
        <f>_xlfn.XLOOKUP(operacje[[#This Row],[Kategoria]],kategorie[Kategoria],kategorie[Typ],"",0)</f>
        <v>Wydatki</v>
      </c>
      <c r="F110" s="3">
        <v>45484</v>
      </c>
      <c r="G110" s="1">
        <f>IF(ISBLANK(operacje[[#This Row],[Data]]),,MONTH(operacje[[#This Row],[Data]]))</f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tr">
        <f>_xlfn.XLOOKUP(operacje[[#This Row],[Kategoria]],kategorie[Kategoria],kategorie[Typ],"",0)</f>
        <v>Wydatki</v>
      </c>
      <c r="F111" s="3">
        <v>45487</v>
      </c>
      <c r="G111" s="1">
        <f>IF(ISBLANK(operacje[[#This Row],[Data]]),,MONTH(operacje[[#This Row],[Data]]))</f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tr">
        <f>_xlfn.XLOOKUP(operacje[[#This Row],[Kategoria]],kategorie[Kategoria],kategorie[Typ],"",0)</f>
        <v>Transfer</v>
      </c>
      <c r="F112" s="3">
        <v>45488</v>
      </c>
      <c r="G112" s="1">
        <f>IF(ISBLANK(operacje[[#This Row],[Data]]),,MONTH(operacje[[#This Row],[Data]]))</f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tr">
        <f>_xlfn.XLOOKUP(operacje[[#This Row],[Kategoria]],kategorie[Kategoria],kategorie[Typ],"",0)</f>
        <v>Transfer</v>
      </c>
      <c r="F113" s="3">
        <v>45488</v>
      </c>
      <c r="G113" s="1">
        <f>IF(ISBLANK(operacje[[#This Row],[Data]]),,MONTH(operacje[[#This Row],[Data]]))</f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tr">
        <f>_xlfn.XLOOKUP(operacje[[#This Row],[Kategoria]],kategorie[Kategoria],kategorie[Typ],"",0)</f>
        <v>Wydatki</v>
      </c>
      <c r="F114" s="3">
        <v>45489</v>
      </c>
      <c r="G114" s="1">
        <f>IF(ISBLANK(operacje[[#This Row],[Data]]),,MONTH(operacje[[#This Row],[Data]]))</f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32</v>
      </c>
      <c r="E115" s="1" t="str">
        <f>_xlfn.XLOOKUP(operacje[[#This Row],[Kategoria]],kategorie[Kategoria],kategorie[Typ],"",0)</f>
        <v>Wpływy</v>
      </c>
      <c r="F115" s="3">
        <v>45491</v>
      </c>
      <c r="G115" s="1">
        <f>IF(ISBLANK(operacje[[#This Row],[Data]]),,MONTH(operacje[[#This Row],[Data]]))</f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tr">
        <f>_xlfn.XLOOKUP(operacje[[#This Row],[Kategoria]],kategorie[Kategoria],kategorie[Typ],"",0)</f>
        <v>Wydatki</v>
      </c>
      <c r="F116" s="3">
        <v>45494</v>
      </c>
      <c r="G116" s="1">
        <f>IF(ISBLANK(operacje[[#This Row],[Data]]),,MONTH(operacje[[#This Row],[Data]]))</f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tr">
        <f>_xlfn.XLOOKUP(operacje[[#This Row],[Kategoria]],kategorie[Kategoria],kategorie[Typ],"",0)</f>
        <v>Wpływy</v>
      </c>
      <c r="F117" s="3">
        <v>45495</v>
      </c>
      <c r="G117" s="1">
        <f>IF(ISBLANK(operacje[[#This Row],[Data]]),,MONTH(operacje[[#This Row],[Data]]))</f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tr">
        <f>_xlfn.XLOOKUP(operacje[[#This Row],[Kategoria]],kategorie[Kategoria],kategorie[Typ],"",0)</f>
        <v>Wydatki</v>
      </c>
      <c r="F118" s="3">
        <v>45497</v>
      </c>
      <c r="G118" s="1">
        <f>IF(ISBLANK(operacje[[#This Row],[Data]]),,MONTH(operacje[[#This Row],[Data]]))</f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tr">
        <f>_xlfn.XLOOKUP(operacje[[#This Row],[Kategoria]],kategorie[Kategoria],kategorie[Typ],"",0)</f>
        <v>Wydatki</v>
      </c>
      <c r="F119" s="3">
        <v>45499</v>
      </c>
      <c r="G119" s="1">
        <f>IF(ISBLANK(operacje[[#This Row],[Data]]),,MONTH(operacje[[#This Row],[Data]]))</f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tr">
        <f>_xlfn.XLOOKUP(operacje[[#This Row],[Kategoria]],kategorie[Kategoria],kategorie[Typ],"",0)</f>
        <v>Wydatki</v>
      </c>
      <c r="F120" s="3">
        <v>45502</v>
      </c>
      <c r="G120" s="1">
        <f>IF(ISBLANK(operacje[[#This Row],[Data]]),,MONTH(operacje[[#This Row],[Data]]))</f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33</v>
      </c>
      <c r="E121" s="1" t="str">
        <f>_xlfn.XLOOKUP(operacje[[#This Row],[Kategoria]],kategorie[Kategoria],kategorie[Typ],"",0)</f>
        <v>Wpływy</v>
      </c>
      <c r="F121" s="3">
        <v>45503</v>
      </c>
      <c r="G121" s="1">
        <f>IF(ISBLANK(operacje[[#This Row],[Data]]),,MONTH(operacje[[#This Row],[Data]]))</f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tr">
        <f>_xlfn.XLOOKUP(operacje[[#This Row],[Kategoria]],kategorie[Kategoria],kategorie[Typ],"",0)</f>
        <v>Wydatki</v>
      </c>
      <c r="F122" s="3">
        <v>45504</v>
      </c>
      <c r="G122" s="1">
        <f>IF(ISBLANK(operacje[[#This Row],[Data]]),,MONTH(operacje[[#This Row],[Data]]))</f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tr">
        <f>_xlfn.XLOOKUP(operacje[[#This Row],[Kategoria]],kategorie[Kategoria],kategorie[Typ],"",0)</f>
        <v>Wydatki</v>
      </c>
      <c r="F123" s="3">
        <v>45505</v>
      </c>
      <c r="G123" s="1">
        <f>IF(ISBLANK(operacje[[#This Row],[Data]]),,MONTH(operacje[[#This Row],[Data]]))</f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tr">
        <f>_xlfn.XLOOKUP(operacje[[#This Row],[Kategoria]],kategorie[Kategoria],kategorie[Typ],"",0)</f>
        <v>Transfer</v>
      </c>
      <c r="F124" s="3">
        <v>45505</v>
      </c>
      <c r="G124" s="1">
        <f>IF(ISBLANK(operacje[[#This Row],[Data]]),,MONTH(operacje[[#This Row],[Data]]))</f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tr">
        <f>_xlfn.XLOOKUP(operacje[[#This Row],[Kategoria]],kategorie[Kategoria],kategorie[Typ],"",0)</f>
        <v>Wydatki</v>
      </c>
      <c r="F125" s="3">
        <v>45505</v>
      </c>
      <c r="G125" s="1">
        <f>IF(ISBLANK(operacje[[#This Row],[Data]]),,MONTH(operacje[[#This Row],[Data]]))</f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tr">
        <f>_xlfn.XLOOKUP(operacje[[#This Row],[Kategoria]],kategorie[Kategoria],kategorie[Typ],"",0)</f>
        <v>Wydatki</v>
      </c>
      <c r="F126" s="3">
        <v>45513</v>
      </c>
      <c r="G126" s="1">
        <f>IF(ISBLANK(operacje[[#This Row],[Data]]),,MONTH(operacje[[#This Row],[Data]]))</f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tr">
        <f>_xlfn.XLOOKUP(operacje[[#This Row],[Kategoria]],kategorie[Kategoria],kategorie[Typ],"",0)</f>
        <v>Wpływy</v>
      </c>
      <c r="F127" s="3">
        <v>45514</v>
      </c>
      <c r="G127" s="1">
        <f>IF(ISBLANK(operacje[[#This Row],[Data]]),,MONTH(operacje[[#This Row],[Data]]))</f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tr">
        <f>_xlfn.XLOOKUP(operacje[[#This Row],[Kategoria]],kategorie[Kategoria],kategorie[Typ],"",0)</f>
        <v>Wydatki</v>
      </c>
      <c r="F128" s="3">
        <v>45515</v>
      </c>
      <c r="G128" s="1">
        <f>IF(ISBLANK(operacje[[#This Row],[Data]]),,MONTH(operacje[[#This Row],[Data]]))</f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tr">
        <f>_xlfn.XLOOKUP(operacje[[#This Row],[Kategoria]],kategorie[Kategoria],kategorie[Typ],"",0)</f>
        <v>Wydatki</v>
      </c>
      <c r="F129" s="3">
        <v>45518</v>
      </c>
      <c r="G129" s="1">
        <f>IF(ISBLANK(operacje[[#This Row],[Data]]),,MONTH(operacje[[#This Row],[Data]]))</f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tr">
        <f>_xlfn.XLOOKUP(operacje[[#This Row],[Kategoria]],kategorie[Kategoria],kategorie[Typ],"",0)</f>
        <v>Transfer</v>
      </c>
      <c r="F130" s="3">
        <v>45519</v>
      </c>
      <c r="G130" s="1">
        <f>IF(ISBLANK(operacje[[#This Row],[Data]]),,MONTH(operacje[[#This Row],[Data]]))</f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tr">
        <f>_xlfn.XLOOKUP(operacje[[#This Row],[Kategoria]],kategorie[Kategoria],kategorie[Typ],"",0)</f>
        <v>Transfer</v>
      </c>
      <c r="F131" s="3">
        <v>45519</v>
      </c>
      <c r="G131" s="1">
        <f>IF(ISBLANK(operacje[[#This Row],[Data]]),,MONTH(operacje[[#This Row],[Data]]))</f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tr">
        <f>_xlfn.XLOOKUP(operacje[[#This Row],[Kategoria]],kategorie[Kategoria],kategorie[Typ],"",0)</f>
        <v>Wydatki</v>
      </c>
      <c r="F132" s="3">
        <v>45520</v>
      </c>
      <c r="G132" s="1">
        <f>IF(ISBLANK(operacje[[#This Row],[Data]]),,MONTH(operacje[[#This Row],[Data]]))</f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tr">
        <f>_xlfn.XLOOKUP(operacje[[#This Row],[Kategoria]],kategorie[Kategoria],kategorie[Typ],"",0)</f>
        <v>Wydatki</v>
      </c>
      <c r="F133" s="3">
        <v>45522</v>
      </c>
      <c r="G133" s="1">
        <f>IF(ISBLANK(operacje[[#This Row],[Data]]),,MONTH(operacje[[#This Row],[Data]]))</f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32</v>
      </c>
      <c r="E134" s="1" t="str">
        <f>_xlfn.XLOOKUP(operacje[[#This Row],[Kategoria]],kategorie[Kategoria],kategorie[Typ],"",0)</f>
        <v>Wpływy</v>
      </c>
      <c r="F134" s="3">
        <v>45524</v>
      </c>
      <c r="G134" s="1">
        <f>IF(ISBLANK(operacje[[#This Row],[Data]]),,MONTH(operacje[[#This Row],[Data]]))</f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tr">
        <f>_xlfn.XLOOKUP(operacje[[#This Row],[Kategoria]],kategorie[Kategoria],kategorie[Typ],"",0)</f>
        <v>Wydatki</v>
      </c>
      <c r="F135" s="3">
        <v>45526</v>
      </c>
      <c r="G135" s="1">
        <f>IF(ISBLANK(operacje[[#This Row],[Data]]),,MONTH(operacje[[#This Row],[Data]]))</f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tr">
        <f>_xlfn.XLOOKUP(operacje[[#This Row],[Kategoria]],kategorie[Kategoria],kategorie[Typ],"",0)</f>
        <v>Wydatki</v>
      </c>
      <c r="F136" s="3">
        <v>45527</v>
      </c>
      <c r="G136" s="1">
        <f>IF(ISBLANK(operacje[[#This Row],[Data]]),,MONTH(operacje[[#This Row],[Data]]))</f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tr">
        <f>_xlfn.XLOOKUP(operacje[[#This Row],[Kategoria]],kategorie[Kategoria],kategorie[Typ],"",0)</f>
        <v>Wydatki</v>
      </c>
      <c r="F137" s="3">
        <v>45528</v>
      </c>
      <c r="G137" s="1">
        <f>IF(ISBLANK(operacje[[#This Row],[Data]]),,MONTH(operacje[[#This Row],[Data]]))</f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tr">
        <f>_xlfn.XLOOKUP(operacje[[#This Row],[Kategoria]],kategorie[Kategoria],kategorie[Typ],"",0)</f>
        <v>Wydatki</v>
      </c>
      <c r="F138" s="3">
        <v>45531</v>
      </c>
      <c r="G138" s="1">
        <f>IF(ISBLANK(operacje[[#This Row],[Data]]),,MONTH(operacje[[#This Row],[Data]]))</f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33</v>
      </c>
      <c r="E139" s="1" t="str">
        <f>_xlfn.XLOOKUP(operacje[[#This Row],[Kategoria]],kategorie[Kategoria],kategorie[Typ],"",0)</f>
        <v>Wpływy</v>
      </c>
      <c r="F139" s="3">
        <v>45534</v>
      </c>
      <c r="G139" s="1">
        <f>IF(ISBLANK(operacje[[#This Row],[Data]]),,MONTH(operacje[[#This Row],[Data]]))</f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32</v>
      </c>
      <c r="E140" s="1" t="str">
        <f>_xlfn.XLOOKUP(operacje[[#This Row],[Kategoria]],kategorie[Kategoria],kategorie[Typ],"",0)</f>
        <v>Wpływy</v>
      </c>
      <c r="F140" s="3">
        <v>45535</v>
      </c>
      <c r="G140" s="1">
        <f>IF(ISBLANK(operacje[[#This Row],[Data]]),,MONTH(operacje[[#This Row],[Data]]))</f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tr">
        <f>_xlfn.XLOOKUP(operacje[[#This Row],[Kategoria]],kategorie[Kategoria],kategorie[Typ],"",0)</f>
        <v>Wydatki</v>
      </c>
      <c r="F141" s="3">
        <v>45536</v>
      </c>
      <c r="G141" s="1">
        <f>IF(ISBLANK(operacje[[#This Row],[Data]]),,MONTH(operacje[[#This Row],[Data]]))</f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tr">
        <f>_xlfn.XLOOKUP(operacje[[#This Row],[Kategoria]],kategorie[Kategoria],kategorie[Typ],"",0)</f>
        <v>Wydatki</v>
      </c>
      <c r="F142" s="3">
        <v>45539</v>
      </c>
      <c r="G142" s="1">
        <f>IF(ISBLANK(operacje[[#This Row],[Data]]),,MONTH(operacje[[#This Row],[Data]]))</f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tr">
        <f>_xlfn.XLOOKUP(operacje[[#This Row],[Kategoria]],kategorie[Kategoria],kategorie[Typ],"",0)</f>
        <v>Wydatki</v>
      </c>
      <c r="F143" s="3">
        <v>45542</v>
      </c>
      <c r="G143" s="1">
        <f>IF(ISBLANK(operacje[[#This Row],[Data]]),,MONTH(operacje[[#This Row],[Data]]))</f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tr">
        <f>_xlfn.XLOOKUP(operacje[[#This Row],[Kategoria]],kategorie[Kategoria],kategorie[Typ],"",0)</f>
        <v>Wydatki</v>
      </c>
      <c r="F144" s="3">
        <v>45543</v>
      </c>
      <c r="G144" s="1">
        <f>IF(ISBLANK(operacje[[#This Row],[Data]]),,MONTH(operacje[[#This Row],[Data]]))</f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tr">
        <f>_xlfn.XLOOKUP(operacje[[#This Row],[Kategoria]],kategorie[Kategoria],kategorie[Typ],"",0)</f>
        <v>Wpływy</v>
      </c>
      <c r="F145" s="3">
        <v>45545</v>
      </c>
      <c r="G145" s="1">
        <f>IF(ISBLANK(operacje[[#This Row],[Data]]),,MONTH(operacje[[#This Row],[Data]]))</f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tr">
        <f>_xlfn.XLOOKUP(operacje[[#This Row],[Kategoria]],kategorie[Kategoria],kategorie[Typ],"",0)</f>
        <v>Wydatki</v>
      </c>
      <c r="F146" s="3">
        <v>45546</v>
      </c>
      <c r="G146" s="1">
        <f>IF(ISBLANK(operacje[[#This Row],[Data]]),,MONTH(operacje[[#This Row],[Data]]))</f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tr">
        <f>_xlfn.XLOOKUP(operacje[[#This Row],[Kategoria]],kategorie[Kategoria],kategorie[Typ],"",0)</f>
        <v>Wydatki</v>
      </c>
      <c r="F147" s="3">
        <v>45546</v>
      </c>
      <c r="G147" s="1">
        <f>IF(ISBLANK(operacje[[#This Row],[Data]]),,MONTH(operacje[[#This Row],[Data]]))</f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tr">
        <f>_xlfn.XLOOKUP(operacje[[#This Row],[Kategoria]],kategorie[Kategoria],kategorie[Typ],"",0)</f>
        <v>Transfer</v>
      </c>
      <c r="F148" s="3">
        <v>45550</v>
      </c>
      <c r="G148" s="1">
        <f>IF(ISBLANK(operacje[[#This Row],[Data]]),,MONTH(operacje[[#This Row],[Data]]))</f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tr">
        <f>_xlfn.XLOOKUP(operacje[[#This Row],[Kategoria]],kategorie[Kategoria],kategorie[Typ],"",0)</f>
        <v>Transfer</v>
      </c>
      <c r="F149" s="3">
        <v>45550</v>
      </c>
      <c r="G149" s="1">
        <f>IF(ISBLANK(operacje[[#This Row],[Data]]),,MONTH(operacje[[#This Row],[Data]]))</f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tr">
        <f>_xlfn.XLOOKUP(operacje[[#This Row],[Kategoria]],kategorie[Kategoria],kategorie[Typ],"",0)</f>
        <v>Wydatki</v>
      </c>
      <c r="F150" s="3">
        <v>45553</v>
      </c>
      <c r="G150" s="1">
        <f>IF(ISBLANK(operacje[[#This Row],[Data]]),,MONTH(operacje[[#This Row],[Data]]))</f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tr">
        <f>_xlfn.XLOOKUP(operacje[[#This Row],[Kategoria]],kategorie[Kategoria],kategorie[Typ],"",0)</f>
        <v>Wydatki</v>
      </c>
      <c r="F151" s="3">
        <v>45566</v>
      </c>
      <c r="G151" s="1">
        <f>IF(ISBLANK(operacje[[#This Row],[Data]]),,MONTH(operacje[[#This Row],[Data]]))</f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tr">
        <f>_xlfn.XLOOKUP(operacje[[#This Row],[Kategoria]],kategorie[Kategoria],kategorie[Typ],"",0)</f>
        <v>Wydatki</v>
      </c>
      <c r="F152" s="3">
        <v>45572</v>
      </c>
      <c r="G152" s="1">
        <f>IF(ISBLANK(operacje[[#This Row],[Data]]),,MONTH(operacje[[#This Row],[Data]]))</f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tr">
        <f>_xlfn.XLOOKUP(operacje[[#This Row],[Kategoria]],kategorie[Kategoria],kategorie[Typ],"",0)</f>
        <v>Wydatki</v>
      </c>
      <c r="F153" s="3">
        <v>45573</v>
      </c>
      <c r="G153" s="1">
        <f>IF(ISBLANK(operacje[[#This Row],[Data]]),,MONTH(operacje[[#This Row],[Data]]))</f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tr">
        <f>_xlfn.XLOOKUP(operacje[[#This Row],[Kategoria]],kategorie[Kategoria],kategorie[Typ],"",0)</f>
        <v>Wpływy</v>
      </c>
      <c r="F154" s="3">
        <v>45575</v>
      </c>
      <c r="G154" s="1">
        <f>IF(ISBLANK(operacje[[#This Row],[Data]]),,MONTH(operacje[[#This Row],[Data]]))</f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tr">
        <f>_xlfn.XLOOKUP(operacje[[#This Row],[Kategoria]],kategorie[Kategoria],kategorie[Typ],"",0)</f>
        <v>Wydatki</v>
      </c>
      <c r="F155" s="3">
        <v>45576</v>
      </c>
      <c r="G155" s="1">
        <f>IF(ISBLANK(operacje[[#This Row],[Data]]),,MONTH(operacje[[#This Row],[Data]]))</f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tr">
        <f>_xlfn.XLOOKUP(operacje[[#This Row],[Kategoria]],kategorie[Kategoria],kategorie[Typ],"",0)</f>
        <v>Wydatki</v>
      </c>
      <c r="F156" s="3">
        <v>45576</v>
      </c>
      <c r="G156" s="1">
        <f>IF(ISBLANK(operacje[[#This Row],[Data]]),,MONTH(operacje[[#This Row],[Data]]))</f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tr">
        <f>_xlfn.XLOOKUP(operacje[[#This Row],[Kategoria]],kategorie[Kategoria],kategorie[Typ],"",0)</f>
        <v>Transfer</v>
      </c>
      <c r="F157" s="3">
        <v>45580</v>
      </c>
      <c r="G157" s="1">
        <f>IF(ISBLANK(operacje[[#This Row],[Data]]),,MONTH(operacje[[#This Row],[Data]]))</f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tr">
        <f>_xlfn.XLOOKUP(operacje[[#This Row],[Kategoria]],kategorie[Kategoria],kategorie[Typ],"",0)</f>
        <v>Transfer</v>
      </c>
      <c r="F158" s="3">
        <v>45580</v>
      </c>
      <c r="G158" s="1">
        <f>IF(ISBLANK(operacje[[#This Row],[Data]]),,MONTH(operacje[[#This Row],[Data]]))</f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tr">
        <f>_xlfn.XLOOKUP(operacje[[#This Row],[Kategoria]],kategorie[Kategoria],kategorie[Typ],"",0)</f>
        <v>Wpływy</v>
      </c>
      <c r="F159" s="3">
        <v>45606</v>
      </c>
      <c r="G159" s="1">
        <f>IF(ISBLANK(operacje[[#This Row],[Data]]),,MONTH(operacje[[#This Row],[Data]]))</f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tr">
        <f>_xlfn.XLOOKUP(operacje[[#This Row],[Kategoria]],kategorie[Kategoria],kategorie[Typ],"",0)</f>
        <v>Wydatki</v>
      </c>
      <c r="F160" s="3">
        <v>45607</v>
      </c>
      <c r="G160" s="1">
        <f>IF(ISBLANK(operacje[[#This Row],[Data]]),,MONTH(operacje[[#This Row],[Data]]))</f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tr">
        <f>_xlfn.XLOOKUP(operacje[[#This Row],[Kategoria]],kategorie[Kategoria],kategorie[Typ],"",0)</f>
        <v>Wydatki</v>
      </c>
      <c r="F161" s="3">
        <v>45607</v>
      </c>
      <c r="G161" s="1">
        <f>IF(ISBLANK(operacje[[#This Row],[Data]]),,MONTH(operacje[[#This Row],[Data]]))</f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tr">
        <f>_xlfn.XLOOKUP(operacje[[#This Row],[Kategoria]],kategorie[Kategoria],kategorie[Typ],"",0)</f>
        <v>Wydatki</v>
      </c>
      <c r="F162" s="3">
        <v>45607</v>
      </c>
      <c r="G162" s="1">
        <f>IF(ISBLANK(operacje[[#This Row],[Data]]),,MONTH(operacje[[#This Row],[Data]]))</f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tr">
        <f>_xlfn.XLOOKUP(operacje[[#This Row],[Kategoria]],kategorie[Kategoria],kategorie[Typ],"",0)</f>
        <v>Wydatki</v>
      </c>
      <c r="F163" s="3">
        <v>45608</v>
      </c>
      <c r="G163" s="1">
        <f>IF(ISBLANK(operacje[[#This Row],[Data]]),,MONTH(operacje[[#This Row],[Data]]))</f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tr">
        <f>_xlfn.XLOOKUP(operacje[[#This Row],[Kategoria]],kategorie[Kategoria],kategorie[Typ],"",0)</f>
        <v>Wydatki</v>
      </c>
      <c r="F164" s="3">
        <v>45610</v>
      </c>
      <c r="G164" s="1">
        <f>IF(ISBLANK(operacje[[#This Row],[Data]]),,MONTH(operacje[[#This Row],[Data]]))</f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tr">
        <f>_xlfn.XLOOKUP(operacje[[#This Row],[Kategoria]],kategorie[Kategoria],kategorie[Typ],"",0)</f>
        <v>Transfer</v>
      </c>
      <c r="F165" s="3">
        <v>45611</v>
      </c>
      <c r="G165" s="1">
        <f>IF(ISBLANK(operacje[[#This Row],[Data]]),,MONTH(operacje[[#This Row],[Data]]))</f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tr">
        <f>_xlfn.XLOOKUP(operacje[[#This Row],[Kategoria]],kategorie[Kategoria],kategorie[Typ],"",0)</f>
        <v>Transfer</v>
      </c>
      <c r="F166" s="3">
        <v>45611</v>
      </c>
      <c r="G166" s="1">
        <f>IF(ISBLANK(operacje[[#This Row],[Data]]),,MONTH(operacje[[#This Row],[Data]]))</f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tr">
        <f>_xlfn.XLOOKUP(operacje[[#This Row],[Kategoria]],kategorie[Kategoria],kategorie[Typ],"",0)</f>
        <v>Wydatki</v>
      </c>
      <c r="F167" s="3">
        <v>45612</v>
      </c>
      <c r="G167" s="1">
        <f>IF(ISBLANK(operacje[[#This Row],[Data]]),,MONTH(operacje[[#This Row],[Data]]))</f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tr">
        <f>_xlfn.XLOOKUP(operacje[[#This Row],[Kategoria]],kategorie[Kategoria],kategorie[Typ],"",0)</f>
        <v>Wydatki</v>
      </c>
      <c r="F168" s="3">
        <v>45613</v>
      </c>
      <c r="G168" s="1">
        <f>IF(ISBLANK(operacje[[#This Row],[Data]]),,MONTH(operacje[[#This Row],[Data]]))</f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tr">
        <f>_xlfn.XLOOKUP(operacje[[#This Row],[Kategoria]],kategorie[Kategoria],kategorie[Typ],"",0)</f>
        <v>Wydatki</v>
      </c>
      <c r="F169" s="3">
        <v>45613</v>
      </c>
      <c r="G169" s="1">
        <f>IF(ISBLANK(operacje[[#This Row],[Data]]),,MONTH(operacje[[#This Row],[Data]]))</f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tr">
        <f>_xlfn.XLOOKUP(operacje[[#This Row],[Kategoria]],kategorie[Kategoria],kategorie[Typ],"",0)</f>
        <v>Wydatki</v>
      </c>
      <c r="F170" s="3">
        <v>45615</v>
      </c>
      <c r="G170" s="1">
        <f>IF(ISBLANK(operacje[[#This Row],[Data]]),,MONTH(operacje[[#This Row],[Data]]))</f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tr">
        <f>_xlfn.XLOOKUP(operacje[[#This Row],[Kategoria]],kategorie[Kategoria],kategorie[Typ],"",0)</f>
        <v>Wydatki</v>
      </c>
      <c r="F171" s="3">
        <v>45616</v>
      </c>
      <c r="G171" s="1">
        <f>IF(ISBLANK(operacje[[#This Row],[Data]]),,MONTH(operacje[[#This Row],[Data]]))</f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tr">
        <f>_xlfn.XLOOKUP(operacje[[#This Row],[Kategoria]],kategorie[Kategoria],kategorie[Typ],"",0)</f>
        <v>Wydatki</v>
      </c>
      <c r="F172" s="3">
        <v>45617</v>
      </c>
      <c r="G172" s="1">
        <f>IF(ISBLANK(operacje[[#This Row],[Data]]),,MONTH(operacje[[#This Row],[Data]]))</f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tr">
        <f>_xlfn.XLOOKUP(operacje[[#This Row],[Kategoria]],kategorie[Kategoria],kategorie[Typ],"",0)</f>
        <v>Wydatki</v>
      </c>
      <c r="F173" s="3">
        <v>45618</v>
      </c>
      <c r="G173" s="1">
        <f>IF(ISBLANK(operacje[[#This Row],[Data]]),,MONTH(operacje[[#This Row],[Data]]))</f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tr">
        <f>_xlfn.XLOOKUP(operacje[[#This Row],[Kategoria]],kategorie[Kategoria],kategorie[Typ],"",0)</f>
        <v>Wydatki</v>
      </c>
      <c r="F174" s="3">
        <v>45618</v>
      </c>
      <c r="G174" s="1">
        <f>IF(ISBLANK(operacje[[#This Row],[Data]]),,MONTH(operacje[[#This Row],[Data]]))</f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tr">
        <f>_xlfn.XLOOKUP(operacje[[#This Row],[Kategoria]],kategorie[Kategoria],kategorie[Typ],"",0)</f>
        <v>Wydatki</v>
      </c>
      <c r="F175" s="3">
        <v>45618</v>
      </c>
      <c r="G175" s="1">
        <f>IF(ISBLANK(operacje[[#This Row],[Data]]),,MONTH(operacje[[#This Row],[Data]]))</f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tr">
        <f>_xlfn.XLOOKUP(operacje[[#This Row],[Kategoria]],kategorie[Kategoria],kategorie[Typ],"",0)</f>
        <v>Wydatki</v>
      </c>
      <c r="F176" s="3">
        <v>45619</v>
      </c>
      <c r="G176" s="1">
        <f>IF(ISBLANK(operacje[[#This Row],[Data]]),,MONTH(operacje[[#This Row],[Data]]))</f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tr">
        <f>_xlfn.XLOOKUP(operacje[[#This Row],[Kategoria]],kategorie[Kategoria],kategorie[Typ],"",0)</f>
        <v>Wydatki</v>
      </c>
      <c r="F177" s="3">
        <v>45619</v>
      </c>
      <c r="G177" s="1">
        <f>IF(ISBLANK(operacje[[#This Row],[Data]]),,MONTH(operacje[[#This Row],[Data]]))</f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tr">
        <f>_xlfn.XLOOKUP(operacje[[#This Row],[Kategoria]],kategorie[Kategoria],kategorie[Typ],"",0)</f>
        <v>Wydatki</v>
      </c>
      <c r="F178" s="3">
        <v>45621</v>
      </c>
      <c r="G178" s="1">
        <f>IF(ISBLANK(operacje[[#This Row],[Data]]),,MONTH(operacje[[#This Row],[Data]]))</f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tr">
        <f>_xlfn.XLOOKUP(operacje[[#This Row],[Kategoria]],kategorie[Kategoria],kategorie[Typ],"",0)</f>
        <v>Wydatki</v>
      </c>
      <c r="F179" s="3">
        <v>45622</v>
      </c>
      <c r="G179" s="1">
        <f>IF(ISBLANK(operacje[[#This Row],[Data]]),,MONTH(operacje[[#This Row],[Data]]))</f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tr">
        <f>_xlfn.XLOOKUP(operacje[[#This Row],[Kategoria]],kategorie[Kategoria],kategorie[Typ],"",0)</f>
        <v>Wydatki</v>
      </c>
      <c r="F180" s="3">
        <v>45623</v>
      </c>
      <c r="G180" s="1">
        <f>IF(ISBLANK(operacje[[#This Row],[Data]]),,MONTH(operacje[[#This Row],[Data]]))</f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tr">
        <f>_xlfn.XLOOKUP(operacje[[#This Row],[Kategoria]],kategorie[Kategoria],kategorie[Typ],"",0)</f>
        <v>Wydatki</v>
      </c>
      <c r="F181" s="3">
        <v>45623</v>
      </c>
      <c r="G181" s="1">
        <f>IF(ISBLANK(operacje[[#This Row],[Data]]),,MONTH(operacje[[#This Row],[Data]]))</f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tr">
        <f>_xlfn.XLOOKUP(operacje[[#This Row],[Kategoria]],kategorie[Kategoria],kategorie[Typ],"",0)</f>
        <v>Wydatki</v>
      </c>
      <c r="F182" s="3">
        <v>45623</v>
      </c>
      <c r="G182" s="1">
        <f>IF(ISBLANK(operacje[[#This Row],[Data]]),,MONTH(operacje[[#This Row],[Data]]))</f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tr">
        <f>_xlfn.XLOOKUP(operacje[[#This Row],[Kategoria]],kategorie[Kategoria],kategorie[Typ],"",0)</f>
        <v>Wydatki</v>
      </c>
      <c r="F183" s="3">
        <v>45624</v>
      </c>
      <c r="G183" s="1">
        <f>IF(ISBLANK(operacje[[#This Row],[Data]]),,MONTH(operacje[[#This Row],[Data]]))</f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32</v>
      </c>
      <c r="E184" s="1" t="str">
        <f>_xlfn.XLOOKUP(operacje[[#This Row],[Kategoria]],kategorie[Kategoria],kategorie[Typ],"",0)</f>
        <v>Wpływy</v>
      </c>
      <c r="F184" s="3">
        <v>45625</v>
      </c>
      <c r="G184" s="1">
        <f>IF(ISBLANK(operacje[[#This Row],[Data]]),,MONTH(operacje[[#This Row],[Data]]))</f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tr">
        <f>_xlfn.XLOOKUP(operacje[[#This Row],[Kategoria]],kategorie[Kategoria],kategorie[Typ],"",0)</f>
        <v>Wydatki</v>
      </c>
      <c r="F185" s="3">
        <v>45626</v>
      </c>
      <c r="G185" s="1">
        <f>IF(ISBLANK(operacje[[#This Row],[Data]]),,MONTH(operacje[[#This Row],[Data]]))</f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tr">
        <f>_xlfn.XLOOKUP(operacje[[#This Row],[Kategoria]],kategorie[Kategoria],kategorie[Typ],"",0)</f>
        <v>Wydatki</v>
      </c>
      <c r="F186" s="3">
        <v>45627</v>
      </c>
      <c r="G186" s="1">
        <f>IF(ISBLANK(operacje[[#This Row],[Data]]),,MONTH(operacje[[#This Row],[Data]]))</f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tr">
        <f>_xlfn.XLOOKUP(operacje[[#This Row],[Kategoria]],kategorie[Kategoria],kategorie[Typ],"",0)</f>
        <v>Wydatki</v>
      </c>
      <c r="F187" s="3">
        <v>45627</v>
      </c>
      <c r="G187" s="1">
        <f>IF(ISBLANK(operacje[[#This Row],[Data]]),,MONTH(operacje[[#This Row],[Data]]))</f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tr">
        <f>_xlfn.XLOOKUP(operacje[[#This Row],[Kategoria]],kategorie[Kategoria],kategorie[Typ],"",0)</f>
        <v>Wydatki</v>
      </c>
      <c r="F188" s="3">
        <v>45628</v>
      </c>
      <c r="G188" s="1">
        <f>IF(ISBLANK(operacje[[#This Row],[Data]]),,MONTH(operacje[[#This Row],[Data]]))</f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tr">
        <f>_xlfn.XLOOKUP(operacje[[#This Row],[Kategoria]],kategorie[Kategoria],kategorie[Typ],"",0)</f>
        <v>Wydatki</v>
      </c>
      <c r="F189" s="3">
        <v>45628</v>
      </c>
      <c r="G189" s="1">
        <f>IF(ISBLANK(operacje[[#This Row],[Data]]),,MONTH(operacje[[#This Row],[Data]]))</f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tr">
        <f>_xlfn.XLOOKUP(operacje[[#This Row],[Kategoria]],kategorie[Kategoria],kategorie[Typ],"",0)</f>
        <v>Wydatki</v>
      </c>
      <c r="F190" s="3">
        <v>45628</v>
      </c>
      <c r="G190" s="1">
        <f>IF(ISBLANK(operacje[[#This Row],[Data]]),,MONTH(operacje[[#This Row],[Data]]))</f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tr">
        <f>_xlfn.XLOOKUP(operacje[[#This Row],[Kategoria]],kategorie[Kategoria],kategorie[Typ],"",0)</f>
        <v>Wydatki</v>
      </c>
      <c r="F191" s="3">
        <v>45628</v>
      </c>
      <c r="G191" s="1">
        <f>IF(ISBLANK(operacje[[#This Row],[Data]]),,MONTH(operacje[[#This Row],[Data]]))</f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tr">
        <f>_xlfn.XLOOKUP(operacje[[#This Row],[Kategoria]],kategorie[Kategoria],kategorie[Typ],"",0)</f>
        <v>Wydatki</v>
      </c>
      <c r="F192" s="3">
        <v>45628</v>
      </c>
      <c r="G192" s="1">
        <f>IF(ISBLANK(operacje[[#This Row],[Data]]),,MONTH(operacje[[#This Row],[Data]]))</f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tr">
        <f>_xlfn.XLOOKUP(operacje[[#This Row],[Kategoria]],kategorie[Kategoria],kategorie[Typ],"",0)</f>
        <v>Wydatki</v>
      </c>
      <c r="F193" s="3">
        <v>45628</v>
      </c>
      <c r="G193" s="1">
        <f>IF(ISBLANK(operacje[[#This Row],[Data]]),,MONTH(operacje[[#This Row],[Data]]))</f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tr">
        <f>_xlfn.XLOOKUP(operacje[[#This Row],[Kategoria]],kategorie[Kategoria],kategorie[Typ],"",0)</f>
        <v>Wydatki</v>
      </c>
      <c r="F194" s="3">
        <v>45629</v>
      </c>
      <c r="G194" s="1">
        <f>IF(ISBLANK(operacje[[#This Row],[Data]]),,MONTH(operacje[[#This Row],[Data]]))</f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tr">
        <f>_xlfn.XLOOKUP(operacje[[#This Row],[Kategoria]],kategorie[Kategoria],kategorie[Typ],"",0)</f>
        <v>Wydatki</v>
      </c>
      <c r="F195" s="3">
        <v>45629</v>
      </c>
      <c r="G195" s="1">
        <f>IF(ISBLANK(operacje[[#This Row],[Data]]),,MONTH(operacje[[#This Row],[Data]]))</f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tr">
        <f>_xlfn.XLOOKUP(operacje[[#This Row],[Kategoria]],kategorie[Kategoria],kategorie[Typ],"",0)</f>
        <v>Wydatki</v>
      </c>
      <c r="F196" s="3">
        <v>45632</v>
      </c>
      <c r="G196" s="1">
        <f>IF(ISBLANK(operacje[[#This Row],[Data]]),,MONTH(operacje[[#This Row],[Data]]))</f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tr">
        <f>_xlfn.XLOOKUP(operacje[[#This Row],[Kategoria]],kategorie[Kategoria],kategorie[Typ],"",0)</f>
        <v>Wydatki</v>
      </c>
      <c r="F197" s="3">
        <v>45632</v>
      </c>
      <c r="G197" s="1">
        <f>IF(ISBLANK(operacje[[#This Row],[Data]]),,MONTH(operacje[[#This Row],[Data]]))</f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tr">
        <f>_xlfn.XLOOKUP(operacje[[#This Row],[Kategoria]],kategorie[Kategoria],kategorie[Typ],"",0)</f>
        <v>Wpływy</v>
      </c>
      <c r="F198" s="3">
        <v>45636</v>
      </c>
      <c r="G198" s="1">
        <f>IF(ISBLANK(operacje[[#This Row],[Data]]),,MONTH(operacje[[#This Row],[Data]]))</f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tr">
        <f>_xlfn.XLOOKUP(operacje[[#This Row],[Kategoria]],kategorie[Kategoria],kategorie[Typ],"",0)</f>
        <v>Wydatki</v>
      </c>
      <c r="F199" s="3">
        <v>45637</v>
      </c>
      <c r="G199" s="1">
        <f>IF(ISBLANK(operacje[[#This Row],[Data]]),,MONTH(operacje[[#This Row],[Data]]))</f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tr">
        <f>_xlfn.XLOOKUP(operacje[[#This Row],[Kategoria]],kategorie[Kategoria],kategorie[Typ],"",0)</f>
        <v>Wydatki</v>
      </c>
      <c r="F200" s="3">
        <v>45640</v>
      </c>
      <c r="G200" s="1">
        <f>IF(ISBLANK(operacje[[#This Row],[Data]]),,MONTH(operacje[[#This Row],[Data]]))</f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tr">
        <f>_xlfn.XLOOKUP(operacje[[#This Row],[Kategoria]],kategorie[Kategoria],kategorie[Typ],"",0)</f>
        <v>Wydatki</v>
      </c>
      <c r="F201" s="3">
        <v>45641</v>
      </c>
      <c r="G201" s="1">
        <f>IF(ISBLANK(operacje[[#This Row],[Data]]),,MONTH(operacje[[#This Row],[Data]]))</f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tr">
        <f>_xlfn.XLOOKUP(operacje[[#This Row],[Kategoria]],kategorie[Kategoria],kategorie[Typ],"",0)</f>
        <v>Wydatki</v>
      </c>
      <c r="F202" s="3">
        <v>45644</v>
      </c>
      <c r="G202" s="1">
        <f>IF(ISBLANK(operacje[[#This Row],[Data]]),,MONTH(operacje[[#This Row],[Data]]))</f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32</v>
      </c>
      <c r="E203" s="1" t="str">
        <f>_xlfn.XLOOKUP(operacje[[#This Row],[Kategoria]],kategorie[Kategoria],kategorie[Typ],"",0)</f>
        <v>Wpływy</v>
      </c>
      <c r="F203" s="3">
        <v>45648</v>
      </c>
      <c r="G203" s="1">
        <f>IF(ISBLANK(operacje[[#This Row],[Data]]),,MONTH(operacje[[#This Row],[Data]]))</f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tr">
        <f>_xlfn.XLOOKUP(operacje[[#This Row],[Kategoria]],kategorie[Kategoria],kategorie[Typ],"",0)</f>
        <v>Wydatki</v>
      </c>
      <c r="F204" s="3">
        <v>45649</v>
      </c>
      <c r="G204" s="1">
        <f>IF(ISBLANK(operacje[[#This Row],[Data]]),,MONTH(operacje[[#This Row],[Data]]))</f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32</v>
      </c>
      <c r="E205" s="1" t="str">
        <f>_xlfn.XLOOKUP(operacje[[#This Row],[Kategoria]],kategorie[Kategoria],kategorie[Typ],"",0)</f>
        <v>Wpływy</v>
      </c>
      <c r="F205" s="3">
        <v>45650</v>
      </c>
      <c r="G205" s="1">
        <f>IF(ISBLANK(operacje[[#This Row],[Data]]),,MONTH(operacje[[#This Row],[Data]]))</f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tr">
        <f>_xlfn.XLOOKUP(operacje[[#This Row],[Kategoria]],kategorie[Kategoria],kategorie[Typ],"",0)</f>
        <v>Wydatki</v>
      </c>
      <c r="F206" s="3">
        <v>45654</v>
      </c>
      <c r="G206" s="1">
        <f>IF(ISBLANK(operacje[[#This Row],[Data]]),,MONTH(operacje[[#This Row],[Data]]))</f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tr">
        <f>_xlfn.XLOOKUP(operacje[[#This Row],[Kategoria]],kategorie[Kategoria],kategorie[Typ],"",0)</f>
        <v>Wydatki</v>
      </c>
      <c r="F207" s="3">
        <v>45656</v>
      </c>
      <c r="G207" s="1">
        <f>IF(ISBLANK(operacje[[#This Row],[Data]]),,MONTH(operacje[[#This Row],[Data]]))</f>
        <v>12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C862819-E38E-48AC-B3E0-882E782A1FC1}">
          <x14:formula1>
            <xm:f>kategorie!$A$2:$A$17</xm:f>
          </x14:formula1>
          <xm:sqref>D2:D1048576</xm:sqref>
        </x14:dataValidation>
        <x14:dataValidation type="list" allowBlank="1" showInputMessage="1" showErrorMessage="1" xr:uid="{F155137E-E46B-430C-A92E-D268FBD01785}">
          <x14:formula1>
            <xm:f>kategorie!$E$1:$G$1</xm:f>
          </x14:formula1>
          <xm:sqref>B2:B1048576</xm:sqref>
        </x14:dataValidation>
        <x14:dataValidation type="list" allowBlank="1" showInputMessage="1" showErrorMessage="1" xr:uid="{CE8265E8-03F4-4A02-9331-B4A508C2A6CB}">
          <x14:formula1>
            <xm:f>CHOOSE(MATCH(B2,kategorie!$E$1:$G$1,0),kategorie!$E$2:$E$4,kategorie!$F$2:$F$3,kategorie!$G$2:$G$3)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23E7-9D26-43FC-8264-9C82CAC74CDD}">
  <dimension ref="A1:M17"/>
  <sheetViews>
    <sheetView workbookViewId="0">
      <selection activeCell="P8" sqref="P8"/>
    </sheetView>
  </sheetViews>
  <sheetFormatPr defaultRowHeight="15" x14ac:dyDescent="0.25"/>
  <cols>
    <col min="1" max="1" width="18.85546875" customWidth="1"/>
    <col min="10" max="10" width="10.140625" customWidth="1"/>
  </cols>
  <sheetData>
    <row r="1" spans="1:13" x14ac:dyDescent="0.25">
      <c r="A1" t="s">
        <v>3</v>
      </c>
      <c r="B1" t="s">
        <v>4</v>
      </c>
      <c r="E1" t="s">
        <v>7</v>
      </c>
      <c r="F1" t="s">
        <v>14</v>
      </c>
      <c r="G1" t="s">
        <v>26</v>
      </c>
      <c r="I1" s="9" t="s">
        <v>1</v>
      </c>
      <c r="J1" s="9" t="s">
        <v>2</v>
      </c>
      <c r="L1" t="s">
        <v>43</v>
      </c>
      <c r="M1">
        <v>1</v>
      </c>
    </row>
    <row r="2" spans="1:13" x14ac:dyDescent="0.25">
      <c r="A2" t="s">
        <v>31</v>
      </c>
      <c r="B2" t="s">
        <v>34</v>
      </c>
      <c r="E2" t="s">
        <v>8</v>
      </c>
      <c r="F2" t="s">
        <v>8</v>
      </c>
      <c r="G2" t="s">
        <v>28</v>
      </c>
      <c r="I2" s="7" t="s">
        <v>7</v>
      </c>
      <c r="J2" s="7" t="s">
        <v>15</v>
      </c>
      <c r="L2" t="s">
        <v>44</v>
      </c>
      <c r="M2">
        <v>2</v>
      </c>
    </row>
    <row r="3" spans="1:13" x14ac:dyDescent="0.25">
      <c r="A3" t="s">
        <v>32</v>
      </c>
      <c r="B3" t="s">
        <v>12</v>
      </c>
      <c r="E3" t="s">
        <v>15</v>
      </c>
      <c r="F3" t="s">
        <v>20</v>
      </c>
      <c r="G3" t="s">
        <v>27</v>
      </c>
      <c r="I3" s="7" t="s">
        <v>7</v>
      </c>
      <c r="J3" s="7" t="s">
        <v>8</v>
      </c>
      <c r="L3" t="s">
        <v>45</v>
      </c>
      <c r="M3">
        <v>3</v>
      </c>
    </row>
    <row r="4" spans="1:13" x14ac:dyDescent="0.25">
      <c r="A4" t="s">
        <v>29</v>
      </c>
      <c r="B4" t="s">
        <v>12</v>
      </c>
      <c r="E4" t="s">
        <v>18</v>
      </c>
      <c r="I4" s="8" t="s">
        <v>7</v>
      </c>
      <c r="J4" s="8" t="s">
        <v>18</v>
      </c>
      <c r="L4" t="s">
        <v>46</v>
      </c>
      <c r="M4">
        <v>4</v>
      </c>
    </row>
    <row r="5" spans="1:13" x14ac:dyDescent="0.25">
      <c r="A5" t="s">
        <v>21</v>
      </c>
      <c r="B5" t="s">
        <v>12</v>
      </c>
      <c r="I5" s="8" t="s">
        <v>14</v>
      </c>
      <c r="J5" s="8" t="s">
        <v>8</v>
      </c>
      <c r="L5" t="s">
        <v>47</v>
      </c>
      <c r="M5">
        <v>5</v>
      </c>
    </row>
    <row r="6" spans="1:13" x14ac:dyDescent="0.25">
      <c r="A6" t="s">
        <v>17</v>
      </c>
      <c r="B6" t="s">
        <v>12</v>
      </c>
      <c r="I6" s="7" t="s">
        <v>14</v>
      </c>
      <c r="J6" s="7" t="s">
        <v>20</v>
      </c>
      <c r="L6" t="s">
        <v>48</v>
      </c>
      <c r="M6">
        <v>6</v>
      </c>
    </row>
    <row r="7" spans="1:13" x14ac:dyDescent="0.25">
      <c r="A7" t="s">
        <v>33</v>
      </c>
      <c r="B7" t="s">
        <v>12</v>
      </c>
      <c r="I7" s="8" t="s">
        <v>26</v>
      </c>
      <c r="J7" s="8" t="s">
        <v>27</v>
      </c>
      <c r="L7" t="s">
        <v>49</v>
      </c>
      <c r="M7">
        <v>7</v>
      </c>
    </row>
    <row r="8" spans="1:13" x14ac:dyDescent="0.25">
      <c r="A8" t="s">
        <v>11</v>
      </c>
      <c r="B8" t="s">
        <v>12</v>
      </c>
      <c r="I8" s="10" t="s">
        <v>26</v>
      </c>
      <c r="J8" s="10" t="s">
        <v>28</v>
      </c>
      <c r="L8" t="s">
        <v>50</v>
      </c>
      <c r="M8">
        <v>8</v>
      </c>
    </row>
    <row r="9" spans="1:13" x14ac:dyDescent="0.25">
      <c r="A9" t="s">
        <v>9</v>
      </c>
      <c r="B9" t="s">
        <v>10</v>
      </c>
      <c r="L9" t="s">
        <v>51</v>
      </c>
      <c r="M9">
        <v>9</v>
      </c>
    </row>
    <row r="10" spans="1:13" x14ac:dyDescent="0.25">
      <c r="A10" t="s">
        <v>13</v>
      </c>
      <c r="B10" t="s">
        <v>10</v>
      </c>
      <c r="L10" t="s">
        <v>52</v>
      </c>
      <c r="M10">
        <v>10</v>
      </c>
    </row>
    <row r="11" spans="1:13" x14ac:dyDescent="0.25">
      <c r="A11" t="s">
        <v>24</v>
      </c>
      <c r="B11" t="s">
        <v>10</v>
      </c>
      <c r="L11" t="s">
        <v>53</v>
      </c>
      <c r="M11">
        <v>11</v>
      </c>
    </row>
    <row r="12" spans="1:13" x14ac:dyDescent="0.25">
      <c r="A12" t="s">
        <v>19</v>
      </c>
      <c r="B12" t="s">
        <v>10</v>
      </c>
      <c r="L12" t="s">
        <v>54</v>
      </c>
      <c r="M12">
        <v>12</v>
      </c>
    </row>
    <row r="13" spans="1:13" x14ac:dyDescent="0.25">
      <c r="A13" t="s">
        <v>22</v>
      </c>
      <c r="B13" t="s">
        <v>10</v>
      </c>
    </row>
    <row r="14" spans="1:13" x14ac:dyDescent="0.25">
      <c r="A14" t="s">
        <v>25</v>
      </c>
      <c r="B14" t="s">
        <v>10</v>
      </c>
    </row>
    <row r="15" spans="1:13" x14ac:dyDescent="0.25">
      <c r="A15" t="s">
        <v>16</v>
      </c>
      <c r="B15" t="s">
        <v>10</v>
      </c>
    </row>
    <row r="16" spans="1:13" x14ac:dyDescent="0.25">
      <c r="A16" t="s">
        <v>23</v>
      </c>
      <c r="B16" t="s">
        <v>10</v>
      </c>
    </row>
    <row r="17" spans="1:2" x14ac:dyDescent="0.25">
      <c r="A17" t="s">
        <v>30</v>
      </c>
      <c r="B17" t="s">
        <v>10</v>
      </c>
    </row>
  </sheetData>
  <sortState xmlns:xlrd2="http://schemas.microsoft.com/office/spreadsheetml/2017/richdata2" ref="A2:B17">
    <sortCondition ref="B2:B17"/>
    <sortCondition ref="A2:A17"/>
  </sortState>
  <phoneticPr fontId="4" type="noConversion"/>
  <dataValidations count="2">
    <dataValidation type="list" allowBlank="1" showInputMessage="1" showErrorMessage="1" sqref="J2:J8" xr:uid="{5AA30376-2039-4AE7-BC22-8070A08F7D5D}">
      <formula1>CHOOSE(MATCH(I2,$E$1:$G$1,0),$E$2:$E$4,$F$2:$F$3,$G$2:$G$3)</formula1>
    </dataValidation>
    <dataValidation type="list" allowBlank="1" showInputMessage="1" showErrorMessage="1" sqref="I2:I8" xr:uid="{61EF3443-A121-4BEB-BE6C-2F909FDE9968}">
      <formula1>$E$1:$G$1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7B15-F591-4902-8D77-8FD5E54A7A16}">
  <dimension ref="A1:N15"/>
  <sheetViews>
    <sheetView tabSelected="1" workbookViewId="0">
      <selection activeCell="M21" sqref="M21"/>
    </sheetView>
  </sheetViews>
  <sheetFormatPr defaultRowHeight="15" x14ac:dyDescent="0.25"/>
  <cols>
    <col min="2" max="2" width="12" customWidth="1"/>
    <col min="3" max="3" width="9.85546875" customWidth="1"/>
    <col min="4" max="4" width="11.5703125" bestFit="1" customWidth="1"/>
    <col min="5" max="5" width="9.42578125" customWidth="1"/>
    <col min="6" max="6" width="11.28515625" customWidth="1"/>
    <col min="7" max="7" width="11.5703125" bestFit="1" customWidth="1"/>
    <col min="8" max="8" width="11.140625" customWidth="1"/>
    <col min="9" max="9" width="11.5703125" bestFit="1" customWidth="1"/>
    <col min="10" max="10" width="10.5703125" customWidth="1"/>
    <col min="11" max="11" width="11.42578125" customWidth="1"/>
    <col min="12" max="12" width="13.28515625" customWidth="1"/>
    <col min="13" max="13" width="10.5703125" customWidth="1"/>
    <col min="14" max="14" width="11.140625" customWidth="1"/>
  </cols>
  <sheetData>
    <row r="1" spans="1:14" x14ac:dyDescent="0.25">
      <c r="A1" t="s">
        <v>1</v>
      </c>
      <c r="B1" t="s">
        <v>2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 x14ac:dyDescent="0.25">
      <c r="A2" t="s">
        <v>7</v>
      </c>
      <c r="B2" t="s">
        <v>15</v>
      </c>
      <c r="C2" s="21" cm="1">
        <f t="array" aca="1" ref="C2" ca="1">INDIRECT(saldo[[#Headers],[Styczeń]]&amp;"_saldo[@[Saldo Końcowe]]")</f>
        <v>-175</v>
      </c>
      <c r="D2" s="21" cm="1">
        <f t="array" aca="1" ref="D2" ca="1">INDIRECT(saldo[[#Headers],[Luty]]&amp;"_saldo[@[Saldo Końcowe]]")</f>
        <v>0</v>
      </c>
      <c r="E2" s="21" cm="1">
        <f t="array" aca="1" ref="E2" ca="1">INDIRECT(saldo[[#Headers],[Marzec]]&amp;"_saldo[@[Saldo Końcowe]]")</f>
        <v>-104.5</v>
      </c>
      <c r="F2" s="21" cm="1">
        <f t="array" aca="1" ref="F2" ca="1">INDIRECT(saldo[[#Headers],[Kwiecień]]&amp;"_saldo[@[Saldo Końcowe]]")</f>
        <v>-91.389999999999986</v>
      </c>
      <c r="G2" s="21" cm="1">
        <f t="array" aca="1" ref="G2" ca="1">INDIRECT(saldo[[#Headers],[Maj]]&amp;"_saldo[@[Saldo Końcowe]]")</f>
        <v>-1000</v>
      </c>
      <c r="H2" s="21" cm="1">
        <f t="array" aca="1" ref="H2" ca="1">INDIRECT(saldo[[#Headers],[Czerwiec]]&amp;"_saldo[@[Saldo Końcowe]]")</f>
        <v>-1300</v>
      </c>
      <c r="I2" s="21" cm="1">
        <f t="array" aca="1" ref="I2" ca="1">INDIRECT(saldo[[#Headers],[Lipiec]]&amp;"_saldo[@[Saldo Końcowe]]")</f>
        <v>-135</v>
      </c>
      <c r="J2" s="21" cm="1">
        <f t="array" aca="1" ref="J2" ca="1">INDIRECT(saldo[[#Headers],[Sierpień]]&amp;"_saldo[@[Saldo Końcowe]]")</f>
        <v>-102</v>
      </c>
      <c r="K2" s="21" cm="1">
        <f t="array" aca="1" ref="K2" ca="1">INDIRECT(saldo[[#Headers],[Wrzesień]]&amp;"_saldo[@[Saldo Końcowe]]")</f>
        <v>-20</v>
      </c>
      <c r="L2" s="21" cm="1">
        <f t="array" aca="1" ref="L2" ca="1">INDIRECT(saldo[[#Headers],[Październik]]&amp;"_saldo[@[Saldo Końcowe]]")</f>
        <v>-40</v>
      </c>
      <c r="M2" s="21" cm="1">
        <f t="array" aca="1" ref="M2" ca="1">INDIRECT(saldo[[#Headers],[Listopad]]&amp;"_saldo[@[Saldo Końcowe]]")</f>
        <v>0</v>
      </c>
      <c r="N2" s="21" cm="1">
        <f t="array" aca="1" ref="N2" ca="1">INDIRECT(saldo[[#Headers],[Grudzień]]&amp;"_saldo[@[Saldo Końcowe]]")</f>
        <v>0</v>
      </c>
    </row>
    <row r="3" spans="1:14" x14ac:dyDescent="0.25">
      <c r="A3" t="s">
        <v>7</v>
      </c>
      <c r="B3" t="s">
        <v>8</v>
      </c>
      <c r="C3" s="21" cm="1">
        <f t="array" aca="1" ref="C3" ca="1">INDIRECT(saldo[[#Headers],[Styczeń]]&amp;"_saldo[@[Saldo Końcowe]]")</f>
        <v>1700</v>
      </c>
      <c r="D3" s="21" cm="1">
        <f t="array" aca="1" ref="D3" ca="1">INDIRECT(saldo[[#Headers],[Luty]]&amp;"_saldo[@[Saldo Końcowe]]")</f>
        <v>3739.5</v>
      </c>
      <c r="E3" s="21" cm="1">
        <f t="array" aca="1" ref="E3" ca="1">INDIRECT(saldo[[#Headers],[Marzec]]&amp;"_saldo[@[Saldo Końcowe]]")</f>
        <v>4561.1000000000004</v>
      </c>
      <c r="F3" s="21" cm="1">
        <f t="array" aca="1" ref="F3" ca="1">INDIRECT(saldo[[#Headers],[Kwiecień]]&amp;"_saldo[@[Saldo Końcowe]]")</f>
        <v>5123.83</v>
      </c>
      <c r="G3" s="21" cm="1">
        <f t="array" aca="1" ref="G3" ca="1">INDIRECT(saldo[[#Headers],[Maj]]&amp;"_saldo[@[Saldo Końcowe]]")</f>
        <v>7452.4400000000005</v>
      </c>
      <c r="H3" s="21" cm="1">
        <f t="array" aca="1" ref="H3" ca="1">INDIRECT(saldo[[#Headers],[Czerwiec]]&amp;"_saldo[@[Saldo Końcowe]]")</f>
        <v>8872.44</v>
      </c>
      <c r="I3" s="21" cm="1">
        <f t="array" aca="1" ref="I3" ca="1">INDIRECT(saldo[[#Headers],[Lipiec]]&amp;"_saldo[@[Saldo Końcowe]]")</f>
        <v>9882.44</v>
      </c>
      <c r="J3" s="21" cm="1">
        <f t="array" aca="1" ref="J3" ca="1">INDIRECT(saldo[[#Headers],[Sierpień]]&amp;"_saldo[@[Saldo Końcowe]]")</f>
        <v>11357.44</v>
      </c>
      <c r="K3" s="21" cm="1">
        <f t="array" aca="1" ref="K3" ca="1">INDIRECT(saldo[[#Headers],[Wrzesień]]&amp;"_saldo[@[Saldo Końcowe]]")</f>
        <v>13046.94</v>
      </c>
      <c r="L3" s="21" cm="1">
        <f t="array" aca="1" ref="L3" ca="1">INDIRECT(saldo[[#Headers],[Październik]]&amp;"_saldo[@[Saldo Końcowe]]")</f>
        <v>14736.94</v>
      </c>
      <c r="M3" s="21" cm="1">
        <f t="array" aca="1" ref="M3" ca="1">INDIRECT(saldo[[#Headers],[Listopad]]&amp;"_saldo[@[Saldo Końcowe]]")</f>
        <v>15696.94</v>
      </c>
      <c r="N3" s="21" cm="1">
        <f t="array" aca="1" ref="N3" ca="1">INDIRECT(saldo[[#Headers],[Grudzień]]&amp;"_saldo[@[Saldo Końcowe]]")</f>
        <v>17016.940000000002</v>
      </c>
    </row>
    <row r="4" spans="1:14" x14ac:dyDescent="0.25">
      <c r="A4" t="s">
        <v>7</v>
      </c>
      <c r="B4" t="s">
        <v>18</v>
      </c>
      <c r="C4" s="21" cm="1">
        <f t="array" aca="1" ref="C4" ca="1">INDIRECT(saldo[[#Headers],[Styczeń]]&amp;"_saldo[@[Saldo Końcowe]]")</f>
        <v>1600</v>
      </c>
      <c r="D4" s="21" cm="1">
        <f t="array" aca="1" ref="D4" ca="1">INDIRECT(saldo[[#Headers],[Luty]]&amp;"_saldo[@[Saldo Końcowe]]")</f>
        <v>1200</v>
      </c>
      <c r="E4" s="21" cm="1">
        <f t="array" aca="1" ref="E4" ca="1">INDIRECT(saldo[[#Headers],[Marzec]]&amp;"_saldo[@[Saldo Końcowe]]")</f>
        <v>1200</v>
      </c>
      <c r="F4" s="21" cm="1">
        <f t="array" aca="1" ref="F4" ca="1">INDIRECT(saldo[[#Headers],[Kwiecień]]&amp;"_saldo[@[Saldo Końcowe]]")</f>
        <v>1200</v>
      </c>
      <c r="G4" s="21" cm="1">
        <f t="array" aca="1" ref="G4" ca="1">INDIRECT(saldo[[#Headers],[Maj]]&amp;"_saldo[@[Saldo Końcowe]]")</f>
        <v>1200</v>
      </c>
      <c r="H4" s="21" cm="1">
        <f t="array" aca="1" ref="H4" ca="1">INDIRECT(saldo[[#Headers],[Czerwiec]]&amp;"_saldo[@[Saldo Końcowe]]")</f>
        <v>1200</v>
      </c>
      <c r="I4" s="21" cm="1">
        <f t="array" aca="1" ref="I4" ca="1">INDIRECT(saldo[[#Headers],[Lipiec]]&amp;"_saldo[@[Saldo Końcowe]]")</f>
        <v>1020</v>
      </c>
      <c r="J4" s="21" cm="1">
        <f t="array" aca="1" ref="J4" ca="1">INDIRECT(saldo[[#Headers],[Sierpień]]&amp;"_saldo[@[Saldo Końcowe]]")</f>
        <v>0</v>
      </c>
      <c r="K4" s="21" cm="1">
        <f t="array" aca="1" ref="K4" ca="1">INDIRECT(saldo[[#Headers],[Wrzesień]]&amp;"_saldo[@[Saldo Końcowe]]")</f>
        <v>0</v>
      </c>
      <c r="L4" s="21" cm="1">
        <f t="array" aca="1" ref="L4" ca="1">INDIRECT(saldo[[#Headers],[Październik]]&amp;"_saldo[@[Saldo Końcowe]]")</f>
        <v>0</v>
      </c>
      <c r="M4" s="21" cm="1">
        <f t="array" aca="1" ref="M4" ca="1">INDIRECT(saldo[[#Headers],[Listopad]]&amp;"_saldo[@[Saldo Końcowe]]")</f>
        <v>0</v>
      </c>
      <c r="N4" s="21" cm="1">
        <f t="array" aca="1" ref="N4" ca="1">INDIRECT(saldo[[#Headers],[Grudzień]]&amp;"_saldo[@[Saldo Końcowe]]")</f>
        <v>0</v>
      </c>
    </row>
    <row r="5" spans="1:14" x14ac:dyDescent="0.25">
      <c r="A5" t="s">
        <v>14</v>
      </c>
      <c r="B5" t="s">
        <v>8</v>
      </c>
      <c r="C5" s="21" cm="1">
        <f t="array" aca="1" ref="C5" ca="1">INDIRECT(saldo[[#Headers],[Styczeń]]&amp;"_saldo[@[Saldo Końcowe]]")</f>
        <v>65</v>
      </c>
      <c r="D5" s="21" cm="1">
        <f t="array" aca="1" ref="D5" ca="1">INDIRECT(saldo[[#Headers],[Luty]]&amp;"_saldo[@[Saldo Końcowe]]")</f>
        <v>100</v>
      </c>
      <c r="E5" s="21" cm="1">
        <f t="array" aca="1" ref="E5" ca="1">INDIRECT(saldo[[#Headers],[Marzec]]&amp;"_saldo[@[Saldo Końcowe]]")</f>
        <v>167.5</v>
      </c>
      <c r="F5" s="21" cm="1">
        <f t="array" aca="1" ref="F5" ca="1">INDIRECT(saldo[[#Headers],[Kwiecień]]&amp;"_saldo[@[Saldo Końcowe]]")</f>
        <v>268.5</v>
      </c>
      <c r="G5" s="21" cm="1">
        <f t="array" aca="1" ref="G5" ca="1">INDIRECT(saldo[[#Headers],[Maj]]&amp;"_saldo[@[Saldo Końcowe]]")</f>
        <v>218.5</v>
      </c>
      <c r="H5" s="21" cm="1">
        <f t="array" aca="1" ref="H5" ca="1">INDIRECT(saldo[[#Headers],[Czerwiec]]&amp;"_saldo[@[Saldo Końcowe]]")</f>
        <v>468.5</v>
      </c>
      <c r="I5" s="21" cm="1">
        <f t="array" aca="1" ref="I5" ca="1">INDIRECT(saldo[[#Headers],[Lipiec]]&amp;"_saldo[@[Saldo Końcowe]]")</f>
        <v>368.5</v>
      </c>
      <c r="J5" s="21" cm="1">
        <f t="array" aca="1" ref="J5" ca="1">INDIRECT(saldo[[#Headers],[Sierpień]]&amp;"_saldo[@[Saldo Końcowe]]")</f>
        <v>568.5</v>
      </c>
      <c r="K5" s="21" cm="1">
        <f t="array" aca="1" ref="K5" ca="1">INDIRECT(saldo[[#Headers],[Wrzesień]]&amp;"_saldo[@[Saldo Końcowe]]")</f>
        <v>548.5</v>
      </c>
      <c r="L5" s="21" cm="1">
        <f t="array" aca="1" ref="L5" ca="1">INDIRECT(saldo[[#Headers],[Październik]]&amp;"_saldo[@[Saldo Końcowe]]")</f>
        <v>548.5</v>
      </c>
      <c r="M5" s="21" cm="1">
        <f t="array" aca="1" ref="M5" ca="1">INDIRECT(saldo[[#Headers],[Listopad]]&amp;"_saldo[@[Saldo Końcowe]]")</f>
        <v>548.5</v>
      </c>
      <c r="N5" s="21" cm="1">
        <f t="array" aca="1" ref="N5" ca="1">INDIRECT(saldo[[#Headers],[Grudzień]]&amp;"_saldo[@[Saldo Końcowe]]")</f>
        <v>548.5</v>
      </c>
    </row>
    <row r="6" spans="1:14" x14ac:dyDescent="0.25">
      <c r="A6" t="s">
        <v>14</v>
      </c>
      <c r="B6" t="s">
        <v>20</v>
      </c>
      <c r="C6" s="21" cm="1">
        <f t="array" aca="1" ref="C6" ca="1">INDIRECT(saldo[[#Headers],[Styczeń]]&amp;"_saldo[@[Saldo Końcowe]]")</f>
        <v>266</v>
      </c>
      <c r="D6" s="21" cm="1">
        <f t="array" aca="1" ref="D6" ca="1">INDIRECT(saldo[[#Headers],[Luty]]&amp;"_saldo[@[Saldo Końcowe]]")</f>
        <v>281</v>
      </c>
      <c r="E6" s="21" cm="1">
        <f t="array" aca="1" ref="E6" ca="1">INDIRECT(saldo[[#Headers],[Marzec]]&amp;"_saldo[@[Saldo Końcowe]]")</f>
        <v>286</v>
      </c>
      <c r="F6" s="21" cm="1">
        <f t="array" aca="1" ref="F6" ca="1">INDIRECT(saldo[[#Headers],[Kwiecień]]&amp;"_saldo[@[Saldo Końcowe]]")</f>
        <v>336</v>
      </c>
      <c r="G6" s="21" cm="1">
        <f t="array" aca="1" ref="G6" ca="1">INDIRECT(saldo[[#Headers],[Maj]]&amp;"_saldo[@[Saldo Końcowe]]")</f>
        <v>336</v>
      </c>
      <c r="H6" s="21" cm="1">
        <f t="array" aca="1" ref="H6" ca="1">INDIRECT(saldo[[#Headers],[Czerwiec]]&amp;"_saldo[@[Saldo Końcowe]]")</f>
        <v>336</v>
      </c>
      <c r="I6" s="21" cm="1">
        <f t="array" aca="1" ref="I6" ca="1">INDIRECT(saldo[[#Headers],[Lipiec]]&amp;"_saldo[@[Saldo Końcowe]]")</f>
        <v>1386</v>
      </c>
      <c r="J6" s="21" cm="1">
        <f t="array" aca="1" ref="J6" ca="1">INDIRECT(saldo[[#Headers],[Sierpień]]&amp;"_saldo[@[Saldo Końcowe]]")</f>
        <v>1086</v>
      </c>
      <c r="K6" s="21" cm="1">
        <f t="array" aca="1" ref="K6" ca="1">INDIRECT(saldo[[#Headers],[Wrzesień]]&amp;"_saldo[@[Saldo Końcowe]]")</f>
        <v>1086</v>
      </c>
      <c r="L6" s="21" cm="1">
        <f t="array" aca="1" ref="L6" ca="1">INDIRECT(saldo[[#Headers],[Październik]]&amp;"_saldo[@[Saldo Końcowe]]")</f>
        <v>1086</v>
      </c>
      <c r="M6" s="21" cm="1">
        <f t="array" aca="1" ref="M6" ca="1">INDIRECT(saldo[[#Headers],[Listopad]]&amp;"_saldo[@[Saldo Końcowe]]")</f>
        <v>1086</v>
      </c>
      <c r="N6" s="21" cm="1">
        <f t="array" aca="1" ref="N6" ca="1">INDIRECT(saldo[[#Headers],[Grudzień]]&amp;"_saldo[@[Saldo Końcowe]]")</f>
        <v>1086</v>
      </c>
    </row>
    <row r="7" spans="1:14" x14ac:dyDescent="0.25">
      <c r="A7" t="s">
        <v>26</v>
      </c>
      <c r="B7" t="s">
        <v>27</v>
      </c>
      <c r="C7" s="21" cm="1">
        <f t="array" aca="1" ref="C7" ca="1">INDIRECT(saldo[[#Headers],[Styczeń]]&amp;"_saldo[@[Saldo Końcowe]]")</f>
        <v>150</v>
      </c>
      <c r="D7" s="21" cm="1">
        <f t="array" aca="1" ref="D7" ca="1">INDIRECT(saldo[[#Headers],[Luty]]&amp;"_saldo[@[Saldo Końcowe]]")</f>
        <v>250</v>
      </c>
      <c r="E7" s="21" cm="1">
        <f t="array" aca="1" ref="E7" ca="1">INDIRECT(saldo[[#Headers],[Marzec]]&amp;"_saldo[@[Saldo Końcowe]]")</f>
        <v>225.51</v>
      </c>
      <c r="F7" s="21" cm="1">
        <f t="array" aca="1" ref="F7" ca="1">INDIRECT(saldo[[#Headers],[Kwiecień]]&amp;"_saldo[@[Saldo Końcowe]]")</f>
        <v>225.51</v>
      </c>
      <c r="G7" s="21" cm="1">
        <f t="array" aca="1" ref="G7" ca="1">INDIRECT(saldo[[#Headers],[Maj]]&amp;"_saldo[@[Saldo Końcowe]]")</f>
        <v>225.51</v>
      </c>
      <c r="H7" s="21" cm="1">
        <f t="array" aca="1" ref="H7" ca="1">INDIRECT(saldo[[#Headers],[Czerwiec]]&amp;"_saldo[@[Saldo Końcowe]]")</f>
        <v>225.51</v>
      </c>
      <c r="I7" s="21" cm="1">
        <f t="array" aca="1" ref="I7" ca="1">INDIRECT(saldo[[#Headers],[Lipiec]]&amp;"_saldo[@[Saldo Końcowe]]")</f>
        <v>195.51</v>
      </c>
      <c r="J7" s="21" cm="1">
        <f t="array" aca="1" ref="J7" ca="1">INDIRECT(saldo[[#Headers],[Sierpień]]&amp;"_saldo[@[Saldo Końcowe]]")</f>
        <v>195.51</v>
      </c>
      <c r="K7" s="21" cm="1">
        <f t="array" aca="1" ref="K7" ca="1">INDIRECT(saldo[[#Headers],[Wrzesień]]&amp;"_saldo[@[Saldo Końcowe]]")</f>
        <v>195.51</v>
      </c>
      <c r="L7" s="21" cm="1">
        <f t="array" aca="1" ref="L7" ca="1">INDIRECT(saldo[[#Headers],[Październik]]&amp;"_saldo[@[Saldo Końcowe]]")</f>
        <v>195.51</v>
      </c>
      <c r="M7" s="21" cm="1">
        <f t="array" aca="1" ref="M7" ca="1">INDIRECT(saldo[[#Headers],[Listopad]]&amp;"_saldo[@[Saldo Końcowe]]")</f>
        <v>195.51</v>
      </c>
      <c r="N7" s="21" cm="1">
        <f t="array" aca="1" ref="N7" ca="1">INDIRECT(saldo[[#Headers],[Grudzień]]&amp;"_saldo[@[Saldo Końcowe]]")</f>
        <v>195.51</v>
      </c>
    </row>
    <row r="8" spans="1:14" x14ac:dyDescent="0.25">
      <c r="A8" t="s">
        <v>26</v>
      </c>
      <c r="B8" t="s">
        <v>28</v>
      </c>
      <c r="C8" s="21" cm="1">
        <f t="array" aca="1" ref="C8" ca="1">INDIRECT(saldo[[#Headers],[Styczeń]]&amp;"_saldo[@[Saldo Końcowe]]")</f>
        <v>180</v>
      </c>
      <c r="D8" s="21" cm="1">
        <f t="array" aca="1" ref="D8" ca="1">INDIRECT(saldo[[#Headers],[Luty]]&amp;"_saldo[@[Saldo Końcowe]]")</f>
        <v>680</v>
      </c>
      <c r="E8" s="21" cm="1">
        <f t="array" aca="1" ref="E8" ca="1">INDIRECT(saldo[[#Headers],[Marzec]]&amp;"_saldo[@[Saldo Końcowe]]")</f>
        <v>670.5</v>
      </c>
      <c r="F8" s="21" cm="1">
        <f t="array" aca="1" ref="F8" ca="1">INDIRECT(saldo[[#Headers],[Kwiecień]]&amp;"_saldo[@[Saldo Końcowe]]")</f>
        <v>670.5</v>
      </c>
      <c r="G8" s="21" cm="1">
        <f t="array" aca="1" ref="G8" ca="1">INDIRECT(saldo[[#Headers],[Maj]]&amp;"_saldo[@[Saldo Końcowe]]")</f>
        <v>590.5</v>
      </c>
      <c r="H8" s="21" cm="1">
        <f t="array" aca="1" ref="H8" ca="1">INDIRECT(saldo[[#Headers],[Czerwiec]]&amp;"_saldo[@[Saldo Końcowe]]")</f>
        <v>390.5</v>
      </c>
      <c r="I8" s="21" cm="1">
        <f t="array" aca="1" ref="I8" ca="1">INDIRECT(saldo[[#Headers],[Lipiec]]&amp;"_saldo[@[Saldo Końcowe]]")</f>
        <v>390.5</v>
      </c>
      <c r="J8" s="21" cm="1">
        <f t="array" aca="1" ref="J8" ca="1">INDIRECT(saldo[[#Headers],[Sierpień]]&amp;"_saldo[@[Saldo Końcowe]]")</f>
        <v>393</v>
      </c>
      <c r="K8" s="21" cm="1">
        <f t="array" aca="1" ref="K8" ca="1">INDIRECT(saldo[[#Headers],[Wrzesień]]&amp;"_saldo[@[Saldo Końcowe]]")</f>
        <v>393</v>
      </c>
      <c r="L8" s="21" cm="1">
        <f t="array" aca="1" ref="L8" ca="1">INDIRECT(saldo[[#Headers],[Październik]]&amp;"_saldo[@[Saldo Końcowe]]")</f>
        <v>393</v>
      </c>
      <c r="M8" s="21" cm="1">
        <f t="array" aca="1" ref="M8" ca="1">INDIRECT(saldo[[#Headers],[Listopad]]&amp;"_saldo[@[Saldo Końcowe]]")</f>
        <v>793</v>
      </c>
      <c r="N8" s="21" cm="1">
        <f t="array" aca="1" ref="N8" ca="1">INDIRECT(saldo[[#Headers],[Grudzień]]&amp;"_saldo[@[Saldo Końcowe]]")</f>
        <v>1893</v>
      </c>
    </row>
    <row r="9" spans="1:14" x14ac:dyDescent="0.25">
      <c r="A9" t="s">
        <v>38</v>
      </c>
      <c r="C9" s="21">
        <f ca="1">SUBTOTAL(109,saldo[Styczeń])</f>
        <v>3786</v>
      </c>
      <c r="D9" s="21">
        <f ca="1">SUBTOTAL(109,saldo[Luty])</f>
        <v>6250.5</v>
      </c>
      <c r="E9" s="21">
        <f ca="1">SUBTOTAL(109,saldo[Marzec])</f>
        <v>7006.1100000000006</v>
      </c>
      <c r="F9" s="21">
        <f ca="1">SUBTOTAL(109,saldo[Kwiecień])</f>
        <v>7732.95</v>
      </c>
      <c r="G9" s="21">
        <f ca="1">SUBTOTAL(109,saldo[Maj])</f>
        <v>9022.9500000000007</v>
      </c>
      <c r="H9" s="21">
        <f ca="1">SUBTOTAL(109,saldo[Czerwiec])</f>
        <v>10192.950000000001</v>
      </c>
      <c r="I9" s="21">
        <f ca="1">SUBTOTAL(109,saldo[Lipiec])</f>
        <v>13107.95</v>
      </c>
      <c r="J9" s="21">
        <f ca="1">SUBTOTAL(109,saldo[Sierpień])</f>
        <v>13498.45</v>
      </c>
      <c r="K9" s="21">
        <f ca="1">SUBTOTAL(109,saldo[Wrzesień])</f>
        <v>15249.95</v>
      </c>
      <c r="L9" s="21">
        <f ca="1">SUBTOTAL(109,saldo[Październik])</f>
        <v>16919.95</v>
      </c>
      <c r="M9" s="21">
        <f ca="1">SUBTOTAL(109,saldo[Listopad])</f>
        <v>18319.95</v>
      </c>
      <c r="N9" s="21">
        <f ca="1">SUBTOTAL(109,saldo[Grudzień])</f>
        <v>20739.95</v>
      </c>
    </row>
    <row r="11" spans="1:14" x14ac:dyDescent="0.25">
      <c r="B11" t="s">
        <v>67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</row>
    <row r="12" spans="1:14" x14ac:dyDescent="0.25">
      <c r="B12" t="s">
        <v>34</v>
      </c>
      <c r="C12" s="21" cm="1">
        <f t="array" aca="1" ref="C12" ca="1">_xlfn.XLOOKUP($B12&amp;" Suma",INDIRECT(C$11&amp;"!$B$14:$B$32"),INDIRECT(C$11&amp;"!$C$14:$C$32"))</f>
        <v>0</v>
      </c>
      <c r="D12" s="21" cm="1">
        <f t="array" aca="1" ref="D12" ca="1">_xlfn.XLOOKUP($B12&amp;" Suma",INDIRECT(D$11&amp;"!$B$14:$B$32"),INDIRECT(D$11&amp;"!$C$14:$C$32"))</f>
        <v>0</v>
      </c>
      <c r="E12" s="21" cm="1">
        <f t="array" aca="1" ref="E12" ca="1">_xlfn.XLOOKUP($B12&amp;" Suma",INDIRECT(E$11&amp;"!$B$14:$B$32"),INDIRECT(E$11&amp;"!$C$14:$C$32"))</f>
        <v>0</v>
      </c>
      <c r="F12" s="21" cm="1">
        <f t="array" aca="1" ref="F12" ca="1">_xlfn.XLOOKUP($B12&amp;" Suma",INDIRECT(F$11&amp;"!$B$14:$B$32"),INDIRECT(F$11&amp;"!$C$14:$C$32"))</f>
        <v>0</v>
      </c>
      <c r="G12" s="21" cm="1">
        <f t="array" aca="1" ref="G12" ca="1">_xlfn.XLOOKUP($B12&amp;" Suma",INDIRECT(G$11&amp;"!$B$14:$B$32"),INDIRECT(G$11&amp;"!$C$14:$C$32"))</f>
        <v>0</v>
      </c>
      <c r="H12" s="21" cm="1">
        <f t="array" aca="1" ref="H12" ca="1">_xlfn.XLOOKUP($B12&amp;" Suma",INDIRECT(H$11&amp;"!$B$14:$B$32"),INDIRECT(H$11&amp;"!$C$14:$C$32"))</f>
        <v>0</v>
      </c>
      <c r="I12" s="21" cm="1">
        <f t="array" aca="1" ref="I12" ca="1">_xlfn.XLOOKUP($B12&amp;" Suma",INDIRECT(I$11&amp;"!$B$14:$B$32"),INDIRECT(I$11&amp;"!$C$14:$C$32"))</f>
        <v>0</v>
      </c>
      <c r="J12" s="21" cm="1">
        <f t="array" aca="1" ref="J12" ca="1">_xlfn.XLOOKUP($B12&amp;" Suma",INDIRECT(J$11&amp;"!$B$14:$B$32"),INDIRECT(J$11&amp;"!$C$14:$C$32"))</f>
        <v>-1020</v>
      </c>
      <c r="K12" s="21" cm="1">
        <f t="array" aca="1" ref="K12" ca="1">_xlfn.XLOOKUP($B12&amp;" Suma",INDIRECT(K$11&amp;"!$B$14:$B$32"),INDIRECT(K$11&amp;"!$C$14:$C$32"))</f>
        <v>0</v>
      </c>
      <c r="L12" s="21" cm="1">
        <f t="array" aca="1" ref="L12" ca="1">_xlfn.XLOOKUP($B12&amp;" Suma",INDIRECT(L$11&amp;"!$B$14:$B$32"),INDIRECT(L$11&amp;"!$C$14:$C$32"))</f>
        <v>0</v>
      </c>
      <c r="M12" s="21" cm="1">
        <f t="array" aca="1" ref="M12" ca="1">_xlfn.XLOOKUP($B12&amp;" Suma",INDIRECT(M$11&amp;"!$B$14:$B$32"),INDIRECT(M$11&amp;"!$C$14:$C$32"))</f>
        <v>0</v>
      </c>
      <c r="N12" s="21" cm="1">
        <f t="array" aca="1" ref="N12" ca="1">_xlfn.XLOOKUP($B12&amp;" Suma",INDIRECT(N$11&amp;"!$B$14:$B$32"),INDIRECT(N$11&amp;"!$C$14:$C$32"))</f>
        <v>0</v>
      </c>
    </row>
    <row r="13" spans="1:14" x14ac:dyDescent="0.25">
      <c r="B13" t="s">
        <v>12</v>
      </c>
      <c r="C13" s="21" cm="1">
        <f t="array" aca="1" ref="C13" ca="1">_xlfn.XLOOKUP($B13&amp;" Suma",INDIRECT(C$11&amp;"!$B$14:$B$32"),INDIRECT(C$11&amp;"!$C$14:$C$32"))</f>
        <v>5655.5</v>
      </c>
      <c r="D13" s="21" cm="1">
        <f t="array" aca="1" ref="D13" ca="1">_xlfn.XLOOKUP($B13&amp;" Suma",INDIRECT(D$11&amp;"!$B$14:$B$32"),INDIRECT(D$11&amp;"!$C$14:$C$32"))</f>
        <v>6565</v>
      </c>
      <c r="E13" s="21" cm="1">
        <f t="array" aca="1" ref="E13" ca="1">_xlfn.XLOOKUP($B13&amp;" Suma",INDIRECT(E$11&amp;"!$B$14:$B$32"),INDIRECT(E$11&amp;"!$C$14:$C$32"))</f>
        <v>4655</v>
      </c>
      <c r="F13" s="21" cm="1">
        <f t="array" aca="1" ref="F13" ca="1">_xlfn.XLOOKUP($B13&amp;" Suma",INDIRECT(F$11&amp;"!$B$14:$B$32"),INDIRECT(F$11&amp;"!$C$14:$C$32"))</f>
        <v>4700</v>
      </c>
      <c r="G13" s="21" cm="1">
        <f t="array" aca="1" ref="G13" ca="1">_xlfn.XLOOKUP($B13&amp;" Suma",INDIRECT(G$11&amp;"!$B$14:$B$32"),INDIRECT(G$11&amp;"!$C$14:$C$32"))</f>
        <v>4500</v>
      </c>
      <c r="H13" s="21" cm="1">
        <f t="array" aca="1" ref="H13" ca="1">_xlfn.XLOOKUP($B13&amp;" Suma",INDIRECT(H$11&amp;"!$B$14:$B$32"),INDIRECT(H$11&amp;"!$C$14:$C$32"))</f>
        <v>4900</v>
      </c>
      <c r="I13" s="21" cm="1">
        <f t="array" aca="1" ref="I13" ca="1">_xlfn.XLOOKUP($B13&amp;" Suma",INDIRECT(I$11&amp;"!$B$14:$B$32"),INDIRECT(I$11&amp;"!$C$14:$C$32"))</f>
        <v>5920</v>
      </c>
      <c r="J13" s="21" cm="1">
        <f t="array" aca="1" ref="J13" ca="1">_xlfn.XLOOKUP($B13&amp;" Suma",INDIRECT(J$11&amp;"!$B$14:$B$32"),INDIRECT(J$11&amp;"!$C$14:$C$32"))</f>
        <v>5400</v>
      </c>
      <c r="K13" s="21" cm="1">
        <f t="array" aca="1" ref="K13" ca="1">_xlfn.XLOOKUP($B13&amp;" Suma",INDIRECT(K$11&amp;"!$B$14:$B$32"),INDIRECT(K$11&amp;"!$C$14:$C$32"))</f>
        <v>4500</v>
      </c>
      <c r="L13" s="21" cm="1">
        <f t="array" aca="1" ref="L13" ca="1">_xlfn.XLOOKUP($B13&amp;" Suma",INDIRECT(L$11&amp;"!$B$14:$B$32"),INDIRECT(L$11&amp;"!$C$14:$C$32"))</f>
        <v>4500</v>
      </c>
      <c r="M13" s="21" cm="1">
        <f t="array" aca="1" ref="M13" ca="1">_xlfn.XLOOKUP($B13&amp;" Suma",INDIRECT(M$11&amp;"!$B$14:$B$32"),INDIRECT(M$11&amp;"!$C$14:$C$32"))</f>
        <v>4900</v>
      </c>
      <c r="N13" s="21" cm="1">
        <f t="array" aca="1" ref="N13" ca="1">_xlfn.XLOOKUP($B13&amp;" Suma",INDIRECT(N$11&amp;"!$B$14:$B$32"),INDIRECT(N$11&amp;"!$C$14:$C$32"))</f>
        <v>6500</v>
      </c>
    </row>
    <row r="14" spans="1:14" x14ac:dyDescent="0.25">
      <c r="B14" t="s">
        <v>10</v>
      </c>
      <c r="C14" s="21" cm="1">
        <f t="array" aca="1" ref="C14" ca="1">_xlfn.XLOOKUP($B14&amp;" Suma",INDIRECT(C$11&amp;"!$B$14:$B$32"),INDIRECT(C$11&amp;"!$C$14:$C$32"))</f>
        <v>-4810</v>
      </c>
      <c r="D14" s="21" cm="1">
        <f t="array" aca="1" ref="D14" ca="1">_xlfn.XLOOKUP($B14&amp;" Suma",INDIRECT(D$11&amp;"!$B$14:$B$32"),INDIRECT(D$11&amp;"!$C$14:$C$32"))</f>
        <v>-4100.5</v>
      </c>
      <c r="E14" s="21" cm="1">
        <f t="array" aca="1" ref="E14" ca="1">_xlfn.XLOOKUP($B14&amp;" Suma",INDIRECT(E$11&amp;"!$B$14:$B$32"),INDIRECT(E$11&amp;"!$C$14:$C$32"))</f>
        <v>-3899.39</v>
      </c>
      <c r="F14" s="21" cm="1">
        <f t="array" aca="1" ref="F14" ca="1">_xlfn.XLOOKUP($B14&amp;" Suma",INDIRECT(F$11&amp;"!$B$14:$B$32"),INDIRECT(F$11&amp;"!$C$14:$C$32"))</f>
        <v>-3973.1600000000003</v>
      </c>
      <c r="G14" s="21" cm="1">
        <f t="array" aca="1" ref="G14" ca="1">_xlfn.XLOOKUP($B14&amp;" Suma",INDIRECT(G$11&amp;"!$B$14:$B$32"),INDIRECT(G$11&amp;"!$C$14:$C$32"))</f>
        <v>-3210</v>
      </c>
      <c r="H14" s="21" cm="1">
        <f t="array" aca="1" ref="H14" ca="1">_xlfn.XLOOKUP($B14&amp;" Suma",INDIRECT(H$11&amp;"!$B$14:$B$32"),INDIRECT(H$11&amp;"!$C$14:$C$32"))</f>
        <v>-3730</v>
      </c>
      <c r="I14" s="21" cm="1">
        <f t="array" aca="1" ref="I14" ca="1">_xlfn.XLOOKUP($B14&amp;" Suma",INDIRECT(I$11&amp;"!$B$14:$B$32"),INDIRECT(I$11&amp;"!$C$14:$C$32"))</f>
        <v>-3005</v>
      </c>
      <c r="J14" s="21" cm="1">
        <f t="array" aca="1" ref="J14" ca="1">_xlfn.XLOOKUP($B14&amp;" Suma",INDIRECT(J$11&amp;"!$B$14:$B$32"),INDIRECT(J$11&amp;"!$C$14:$C$32"))</f>
        <v>-3989.5</v>
      </c>
      <c r="K14" s="21" cm="1">
        <f t="array" aca="1" ref="K14" ca="1">_xlfn.XLOOKUP($B14&amp;" Suma",INDIRECT(K$11&amp;"!$B$14:$B$32"),INDIRECT(K$11&amp;"!$C$14:$C$32"))</f>
        <v>-2748.5</v>
      </c>
      <c r="L14" s="21" cm="1">
        <f t="array" aca="1" ref="L14" ca="1">_xlfn.XLOOKUP($B14&amp;" Suma",INDIRECT(L$11&amp;"!$B$14:$B$32"),INDIRECT(L$11&amp;"!$C$14:$C$32"))</f>
        <v>-2830</v>
      </c>
      <c r="M14" s="21" cm="1">
        <f t="array" aca="1" ref="M14" ca="1">_xlfn.XLOOKUP($B14&amp;" Suma",INDIRECT(M$11&amp;"!$B$14:$B$32"),INDIRECT(M$11&amp;"!$C$14:$C$32"))</f>
        <v>-3500</v>
      </c>
      <c r="N14" s="21" cm="1">
        <f t="array" aca="1" ref="N14" ca="1">_xlfn.XLOOKUP($B14&amp;" Suma",INDIRECT(N$11&amp;"!$B$14:$B$32"),INDIRECT(N$11&amp;"!$C$14:$C$32"))</f>
        <v>-4080</v>
      </c>
    </row>
    <row r="15" spans="1:14" x14ac:dyDescent="0.25">
      <c r="B15" t="s">
        <v>38</v>
      </c>
      <c r="C15" s="21">
        <f ca="1">SUBTOTAL(109,Tabela17[Styczeń])</f>
        <v>845.5</v>
      </c>
      <c r="D15" s="21">
        <f ca="1">SUBTOTAL(109,Tabela17[Luty])</f>
        <v>2464.5</v>
      </c>
      <c r="E15" s="21">
        <f ca="1">SUBTOTAL(109,Tabela17[Marzec])</f>
        <v>755.61000000000013</v>
      </c>
      <c r="F15" s="21">
        <f ca="1">SUBTOTAL(109,Tabela17[Kwiecień])</f>
        <v>726.83999999999969</v>
      </c>
      <c r="G15" s="21">
        <f ca="1">SUBTOTAL(109,Tabela17[Maj])</f>
        <v>1290</v>
      </c>
      <c r="H15" s="21">
        <f ca="1">SUBTOTAL(109,Tabela17[Czerwiec])</f>
        <v>1170</v>
      </c>
      <c r="I15" s="21">
        <f ca="1">SUBTOTAL(109,Tabela17[Lipiec])</f>
        <v>2915</v>
      </c>
      <c r="J15" s="21">
        <f ca="1">SUBTOTAL(109,Tabela17[Sierpień])</f>
        <v>390.5</v>
      </c>
      <c r="K15" s="21">
        <f ca="1">SUBTOTAL(109,Tabela17[Wrzesień])</f>
        <v>1751.5</v>
      </c>
      <c r="L15" s="21">
        <f ca="1">SUBTOTAL(109,Tabela17[Październik])</f>
        <v>1670</v>
      </c>
      <c r="M15" s="21">
        <f ca="1">SUBTOTAL(109,Tabela17[Listopad])</f>
        <v>1400</v>
      </c>
      <c r="N15" s="21">
        <f ca="1">SUBTOTAL(109,Tabela17[Grudzień])</f>
        <v>2420</v>
      </c>
    </row>
  </sheetData>
  <phoneticPr fontId="4" type="noConversion"/>
  <dataValidations count="2">
    <dataValidation type="list" allowBlank="1" showInputMessage="1" showErrorMessage="1" sqref="A2:A8" xr:uid="{8C2E290A-2EEE-4D92-8ED9-4805993923DD}">
      <formula1>$E$1:$G$1</formula1>
    </dataValidation>
    <dataValidation type="list" allowBlank="1" showInputMessage="1" showErrorMessage="1" sqref="B2:B8" xr:uid="{0AD0C739-A107-4D98-A31F-6FF0BD5E3773}">
      <formula1>CHOOSE(MATCH(A2,$E$1:$G$1,0),$E$2:$E$4,$F$2:$F$3,$A$15:$A$17)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C288-87C7-4DF7-8536-D679AFD5B8C6}">
  <dimension ref="A1:E33"/>
  <sheetViews>
    <sheetView workbookViewId="0">
      <selection activeCell="I15" sqref="I15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>
        <v>0</v>
      </c>
      <c r="D2" s="17">
        <f>SUMIFS(operacje[Kwota],operacje[Bank],styczeń_saldo[[#This Row],[Bank]],operacje[Produkt],styczeń_saldo[[#This Row],[Produkt]],operacje[Miesiąc],$B$11)</f>
        <v>-175</v>
      </c>
      <c r="E2" s="17">
        <f>styczeń_saldo[[#This Row],[Saldo początkowe]]+styczeń_saldo[[#This Row],[Operacje]]</f>
        <v>-175</v>
      </c>
    </row>
    <row r="3" spans="1:5" x14ac:dyDescent="0.25">
      <c r="A3" s="11" t="s">
        <v>7</v>
      </c>
      <c r="B3" s="12" t="s">
        <v>8</v>
      </c>
      <c r="C3" s="17">
        <v>600</v>
      </c>
      <c r="D3" s="17">
        <f>SUMIFS(operacje[Kwota],operacje[Bank],styczeń_saldo[[#This Row],[Bank]],operacje[Produkt],styczeń_saldo[[#This Row],[Produkt]],operacje[Miesiąc],$B$11)</f>
        <v>1100</v>
      </c>
      <c r="E3" s="17">
        <f>styczeń_saldo[[#This Row],[Saldo początkowe]]+styczeń_saldo[[#This Row],[Operacje]]</f>
        <v>1700</v>
      </c>
    </row>
    <row r="4" spans="1:5" x14ac:dyDescent="0.25">
      <c r="A4" s="13" t="s">
        <v>7</v>
      </c>
      <c r="B4" s="14" t="s">
        <v>18</v>
      </c>
      <c r="C4" s="17">
        <v>2000</v>
      </c>
      <c r="D4" s="17">
        <f>SUMIFS(operacje[Kwota],operacje[Bank],styczeń_saldo[[#This Row],[Bank]],operacje[Produkt],styczeń_saldo[[#This Row],[Produkt]],operacje[Miesiąc],$B$11)</f>
        <v>-400</v>
      </c>
      <c r="E4" s="17">
        <f>styczeń_saldo[[#This Row],[Saldo początkowe]]+styczeń_saldo[[#This Row],[Operacje]]</f>
        <v>1600</v>
      </c>
    </row>
    <row r="5" spans="1:5" x14ac:dyDescent="0.25">
      <c r="A5" s="15" t="s">
        <v>14</v>
      </c>
      <c r="B5" s="16" t="s">
        <v>8</v>
      </c>
      <c r="C5" s="17">
        <v>100</v>
      </c>
      <c r="D5" s="17">
        <f>SUMIFS(operacje[Kwota],operacje[Bank],styczeń_saldo[[#This Row],[Bank]],operacje[Produkt],styczeń_saldo[[#This Row],[Produkt]],operacje[Miesiąc],$B$11)</f>
        <v>-35</v>
      </c>
      <c r="E5" s="17">
        <f>styczeń_saldo[[#This Row],[Saldo początkowe]]+styczeń_saldo[[#This Row],[Operacje]]</f>
        <v>65</v>
      </c>
    </row>
    <row r="6" spans="1:5" x14ac:dyDescent="0.25">
      <c r="A6" s="11" t="s">
        <v>14</v>
      </c>
      <c r="B6" s="12" t="s">
        <v>20</v>
      </c>
      <c r="C6" s="17">
        <v>10.5</v>
      </c>
      <c r="D6" s="17">
        <f>SUMIFS(operacje[Kwota],operacje[Bank],styczeń_saldo[[#This Row],[Bank]],operacje[Produkt],styczeń_saldo[[#This Row],[Produkt]],operacje[Miesiąc],$B$11)</f>
        <v>255.5</v>
      </c>
      <c r="E6" s="17">
        <f>styczeń_saldo[[#This Row],[Saldo początkowe]]+styczeń_saldo[[#This Row],[Operacje]]</f>
        <v>266</v>
      </c>
    </row>
    <row r="7" spans="1:5" x14ac:dyDescent="0.25">
      <c r="A7" s="15" t="s">
        <v>26</v>
      </c>
      <c r="B7" s="16" t="s">
        <v>27</v>
      </c>
      <c r="C7" s="17">
        <v>200</v>
      </c>
      <c r="D7" s="17">
        <f>SUMIFS(operacje[Kwota],operacje[Bank],styczeń_saldo[[#This Row],[Bank]],operacje[Produkt],styczeń_saldo[[#This Row],[Produkt]],operacje[Miesiąc],$B$11)</f>
        <v>-50</v>
      </c>
      <c r="E7" s="17">
        <f>styczeń_saldo[[#This Row],[Saldo początkowe]]+styczeń_saldo[[#This Row],[Operacje]]</f>
        <v>150</v>
      </c>
    </row>
    <row r="8" spans="1:5" x14ac:dyDescent="0.25">
      <c r="A8" s="11" t="s">
        <v>26</v>
      </c>
      <c r="B8" s="12" t="s">
        <v>28</v>
      </c>
      <c r="C8" s="17">
        <v>30</v>
      </c>
      <c r="D8" s="17">
        <f>SUMIFS(operacje[Kwota],operacje[Bank],styczeń_saldo[[#This Row],[Bank]],operacje[Produkt],styczeń_saldo[[#This Row],[Produkt]],operacje[Miesiąc],$B$11)</f>
        <v>150</v>
      </c>
      <c r="E8" s="17">
        <f>styczeń_saldo[[#This Row],[Saldo początkowe]]+styczeń_saldo[[#This Row],[Operacje]]</f>
        <v>180</v>
      </c>
    </row>
    <row r="9" spans="1:5" x14ac:dyDescent="0.25">
      <c r="A9" t="s">
        <v>38</v>
      </c>
      <c r="C9" s="17">
        <f>SUBTOTAL(109,styczeń_saldo[Saldo początkowe])</f>
        <v>2940.5</v>
      </c>
      <c r="D9" s="17">
        <f>SUBTOTAL(109,styczeń_saldo[Operacje])</f>
        <v>845.5</v>
      </c>
      <c r="E9" s="17">
        <f>SUBTOTAL(109,styczeń_saldo[Saldo końcowe])</f>
        <v>3786</v>
      </c>
    </row>
    <row r="11" spans="1:5" x14ac:dyDescent="0.25">
      <c r="A11" t="s">
        <v>6</v>
      </c>
      <c r="B11">
        <v>1</v>
      </c>
      <c r="C11" t="str">
        <f>TEXT(DATE(2025,B11,1),"mmmm")</f>
        <v>styczeń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105.5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250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800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5655.5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-1715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-80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-500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-85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-100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-150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-80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-100</v>
      </c>
    </row>
    <row r="32" spans="1:3" outlineLevel="1" x14ac:dyDescent="0.25">
      <c r="A32" s="19"/>
      <c r="B32" s="20" t="s">
        <v>41</v>
      </c>
      <c r="C32">
        <f>SUBTOTAL(9,C23:C31)</f>
        <v>-4810</v>
      </c>
    </row>
    <row r="33" spans="1:3" x14ac:dyDescent="0.25">
      <c r="A33" s="19"/>
      <c r="B33" s="20" t="s">
        <v>42</v>
      </c>
      <c r="C33">
        <f>SUBTOTAL(9,C14:C31)</f>
        <v>845.5</v>
      </c>
    </row>
  </sheetData>
  <dataValidations count="2">
    <dataValidation type="list" allowBlank="1" showInputMessage="1" showErrorMessage="1" sqref="A2:A8" xr:uid="{D337CC68-B453-4552-BE15-111A9B7D23C4}">
      <formula1>$E$1:$G$1</formula1>
    </dataValidation>
    <dataValidation type="list" allowBlank="1" showInputMessage="1" showErrorMessage="1" sqref="B2:B8" xr:uid="{D82F7321-0F93-410A-9A86-F907191FE4BA}">
      <formula1>CHOOSE(MATCH(A2,$E$1:$G$1,0),$E$2:$E$4,$F$2:$F$3,$A$14:$A$16)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0D21-E4DE-46A4-83E7-9B09BE1BF88D}">
  <dimension ref="A1:E33"/>
  <sheetViews>
    <sheetView workbookViewId="0">
      <selection activeCell="C2" sqref="C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-175</v>
      </c>
      <c r="D2" s="17">
        <f>SUMIFS(operacje[Kwota],operacje[Bank],luty_saldo[[#This Row],[Bank]],operacje[Produkt],luty_saldo[[#This Row],[Produkt]],operacje[Miesiąc],$B$11)</f>
        <v>175</v>
      </c>
      <c r="E2" s="17">
        <f ca="1">luty_saldo[[#This Row],[Saldo początkowe]]+luty_saldo[[#This Row],[Operacje]]</f>
        <v>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1700</v>
      </c>
      <c r="D3" s="17">
        <f>SUMIFS(operacje[Kwota],operacje[Bank],luty_saldo[[#This Row],[Bank]],operacje[Produkt],luty_saldo[[#This Row],[Produkt]],operacje[Miesiąc],$B$11)</f>
        <v>2039.5</v>
      </c>
      <c r="E3" s="17">
        <f ca="1">luty_saldo[[#This Row],[Saldo początkowe]]+luty_saldo[[#This Row],[Operacje]]</f>
        <v>3739.5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1600</v>
      </c>
      <c r="D4" s="17">
        <f>SUMIFS(operacje[Kwota],operacje[Bank],luty_saldo[[#This Row],[Bank]],operacje[Produkt],luty_saldo[[#This Row],[Produkt]],operacje[Miesiąc],$B$11)</f>
        <v>-400</v>
      </c>
      <c r="E4" s="17">
        <f ca="1">luty_saldo[[#This Row],[Saldo początkowe]]+luty_saldo[[#This Row],[Operacje]]</f>
        <v>1200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65</v>
      </c>
      <c r="D5" s="17">
        <f>SUMIFS(operacje[Kwota],operacje[Bank],luty_saldo[[#This Row],[Bank]],operacje[Produkt],luty_saldo[[#This Row],[Produkt]],operacje[Miesiąc],$B$11)</f>
        <v>35</v>
      </c>
      <c r="E5" s="17">
        <f ca="1">luty_saldo[[#This Row],[Saldo początkowe]]+luty_saldo[[#This Row],[Operacje]]</f>
        <v>100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266</v>
      </c>
      <c r="D6" s="17">
        <f>SUMIFS(operacje[Kwota],operacje[Bank],luty_saldo[[#This Row],[Bank]],operacje[Produkt],luty_saldo[[#This Row],[Produkt]],operacje[Miesiąc],$B$11)</f>
        <v>15</v>
      </c>
      <c r="E6" s="17">
        <f ca="1">luty_saldo[[#This Row],[Saldo początkowe]]+luty_saldo[[#This Row],[Operacje]]</f>
        <v>281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150</v>
      </c>
      <c r="D7" s="17">
        <f>SUMIFS(operacje[Kwota],operacje[Bank],luty_saldo[[#This Row],[Bank]],operacje[Produkt],luty_saldo[[#This Row],[Produkt]],operacje[Miesiąc],$B$11)</f>
        <v>100</v>
      </c>
      <c r="E7" s="17">
        <f ca="1">luty_saldo[[#This Row],[Saldo początkowe]]+luty_saldo[[#This Row],[Operacje]]</f>
        <v>250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180</v>
      </c>
      <c r="D8" s="17">
        <f>SUMIFS(operacje[Kwota],operacje[Bank],luty_saldo[[#This Row],[Bank]],operacje[Produkt],luty_saldo[[#This Row],[Produkt]],operacje[Miesiąc],$B$11)</f>
        <v>500</v>
      </c>
      <c r="E8" s="17">
        <f ca="1">luty_saldo[[#This Row],[Saldo początkowe]]+luty_saldo[[#This Row],[Operacje]]</f>
        <v>680</v>
      </c>
    </row>
    <row r="9" spans="1:5" x14ac:dyDescent="0.25">
      <c r="A9" t="s">
        <v>38</v>
      </c>
      <c r="C9" s="17">
        <f ca="1">SUBTOTAL(109,luty_saldo[Saldo początkowe])</f>
        <v>3786</v>
      </c>
      <c r="D9" s="17">
        <f>SUBTOTAL(109,luty_saldo[Operacje])</f>
        <v>2464.5</v>
      </c>
      <c r="E9" s="17">
        <f ca="1">SUBTOTAL(109,luty_saldo[Saldo końcowe])</f>
        <v>6250.5</v>
      </c>
    </row>
    <row r="11" spans="1:5" x14ac:dyDescent="0.25">
      <c r="A11" t="s">
        <v>6</v>
      </c>
      <c r="B11">
        <v>2</v>
      </c>
      <c r="C11" t="str">
        <f>TEXT(DATE(2025,B11,1),"mmmm")</f>
        <v>luty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115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1950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6565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-405.5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-765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-350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-100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-150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-80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-250</v>
      </c>
    </row>
    <row r="32" spans="1:3" outlineLevel="1" x14ac:dyDescent="0.25">
      <c r="A32" s="19"/>
      <c r="B32" s="20" t="s">
        <v>41</v>
      </c>
      <c r="C32">
        <f>SUBTOTAL(9,C23:C31)</f>
        <v>-4100.5</v>
      </c>
    </row>
    <row r="33" spans="1:3" x14ac:dyDescent="0.25">
      <c r="A33" s="19"/>
      <c r="B33" s="20" t="s">
        <v>42</v>
      </c>
      <c r="C33">
        <f>SUBTOTAL(9,C14:C31)</f>
        <v>2464.5</v>
      </c>
    </row>
  </sheetData>
  <dataValidations count="2">
    <dataValidation type="list" allowBlank="1" showInputMessage="1" showErrorMessage="1" sqref="B2:B8" xr:uid="{20D3F782-A8E2-4D77-BDC6-F82015416610}">
      <formula1>CHOOSE(MATCH(A2,$E$1:$G$1,0),$E$2:$E$4,$F$2:$F$3,$A$14:$A$16)</formula1>
    </dataValidation>
    <dataValidation type="list" allowBlank="1" showInputMessage="1" showErrorMessage="1" sqref="A2:A8" xr:uid="{D6B14266-318A-4167-AD04-16F0CC01BC9B}">
      <formula1>$E$1:$G$1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0D1F-2B26-41B6-A06C-188B1A6AFBF1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0</v>
      </c>
      <c r="D2" s="17">
        <f>SUMIFS(operacje[Kwota],operacje[Bank],marzec_saldo[[#This Row],[Bank]],operacje[Produkt],marzec_saldo[[#This Row],[Produkt]],operacje[Miesiąc],$B$11)</f>
        <v>-104.5</v>
      </c>
      <c r="E2" s="17">
        <f ca="1">marzec_saldo[[#This Row],[Saldo początkowe]]+marzec_saldo[[#This Row],[Operacje]]</f>
        <v>-104.5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3739.5</v>
      </c>
      <c r="D3" s="17">
        <f>SUMIFS(operacje[Kwota],operacje[Bank],marzec_saldo[[#This Row],[Bank]],operacje[Produkt],marzec_saldo[[#This Row],[Produkt]],operacje[Miesiąc],$B$11)</f>
        <v>821.59999999999991</v>
      </c>
      <c r="E3" s="17">
        <f ca="1">marzec_saldo[[#This Row],[Saldo początkowe]]+marzec_saldo[[#This Row],[Operacje]]</f>
        <v>4561.1000000000004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1200</v>
      </c>
      <c r="D4" s="17">
        <f>SUMIFS(operacje[Kwota],operacje[Bank],marzec_saldo[[#This Row],[Bank]],operacje[Produkt],marzec_saldo[[#This Row],[Produkt]],operacje[Miesiąc],$B$11)</f>
        <v>0</v>
      </c>
      <c r="E4" s="17">
        <f ca="1">marzec_saldo[[#This Row],[Saldo początkowe]]+marzec_saldo[[#This Row],[Operacje]]</f>
        <v>1200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100</v>
      </c>
      <c r="D5" s="17">
        <f>SUMIFS(operacje[Kwota],operacje[Bank],marzec_saldo[[#This Row],[Bank]],operacje[Produkt],marzec_saldo[[#This Row],[Produkt]],operacje[Miesiąc],$B$11)</f>
        <v>67.5</v>
      </c>
      <c r="E5" s="17">
        <f ca="1">marzec_saldo[[#This Row],[Saldo początkowe]]+marzec_saldo[[#This Row],[Operacje]]</f>
        <v>167.5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281</v>
      </c>
      <c r="D6" s="17">
        <f>SUMIFS(operacje[Kwota],operacje[Bank],marzec_saldo[[#This Row],[Bank]],operacje[Produkt],marzec_saldo[[#This Row],[Produkt]],operacje[Miesiąc],$B$11)</f>
        <v>5</v>
      </c>
      <c r="E6" s="17">
        <f ca="1">marzec_saldo[[#This Row],[Saldo początkowe]]+marzec_saldo[[#This Row],[Operacje]]</f>
        <v>286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250</v>
      </c>
      <c r="D7" s="17">
        <f>SUMIFS(operacje[Kwota],operacje[Bank],marzec_saldo[[#This Row],[Bank]],operacje[Produkt],marzec_saldo[[#This Row],[Produkt]],operacje[Miesiąc],$B$11)</f>
        <v>-24.49</v>
      </c>
      <c r="E7" s="17">
        <f ca="1">marzec_saldo[[#This Row],[Saldo początkowe]]+marzec_saldo[[#This Row],[Operacje]]</f>
        <v>225.51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680</v>
      </c>
      <c r="D8" s="17">
        <f>SUMIFS(operacje[Kwota],operacje[Bank],marzec_saldo[[#This Row],[Bank]],operacje[Produkt],marzec_saldo[[#This Row],[Produkt]],operacje[Miesiąc],$B$11)</f>
        <v>-9.5</v>
      </c>
      <c r="E8" s="17">
        <f ca="1">marzec_saldo[[#This Row],[Saldo początkowe]]+marzec_saldo[[#This Row],[Operacje]]</f>
        <v>670.5</v>
      </c>
    </row>
    <row r="9" spans="1:5" x14ac:dyDescent="0.25">
      <c r="A9" t="s">
        <v>38</v>
      </c>
      <c r="C9" s="17">
        <f ca="1">SUBTOTAL(109,marzec_saldo[Saldo początkowe])</f>
        <v>6250.5</v>
      </c>
      <c r="D9" s="17">
        <f>SUBTOTAL(109,marzec_saldo[Operacje])</f>
        <v>755.6099999999999</v>
      </c>
      <c r="E9" s="17">
        <f ca="1">SUBTOTAL(109,marzec_saldo[Saldo końcowe])</f>
        <v>7006.1100000000006</v>
      </c>
    </row>
    <row r="11" spans="1:5" x14ac:dyDescent="0.25">
      <c r="A11" t="s">
        <v>6</v>
      </c>
      <c r="B11">
        <v>3</v>
      </c>
      <c r="C11" t="str">
        <f>TEXT(DATE(2025,B11,1),"mmmm")</f>
        <v>marzec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5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150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4655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-734.99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-469.9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-300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-200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-79.5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-23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-82.5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-9.5</v>
      </c>
    </row>
    <row r="32" spans="1:3" outlineLevel="1" x14ac:dyDescent="0.25">
      <c r="A32" s="19"/>
      <c r="B32" s="20" t="s">
        <v>41</v>
      </c>
      <c r="C32">
        <f>SUBTOTAL(9,C23:C31)</f>
        <v>-3899.39</v>
      </c>
    </row>
    <row r="33" spans="1:3" x14ac:dyDescent="0.25">
      <c r="A33" s="19"/>
      <c r="B33" s="20" t="s">
        <v>42</v>
      </c>
      <c r="C33">
        <f>SUBTOTAL(9,C14:C31)</f>
        <v>755.61000000000013</v>
      </c>
    </row>
  </sheetData>
  <dataValidations count="2">
    <dataValidation type="list" allowBlank="1" showInputMessage="1" showErrorMessage="1" sqref="A2:A8" xr:uid="{0CF135B5-5A92-418A-97B0-6FE9DE4E5A6E}">
      <formula1>$E$1:$G$1</formula1>
    </dataValidation>
    <dataValidation type="list" allowBlank="1" showInputMessage="1" showErrorMessage="1" sqref="B2:B8" xr:uid="{BBFA00B4-D4F1-4AC0-AE5C-BF925B2EB7DE}">
      <formula1>CHOOSE(MATCH(A2,$E$1:$G$1,0),$E$2:$E$4,$F$2:$F$3,$A$14:$A$16)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0B84-788E-4640-92E5-4661FE15460F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-104.5</v>
      </c>
      <c r="D2" s="17">
        <f>SUMIFS(operacje[Kwota],operacje[Bank],kwiecień_saldo[[#This Row],[Bank]],operacje[Produkt],kwiecień_saldo[[#This Row],[Produkt]],operacje[Miesiąc],$B$11)</f>
        <v>13.110000000000007</v>
      </c>
      <c r="E2" s="17">
        <f ca="1">kwiecień_saldo[[#This Row],[Saldo początkowe]]+kwiecień_saldo[[#This Row],[Operacje]]</f>
        <v>-91.389999999999986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4561.1000000000004</v>
      </c>
      <c r="D3" s="17">
        <f>SUMIFS(operacje[Kwota],operacje[Bank],kwiecień_saldo[[#This Row],[Bank]],operacje[Produkt],kwiecień_saldo[[#This Row],[Produkt]],operacje[Miesiąc],$B$11)</f>
        <v>562.72999999999968</v>
      </c>
      <c r="E3" s="17">
        <f ca="1">kwiecień_saldo[[#This Row],[Saldo początkowe]]+kwiecień_saldo[[#This Row],[Operacje]]</f>
        <v>5123.83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1200</v>
      </c>
      <c r="D4" s="17">
        <f>SUMIFS(operacje[Kwota],operacje[Bank],kwiecień_saldo[[#This Row],[Bank]],operacje[Produkt],kwiecień_saldo[[#This Row],[Produkt]],operacje[Miesiąc],$B$11)</f>
        <v>0</v>
      </c>
      <c r="E4" s="17">
        <f ca="1">kwiecień_saldo[[#This Row],[Saldo początkowe]]+kwiecień_saldo[[#This Row],[Operacje]]</f>
        <v>1200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167.5</v>
      </c>
      <c r="D5" s="17">
        <f>SUMIFS(operacje[Kwota],operacje[Bank],kwiecień_saldo[[#This Row],[Bank]],operacje[Produkt],kwiecień_saldo[[#This Row],[Produkt]],operacje[Miesiąc],$B$11)</f>
        <v>101</v>
      </c>
      <c r="E5" s="17">
        <f ca="1">kwiecień_saldo[[#This Row],[Saldo początkowe]]+kwiecień_saldo[[#This Row],[Operacje]]</f>
        <v>268.5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286</v>
      </c>
      <c r="D6" s="17">
        <f>SUMIFS(operacje[Kwota],operacje[Bank],kwiecień_saldo[[#This Row],[Bank]],operacje[Produkt],kwiecień_saldo[[#This Row],[Produkt]],operacje[Miesiąc],$B$11)</f>
        <v>50</v>
      </c>
      <c r="E6" s="17">
        <f ca="1">kwiecień_saldo[[#This Row],[Saldo początkowe]]+kwiecień_saldo[[#This Row],[Operacje]]</f>
        <v>336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225.51</v>
      </c>
      <c r="D7" s="17">
        <f>SUMIFS(operacje[Kwota],operacje[Bank],kwiecień_saldo[[#This Row],[Bank]],operacje[Produkt],kwiecień_saldo[[#This Row],[Produkt]],operacje[Miesiąc],$B$11)</f>
        <v>0</v>
      </c>
      <c r="E7" s="17">
        <f ca="1">kwiecień_saldo[[#This Row],[Saldo początkowe]]+kwiecień_saldo[[#This Row],[Operacje]]</f>
        <v>225.51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670.5</v>
      </c>
      <c r="D8" s="17">
        <f>SUMIFS(operacje[Kwota],operacje[Bank],kwiecień_saldo[[#This Row],[Bank]],operacje[Produkt],kwiecień_saldo[[#This Row],[Produkt]],operacje[Miesiąc],$B$11)</f>
        <v>0</v>
      </c>
      <c r="E8" s="17">
        <f ca="1">kwiecień_saldo[[#This Row],[Saldo początkowe]]+kwiecień_saldo[[#This Row],[Operacje]]</f>
        <v>670.5</v>
      </c>
    </row>
    <row r="9" spans="1:5" x14ac:dyDescent="0.25">
      <c r="A9" t="s">
        <v>38</v>
      </c>
      <c r="C9" s="17">
        <f ca="1">SUBTOTAL(109,kwiecień_saldo[Saldo początkowe])</f>
        <v>7006.1100000000006</v>
      </c>
      <c r="D9" s="17">
        <f>SUBTOTAL(109,kwiecień_saldo[Operacje])</f>
        <v>726.83999999999969</v>
      </c>
      <c r="E9" s="17">
        <f ca="1">SUBTOTAL(109,kwiecień_saldo[Saldo końcowe])</f>
        <v>7732.95</v>
      </c>
    </row>
    <row r="11" spans="1:5" x14ac:dyDescent="0.25">
      <c r="A11" t="s">
        <v>6</v>
      </c>
      <c r="B11">
        <v>4</v>
      </c>
      <c r="C11" t="str">
        <f>TEXT(DATE(2025,B11,1),"mmmm")</f>
        <v>kwiecień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50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150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4700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-372.26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-149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-100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-1057.9000000000001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-139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-49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-82.5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-23.5</v>
      </c>
    </row>
    <row r="32" spans="1:3" outlineLevel="1" x14ac:dyDescent="0.25">
      <c r="A32" s="19"/>
      <c r="B32" s="20" t="s">
        <v>41</v>
      </c>
      <c r="C32">
        <f>SUBTOTAL(9,C23:C31)</f>
        <v>-3973.1600000000003</v>
      </c>
    </row>
    <row r="33" spans="1:3" x14ac:dyDescent="0.25">
      <c r="A33" s="19"/>
      <c r="B33" s="20" t="s">
        <v>42</v>
      </c>
      <c r="C33">
        <f>SUBTOTAL(9,C14:C31)</f>
        <v>726.83999999999969</v>
      </c>
    </row>
  </sheetData>
  <dataValidations count="2">
    <dataValidation type="list" allowBlank="1" showInputMessage="1" showErrorMessage="1" sqref="B2:B8" xr:uid="{7B411964-66A7-413E-BC34-930D51A3114B}">
      <formula1>CHOOSE(MATCH(A2,$E$1:$G$1,0),$E$2:$E$4,$F$2:$F$3,$A$14:$A$16)</formula1>
    </dataValidation>
    <dataValidation type="list" allowBlank="1" showInputMessage="1" showErrorMessage="1" sqref="A2:A8" xr:uid="{53DF84E4-1EBB-4DCF-A774-090C37B9FDD2}">
      <formula1>$E$1:$G$1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F27F-AB90-43A1-AE93-E9EC2EDF6B9C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-91.389999999999986</v>
      </c>
      <c r="D2" s="17">
        <f>SUMIFS(operacje[Kwota],operacje[Bank],maj_saldo[[#This Row],[Bank]],operacje[Produkt],maj_saldo[[#This Row],[Produkt]],operacje[Miesiąc],$B$11)</f>
        <v>-908.61</v>
      </c>
      <c r="E2" s="17">
        <f ca="1">maj_saldo[[#This Row],[Saldo początkowe]]+maj_saldo[[#This Row],[Operacje]]</f>
        <v>-1000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5123.83</v>
      </c>
      <c r="D3" s="17">
        <f>SUMIFS(operacje[Kwota],operacje[Bank],maj_saldo[[#This Row],[Bank]],operacje[Produkt],maj_saldo[[#This Row],[Produkt]],operacje[Miesiąc],$B$11)</f>
        <v>2328.61</v>
      </c>
      <c r="E3" s="17">
        <f ca="1">maj_saldo[[#This Row],[Saldo początkowe]]+maj_saldo[[#This Row],[Operacje]]</f>
        <v>7452.4400000000005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1200</v>
      </c>
      <c r="D4" s="17">
        <f>SUMIFS(operacje[Kwota],operacje[Bank],maj_saldo[[#This Row],[Bank]],operacje[Produkt],maj_saldo[[#This Row],[Produkt]],operacje[Miesiąc],$B$11)</f>
        <v>0</v>
      </c>
      <c r="E4" s="17">
        <f ca="1">maj_saldo[[#This Row],[Saldo początkowe]]+maj_saldo[[#This Row],[Operacje]]</f>
        <v>1200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268.5</v>
      </c>
      <c r="D5" s="17">
        <f>SUMIFS(operacje[Kwota],operacje[Bank],maj_saldo[[#This Row],[Bank]],operacje[Produkt],maj_saldo[[#This Row],[Produkt]],operacje[Miesiąc],$B$11)</f>
        <v>-50</v>
      </c>
      <c r="E5" s="17">
        <f ca="1">maj_saldo[[#This Row],[Saldo początkowe]]+maj_saldo[[#This Row],[Operacje]]</f>
        <v>218.5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336</v>
      </c>
      <c r="D6" s="17">
        <f>SUMIFS(operacje[Kwota],operacje[Bank],maj_saldo[[#This Row],[Bank]],operacje[Produkt],maj_saldo[[#This Row],[Produkt]],operacje[Miesiąc],$B$11)</f>
        <v>0</v>
      </c>
      <c r="E6" s="17">
        <f ca="1">maj_saldo[[#This Row],[Saldo początkowe]]+maj_saldo[[#This Row],[Operacje]]</f>
        <v>336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225.51</v>
      </c>
      <c r="D7" s="17">
        <f>SUMIFS(operacje[Kwota],operacje[Bank],maj_saldo[[#This Row],[Bank]],operacje[Produkt],maj_saldo[[#This Row],[Produkt]],operacje[Miesiąc],$B$11)</f>
        <v>0</v>
      </c>
      <c r="E7" s="17">
        <f ca="1">maj_saldo[[#This Row],[Saldo początkowe]]+maj_saldo[[#This Row],[Operacje]]</f>
        <v>225.51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670.5</v>
      </c>
      <c r="D8" s="17">
        <f>SUMIFS(operacje[Kwota],operacje[Bank],maj_saldo[[#This Row],[Bank]],operacje[Produkt],maj_saldo[[#This Row],[Produkt]],operacje[Miesiąc],$B$11)</f>
        <v>-80</v>
      </c>
      <c r="E8" s="17">
        <f ca="1">maj_saldo[[#This Row],[Saldo początkowe]]+maj_saldo[[#This Row],[Operacje]]</f>
        <v>590.5</v>
      </c>
    </row>
    <row r="9" spans="1:5" x14ac:dyDescent="0.25">
      <c r="A9" t="s">
        <v>38</v>
      </c>
      <c r="C9" s="17">
        <f ca="1">SUBTOTAL(109,maj_saldo[Saldo początkowe])</f>
        <v>7732.95</v>
      </c>
      <c r="D9" s="17">
        <f>SUBTOTAL(109,maj_saldo[Operacje])</f>
        <v>1290</v>
      </c>
      <c r="E9" s="17">
        <f ca="1">SUBTOTAL(109,maj_saldo[Saldo końcowe])</f>
        <v>9022.9500000000007</v>
      </c>
    </row>
    <row r="11" spans="1:5" x14ac:dyDescent="0.25">
      <c r="A11" t="s">
        <v>6</v>
      </c>
      <c r="B11">
        <v>5</v>
      </c>
      <c r="C11" t="str">
        <f>TEXT(DATE(2025,B11,1),"mmmm")</f>
        <v>maj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-1000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-80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-50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-80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0</v>
      </c>
    </row>
    <row r="32" spans="1:3" outlineLevel="1" x14ac:dyDescent="0.25">
      <c r="A32" s="19"/>
      <c r="B32" s="20" t="s">
        <v>41</v>
      </c>
      <c r="C32">
        <f>SUBTOTAL(9,C23:C31)</f>
        <v>-3210</v>
      </c>
    </row>
    <row r="33" spans="1:3" x14ac:dyDescent="0.25">
      <c r="A33" s="19"/>
      <c r="B33" s="20" t="s">
        <v>42</v>
      </c>
      <c r="C33">
        <f>SUBTOTAL(9,C14:C31)</f>
        <v>1290</v>
      </c>
    </row>
  </sheetData>
  <dataValidations count="2">
    <dataValidation type="list" allowBlank="1" showInputMessage="1" showErrorMessage="1" sqref="A2:A8" xr:uid="{A4FBEBF3-ADC4-4ED8-A44F-947B29BFB405}">
      <formula1>$E$1:$G$1</formula1>
    </dataValidation>
    <dataValidation type="list" allowBlank="1" showInputMessage="1" showErrorMessage="1" sqref="B2:B8" xr:uid="{558411BB-8821-40C9-8DCC-36D2CBB23484}">
      <formula1>CHOOSE(MATCH(A2,$E$1:$G$1,0),$E$2:$E$4,$F$2:$F$3,$A$14:$A$16)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DE79-7221-4475-9DA4-AC26B167790F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-1000</v>
      </c>
      <c r="D2" s="17">
        <f>SUMIFS(operacje[Kwota],operacje[Bank],czerwiec_saldo[[#This Row],[Bank]],operacje[Produkt],czerwiec_saldo[[#This Row],[Produkt]],operacje[Miesiąc],$B$11)</f>
        <v>-300</v>
      </c>
      <c r="E2" s="17">
        <f ca="1">czerwiec_saldo[[#This Row],[Saldo początkowe]]+czerwiec_saldo[[#This Row],[Operacje]]</f>
        <v>-1300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7452.4400000000005</v>
      </c>
      <c r="D3" s="17">
        <f>SUMIFS(operacje[Kwota],operacje[Bank],czerwiec_saldo[[#This Row],[Bank]],operacje[Produkt],czerwiec_saldo[[#This Row],[Produkt]],operacje[Miesiąc],$B$11)</f>
        <v>1420</v>
      </c>
      <c r="E3" s="17">
        <f ca="1">czerwiec_saldo[[#This Row],[Saldo początkowe]]+czerwiec_saldo[[#This Row],[Operacje]]</f>
        <v>8872.44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1200</v>
      </c>
      <c r="D4" s="17">
        <f>SUMIFS(operacje[Kwota],operacje[Bank],czerwiec_saldo[[#This Row],[Bank]],operacje[Produkt],czerwiec_saldo[[#This Row],[Produkt]],operacje[Miesiąc],$B$11)</f>
        <v>0</v>
      </c>
      <c r="E4" s="17">
        <f ca="1">czerwiec_saldo[[#This Row],[Saldo początkowe]]+czerwiec_saldo[[#This Row],[Operacje]]</f>
        <v>1200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218.5</v>
      </c>
      <c r="D5" s="17">
        <f>SUMIFS(operacje[Kwota],operacje[Bank],czerwiec_saldo[[#This Row],[Bank]],operacje[Produkt],czerwiec_saldo[[#This Row],[Produkt]],operacje[Miesiąc],$B$11)</f>
        <v>250</v>
      </c>
      <c r="E5" s="17">
        <f ca="1">czerwiec_saldo[[#This Row],[Saldo początkowe]]+czerwiec_saldo[[#This Row],[Operacje]]</f>
        <v>468.5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336</v>
      </c>
      <c r="D6" s="17">
        <f>SUMIFS(operacje[Kwota],operacje[Bank],czerwiec_saldo[[#This Row],[Bank]],operacje[Produkt],czerwiec_saldo[[#This Row],[Produkt]],operacje[Miesiąc],$B$11)</f>
        <v>0</v>
      </c>
      <c r="E6" s="17">
        <f ca="1">czerwiec_saldo[[#This Row],[Saldo początkowe]]+czerwiec_saldo[[#This Row],[Operacje]]</f>
        <v>336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225.51</v>
      </c>
      <c r="D7" s="17">
        <f>SUMIFS(operacje[Kwota],operacje[Bank],czerwiec_saldo[[#This Row],[Bank]],operacje[Produkt],czerwiec_saldo[[#This Row],[Produkt]],operacje[Miesiąc],$B$11)</f>
        <v>0</v>
      </c>
      <c r="E7" s="17">
        <f ca="1">czerwiec_saldo[[#This Row],[Saldo początkowe]]+czerwiec_saldo[[#This Row],[Operacje]]</f>
        <v>225.51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590.5</v>
      </c>
      <c r="D8" s="17">
        <f>SUMIFS(operacje[Kwota],operacje[Bank],czerwiec_saldo[[#This Row],[Bank]],operacje[Produkt],czerwiec_saldo[[#This Row],[Produkt]],operacje[Miesiąc],$B$11)</f>
        <v>-200</v>
      </c>
      <c r="E8" s="17">
        <f ca="1">czerwiec_saldo[[#This Row],[Saldo początkowe]]+czerwiec_saldo[[#This Row],[Operacje]]</f>
        <v>390.5</v>
      </c>
    </row>
    <row r="9" spans="1:5" x14ac:dyDescent="0.25">
      <c r="A9" t="s">
        <v>38</v>
      </c>
      <c r="C9" s="17">
        <f ca="1">SUBTOTAL(109,czerwiec_saldo[Saldo początkowe])</f>
        <v>9022.9500000000007</v>
      </c>
      <c r="D9" s="17">
        <f>SUBTOTAL(109,czerwiec_saldo[Operacje])</f>
        <v>1170</v>
      </c>
      <c r="E9" s="17">
        <f ca="1">SUBTOTAL(109,czerwiec_saldo[Saldo końcowe])</f>
        <v>10192.950000000001</v>
      </c>
    </row>
    <row r="11" spans="1:5" x14ac:dyDescent="0.25">
      <c r="A11" t="s">
        <v>6</v>
      </c>
      <c r="B11">
        <v>6</v>
      </c>
      <c r="C11" t="str">
        <f>TEXT(DATE(2025,B11,1),"mmmm")</f>
        <v>czerwiec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400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4900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-1000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-300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-200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-50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-80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-100</v>
      </c>
    </row>
    <row r="32" spans="1:3" outlineLevel="1" x14ac:dyDescent="0.25">
      <c r="A32" s="19"/>
      <c r="B32" s="20" t="s">
        <v>41</v>
      </c>
      <c r="C32">
        <f>SUBTOTAL(9,C23:C31)</f>
        <v>-3730</v>
      </c>
    </row>
    <row r="33" spans="1:3" x14ac:dyDescent="0.25">
      <c r="A33" s="19"/>
      <c r="B33" s="20" t="s">
        <v>42</v>
      </c>
      <c r="C33">
        <f>SUBTOTAL(9,C14:C31)</f>
        <v>1170</v>
      </c>
    </row>
  </sheetData>
  <dataValidations count="2">
    <dataValidation type="list" allowBlank="1" showInputMessage="1" showErrorMessage="1" sqref="B2:B8" xr:uid="{4D89DD33-36D8-4565-B970-A7682378229F}">
      <formula1>CHOOSE(MATCH(A2,$E$1:$G$1,0),$E$2:$E$4,$F$2:$F$3,$A$14:$A$16)</formula1>
    </dataValidation>
    <dataValidation type="list" allowBlank="1" showInputMessage="1" showErrorMessage="1" sqref="A2:A8" xr:uid="{796B2120-A291-408E-96D6-97606D45BAC0}">
      <formula1>$E$1:$G$1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23F8-3DE6-41D1-B1FE-9CC8BC7197C8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-1300</v>
      </c>
      <c r="D2" s="17">
        <f>SUMIFS(operacje[Kwota],operacje[Bank],lipiec_saldo[[#This Row],[Bank]],operacje[Produkt],lipiec_saldo[[#This Row],[Produkt]],operacje[Miesiąc],$B$11)</f>
        <v>1165</v>
      </c>
      <c r="E2" s="17">
        <f ca="1">lipiec_saldo[[#This Row],[Saldo początkowe]]+lipiec_saldo[[#This Row],[Operacje]]</f>
        <v>-135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8872.44</v>
      </c>
      <c r="D3" s="17">
        <f>SUMIFS(operacje[Kwota],operacje[Bank],lipiec_saldo[[#This Row],[Bank]],operacje[Produkt],lipiec_saldo[[#This Row],[Produkt]],operacje[Miesiąc],$B$11)</f>
        <v>1010</v>
      </c>
      <c r="E3" s="17">
        <f ca="1">lipiec_saldo[[#This Row],[Saldo początkowe]]+lipiec_saldo[[#This Row],[Operacje]]</f>
        <v>9882.44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1200</v>
      </c>
      <c r="D4" s="17">
        <f>SUMIFS(operacje[Kwota],operacje[Bank],lipiec_saldo[[#This Row],[Bank]],operacje[Produkt],lipiec_saldo[[#This Row],[Produkt]],operacje[Miesiąc],$B$11)</f>
        <v>-180</v>
      </c>
      <c r="E4" s="17">
        <f ca="1">lipiec_saldo[[#This Row],[Saldo początkowe]]+lipiec_saldo[[#This Row],[Operacje]]</f>
        <v>1020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468.5</v>
      </c>
      <c r="D5" s="17">
        <f>SUMIFS(operacje[Kwota],operacje[Bank],lipiec_saldo[[#This Row],[Bank]],operacje[Produkt],lipiec_saldo[[#This Row],[Produkt]],operacje[Miesiąc],$B$11)</f>
        <v>-100</v>
      </c>
      <c r="E5" s="17">
        <f ca="1">lipiec_saldo[[#This Row],[Saldo początkowe]]+lipiec_saldo[[#This Row],[Operacje]]</f>
        <v>368.5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336</v>
      </c>
      <c r="D6" s="17">
        <f>SUMIFS(operacje[Kwota],operacje[Bank],lipiec_saldo[[#This Row],[Bank]],operacje[Produkt],lipiec_saldo[[#This Row],[Produkt]],operacje[Miesiąc],$B$11)</f>
        <v>1050</v>
      </c>
      <c r="E6" s="17">
        <f ca="1">lipiec_saldo[[#This Row],[Saldo początkowe]]+lipiec_saldo[[#This Row],[Operacje]]</f>
        <v>1386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225.51</v>
      </c>
      <c r="D7" s="17">
        <f>SUMIFS(operacje[Kwota],operacje[Bank],lipiec_saldo[[#This Row],[Bank]],operacje[Produkt],lipiec_saldo[[#This Row],[Produkt]],operacje[Miesiąc],$B$11)</f>
        <v>-30</v>
      </c>
      <c r="E7" s="17">
        <f ca="1">lipiec_saldo[[#This Row],[Saldo początkowe]]+lipiec_saldo[[#This Row],[Operacje]]</f>
        <v>195.51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390.5</v>
      </c>
      <c r="D8" s="17">
        <f>SUMIFS(operacje[Kwota],operacje[Bank],lipiec_saldo[[#This Row],[Bank]],operacje[Produkt],lipiec_saldo[[#This Row],[Produkt]],operacje[Miesiąc],$B$11)</f>
        <v>0</v>
      </c>
      <c r="E8" s="17">
        <f ca="1">lipiec_saldo[[#This Row],[Saldo początkowe]]+lipiec_saldo[[#This Row],[Operacje]]</f>
        <v>390.5</v>
      </c>
    </row>
    <row r="9" spans="1:5" x14ac:dyDescent="0.25">
      <c r="A9" t="s">
        <v>38</v>
      </c>
      <c r="C9" s="17">
        <f ca="1">SUBTOTAL(109,lipiec_saldo[Saldo początkowe])</f>
        <v>10192.950000000001</v>
      </c>
      <c r="D9" s="17">
        <f>SUBTOTAL(109,lipiec_saldo[Operacje])</f>
        <v>2915</v>
      </c>
      <c r="E9" s="17">
        <f ca="1">SUBTOTAL(109,lipiec_saldo[Saldo końcowe])</f>
        <v>13107.95</v>
      </c>
    </row>
    <row r="11" spans="1:5" x14ac:dyDescent="0.25">
      <c r="A11" t="s">
        <v>6</v>
      </c>
      <c r="B11">
        <v>7</v>
      </c>
      <c r="C11" t="str">
        <f>TEXT(DATE(2025,B11,1),"mmmm")</f>
        <v>lipiec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800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120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500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5920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-165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250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-700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-90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-300</v>
      </c>
    </row>
    <row r="32" spans="1:3" outlineLevel="1" x14ac:dyDescent="0.25">
      <c r="A32" s="19"/>
      <c r="B32" s="20" t="s">
        <v>41</v>
      </c>
      <c r="C32">
        <f>SUBTOTAL(9,C23:C31)</f>
        <v>-3005</v>
      </c>
    </row>
    <row r="33" spans="1:3" x14ac:dyDescent="0.25">
      <c r="A33" s="19"/>
      <c r="B33" s="20" t="s">
        <v>42</v>
      </c>
      <c r="C33">
        <f>SUBTOTAL(9,C14:C31)</f>
        <v>2915</v>
      </c>
    </row>
  </sheetData>
  <dataValidations count="2">
    <dataValidation type="list" allowBlank="1" showInputMessage="1" showErrorMessage="1" sqref="A2:A8" xr:uid="{14A42292-775B-4059-8D17-9B6BEF43F3CA}">
      <formula1>$E$1:$G$1</formula1>
    </dataValidation>
    <dataValidation type="list" allowBlank="1" showInputMessage="1" showErrorMessage="1" sqref="B2:B8" xr:uid="{301A51ED-9DC2-4E09-AFF4-CF215F2A0F0D}">
      <formula1>CHOOSE(MATCH(A2,$E$1:$G$1,0),$E$2:$E$4,$F$2:$F$3,$A$14:$A$16)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1EC6-8672-47D5-9492-8FE7E9524E10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-135</v>
      </c>
      <c r="D2" s="17">
        <f>SUMIFS(operacje[Kwota],operacje[Bank],sierpień_saldo[[#This Row],[Bank]],operacje[Produkt],sierpień_saldo[[#This Row],[Produkt]],operacje[Miesiąc],$B$11)</f>
        <v>33</v>
      </c>
      <c r="E2" s="17">
        <f ca="1">sierpień_saldo[[#This Row],[Saldo początkowe]]+sierpień_saldo[[#This Row],[Operacje]]</f>
        <v>-102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9882.44</v>
      </c>
      <c r="D3" s="17">
        <f>SUMIFS(operacje[Kwota],operacje[Bank],sierpień_saldo[[#This Row],[Bank]],operacje[Produkt],sierpień_saldo[[#This Row],[Produkt]],operacje[Miesiąc],$B$11)</f>
        <v>1475</v>
      </c>
      <c r="E3" s="17">
        <f ca="1">sierpień_saldo[[#This Row],[Saldo początkowe]]+sierpień_saldo[[#This Row],[Operacje]]</f>
        <v>11357.44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1020</v>
      </c>
      <c r="D4" s="17">
        <f>SUMIFS(operacje[Kwota],operacje[Bank],sierpień_saldo[[#This Row],[Bank]],operacje[Produkt],sierpień_saldo[[#This Row],[Produkt]],operacje[Miesiąc],$B$11)</f>
        <v>-1020</v>
      </c>
      <c r="E4" s="17">
        <f ca="1">sierpień_saldo[[#This Row],[Saldo początkowe]]+sierpień_saldo[[#This Row],[Operacje]]</f>
        <v>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368.5</v>
      </c>
      <c r="D5" s="17">
        <f>SUMIFS(operacje[Kwota],operacje[Bank],sierpień_saldo[[#This Row],[Bank]],operacje[Produkt],sierpień_saldo[[#This Row],[Produkt]],operacje[Miesiąc],$B$11)</f>
        <v>200</v>
      </c>
      <c r="E5" s="17">
        <f ca="1">sierpień_saldo[[#This Row],[Saldo początkowe]]+sierpień_saldo[[#This Row],[Operacje]]</f>
        <v>568.5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1386</v>
      </c>
      <c r="D6" s="17">
        <f>SUMIFS(operacje[Kwota],operacje[Bank],sierpień_saldo[[#This Row],[Bank]],operacje[Produkt],sierpień_saldo[[#This Row],[Produkt]],operacje[Miesiąc],$B$11)</f>
        <v>-300</v>
      </c>
      <c r="E6" s="17">
        <f ca="1">sierpień_saldo[[#This Row],[Saldo początkowe]]+sierpień_saldo[[#This Row],[Operacje]]</f>
        <v>1086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195.51</v>
      </c>
      <c r="D7" s="17">
        <f>SUMIFS(operacje[Kwota],operacje[Bank],sierpień_saldo[[#This Row],[Bank]],operacje[Produkt],sierpień_saldo[[#This Row],[Produkt]],operacje[Miesiąc],$B$11)</f>
        <v>0</v>
      </c>
      <c r="E7" s="17">
        <f ca="1">sierpień_saldo[[#This Row],[Saldo początkowe]]+sierpień_saldo[[#This Row],[Operacje]]</f>
        <v>195.51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390.5</v>
      </c>
      <c r="D8" s="17">
        <f>SUMIFS(operacje[Kwota],operacje[Bank],sierpień_saldo[[#This Row],[Bank]],operacje[Produkt],sierpień_saldo[[#This Row],[Produkt]],operacje[Miesiąc],$B$11)</f>
        <v>2.5</v>
      </c>
      <c r="E8" s="17">
        <f ca="1">sierpień_saldo[[#This Row],[Saldo początkowe]]+sierpień_saldo[[#This Row],[Operacje]]</f>
        <v>393</v>
      </c>
    </row>
    <row r="9" spans="1:5" x14ac:dyDescent="0.25">
      <c r="A9" t="s">
        <v>38</v>
      </c>
      <c r="C9" s="17">
        <f ca="1">SUBTOTAL(109,sierpień_saldo[Saldo początkowe])</f>
        <v>13107.95</v>
      </c>
      <c r="D9" s="17">
        <f>SUBTOTAL(109,sierpień_saldo[Operacje])</f>
        <v>390.5</v>
      </c>
      <c r="E9" s="17">
        <f ca="1">SUBTOTAL(109,sierpień_saldo[Saldo końcowe])</f>
        <v>13498.45</v>
      </c>
    </row>
    <row r="11" spans="1:5" x14ac:dyDescent="0.25">
      <c r="A11" t="s">
        <v>6</v>
      </c>
      <c r="B11">
        <v>8</v>
      </c>
      <c r="C11" t="str">
        <f>TEXT(DATE(2025,B11,1),"mmmm")</f>
        <v>sierpień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-1020</v>
      </c>
    </row>
    <row r="15" spans="1:5" outlineLevel="1" x14ac:dyDescent="0.25">
      <c r="A15" s="4"/>
      <c r="B15" s="18" t="s">
        <v>39</v>
      </c>
      <c r="C15">
        <f>SUBTOTAL(9,C14:C14)</f>
        <v>-1020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400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500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5400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-749.5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-300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-250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-290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-400</v>
      </c>
    </row>
    <row r="32" spans="1:3" outlineLevel="1" x14ac:dyDescent="0.25">
      <c r="A32" s="19"/>
      <c r="B32" s="20" t="s">
        <v>41</v>
      </c>
      <c r="C32">
        <f>SUBTOTAL(9,C23:C31)</f>
        <v>-3989.5</v>
      </c>
    </row>
    <row r="33" spans="1:3" x14ac:dyDescent="0.25">
      <c r="A33" s="19"/>
      <c r="B33" s="20" t="s">
        <v>42</v>
      </c>
      <c r="C33">
        <f>SUBTOTAL(9,C14:C31)</f>
        <v>390.5</v>
      </c>
    </row>
  </sheetData>
  <dataValidations count="2">
    <dataValidation type="list" allowBlank="1" showInputMessage="1" showErrorMessage="1" sqref="B2:B8" xr:uid="{8363A853-2434-4040-970F-5562133329A9}">
      <formula1>CHOOSE(MATCH(A2,$E$1:$G$1,0),$E$2:$E$4,$F$2:$F$3,$A$14:$A$16)</formula1>
    </dataValidation>
    <dataValidation type="list" allowBlank="1" showInputMessage="1" showErrorMessage="1" sqref="A2:A8" xr:uid="{AD58B3C4-8969-44B6-B61A-C9004C4784E3}">
      <formula1>$E$1:$G$1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98AD-B9FB-4875-9225-FEFCC6AA07A4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-102</v>
      </c>
      <c r="D2" s="17">
        <f>SUMIFS(operacje[Kwota],operacje[Bank],wrzesień_saldo[[#This Row],[Bank]],operacje[Produkt],wrzesień_saldo[[#This Row],[Produkt]],operacje[Miesiąc],$B$11)</f>
        <v>82</v>
      </c>
      <c r="E2" s="17">
        <f ca="1">wrzesień_saldo[[#This Row],[Saldo początkowe]]+wrzesień_saldo[[#This Row],[Operacje]]</f>
        <v>-20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11357.44</v>
      </c>
      <c r="D3" s="17">
        <f>SUMIFS(operacje[Kwota],operacje[Bank],wrzesień_saldo[[#This Row],[Bank]],operacje[Produkt],wrzesień_saldo[[#This Row],[Produkt]],operacje[Miesiąc],$B$11)</f>
        <v>1689.5</v>
      </c>
      <c r="E3" s="17">
        <f ca="1">wrzesień_saldo[[#This Row],[Saldo początkowe]]+wrzesień_saldo[[#This Row],[Operacje]]</f>
        <v>13046.94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0</v>
      </c>
      <c r="D4" s="17">
        <f>SUMIFS(operacje[Kwota],operacje[Bank],wrzesień_saldo[[#This Row],[Bank]],operacje[Produkt],wrzesień_saldo[[#This Row],[Produkt]],operacje[Miesiąc],$B$11)</f>
        <v>0</v>
      </c>
      <c r="E4" s="17">
        <f ca="1">wrzesień_saldo[[#This Row],[Saldo początkowe]]+wrzesień_saldo[[#This Row],[Operacje]]</f>
        <v>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568.5</v>
      </c>
      <c r="D5" s="17">
        <f>SUMIFS(operacje[Kwota],operacje[Bank],wrzesień_saldo[[#This Row],[Bank]],operacje[Produkt],wrzesień_saldo[[#This Row],[Produkt]],operacje[Miesiąc],$B$11)</f>
        <v>-20</v>
      </c>
      <c r="E5" s="17">
        <f ca="1">wrzesień_saldo[[#This Row],[Saldo początkowe]]+wrzesień_saldo[[#This Row],[Operacje]]</f>
        <v>548.5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1086</v>
      </c>
      <c r="D6" s="17">
        <f>SUMIFS(operacje[Kwota],operacje[Bank],wrzesień_saldo[[#This Row],[Bank]],operacje[Produkt],wrzesień_saldo[[#This Row],[Produkt]],operacje[Miesiąc],$B$11)</f>
        <v>0</v>
      </c>
      <c r="E6" s="17">
        <f ca="1">wrzesień_saldo[[#This Row],[Saldo początkowe]]+wrzesień_saldo[[#This Row],[Operacje]]</f>
        <v>1086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195.51</v>
      </c>
      <c r="D7" s="17">
        <f>SUMIFS(operacje[Kwota],operacje[Bank],wrzesień_saldo[[#This Row],[Bank]],operacje[Produkt],wrzesień_saldo[[#This Row],[Produkt]],operacje[Miesiąc],$B$11)</f>
        <v>0</v>
      </c>
      <c r="E7" s="17">
        <f ca="1">wrzesień_saldo[[#This Row],[Saldo początkowe]]+wrzesień_saldo[[#This Row],[Operacje]]</f>
        <v>195.51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393</v>
      </c>
      <c r="D8" s="17">
        <f>SUMIFS(operacje[Kwota],operacje[Bank],wrzesień_saldo[[#This Row],[Bank]],operacje[Produkt],wrzesień_saldo[[#This Row],[Produkt]],operacje[Miesiąc],$B$11)</f>
        <v>0</v>
      </c>
      <c r="E8" s="17">
        <f ca="1">wrzesień_saldo[[#This Row],[Saldo początkowe]]+wrzesień_saldo[[#This Row],[Operacje]]</f>
        <v>393</v>
      </c>
    </row>
    <row r="9" spans="1:5" x14ac:dyDescent="0.25">
      <c r="A9" t="s">
        <v>38</v>
      </c>
      <c r="C9" s="17">
        <f ca="1">SUBTOTAL(109,wrzesień_saldo[Saldo początkowe])</f>
        <v>13498.45</v>
      </c>
      <c r="D9" s="17">
        <f>SUBTOTAL(109,wrzesień_saldo[Operacje])</f>
        <v>1751.5</v>
      </c>
      <c r="E9" s="17">
        <f ca="1">SUBTOTAL(109,wrzesień_saldo[Saldo końcowe])</f>
        <v>15249.95</v>
      </c>
    </row>
    <row r="11" spans="1:5" x14ac:dyDescent="0.25">
      <c r="A11" t="s">
        <v>6</v>
      </c>
      <c r="B11">
        <v>9</v>
      </c>
      <c r="C11" t="str">
        <f>TEXT(DATE(2025,B11,1),"mmmm")</f>
        <v>wrzesień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-538.5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-20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-40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-150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0</v>
      </c>
    </row>
    <row r="32" spans="1:3" outlineLevel="1" x14ac:dyDescent="0.25">
      <c r="A32" s="19"/>
      <c r="B32" s="20" t="s">
        <v>41</v>
      </c>
      <c r="C32">
        <f>SUBTOTAL(9,C23:C31)</f>
        <v>-2748.5</v>
      </c>
    </row>
    <row r="33" spans="1:3" x14ac:dyDescent="0.25">
      <c r="A33" s="19"/>
      <c r="B33" s="20" t="s">
        <v>42</v>
      </c>
      <c r="C33">
        <f>SUBTOTAL(9,C14:C31)</f>
        <v>1751.5</v>
      </c>
    </row>
  </sheetData>
  <dataValidations count="2">
    <dataValidation type="list" allowBlank="1" showInputMessage="1" showErrorMessage="1" sqref="A2:A8" xr:uid="{CCE2566F-F5F5-4B98-BDFE-50781001B1AD}">
      <formula1>$E$1:$G$1</formula1>
    </dataValidation>
    <dataValidation type="list" allowBlank="1" showInputMessage="1" showErrorMessage="1" sqref="B2:B8" xr:uid="{190807DA-5906-4632-963B-F6550FC43692}">
      <formula1>CHOOSE(MATCH(A2,$E$1:$G$1,0),$E$2:$E$4,$F$2:$F$3,$A$14:$A$16)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8C83-FB46-443A-8F3A-6ADB315D4A61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-20</v>
      </c>
      <c r="D2" s="17">
        <f>SUMIFS(operacje[Kwota],operacje[Bank],październik_saldo[[#This Row],[Bank]],operacje[Produkt],październik_saldo[[#This Row],[Produkt]],operacje[Miesiąc],$B$11)</f>
        <v>-20</v>
      </c>
      <c r="E2" s="17">
        <f ca="1">październik_saldo[[#This Row],[Saldo początkowe]]+październik_saldo[[#This Row],[Operacje]]</f>
        <v>-40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13046.94</v>
      </c>
      <c r="D3" s="17">
        <f>SUMIFS(operacje[Kwota],operacje[Bank],październik_saldo[[#This Row],[Bank]],operacje[Produkt],październik_saldo[[#This Row],[Produkt]],operacje[Miesiąc],$B$11)</f>
        <v>1690</v>
      </c>
      <c r="E3" s="17">
        <f ca="1">październik_saldo[[#This Row],[Saldo początkowe]]+październik_saldo[[#This Row],[Operacje]]</f>
        <v>14736.94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0</v>
      </c>
      <c r="D4" s="17">
        <f>SUMIFS(operacje[Kwota],operacje[Bank],październik_saldo[[#This Row],[Bank]],operacje[Produkt],październik_saldo[[#This Row],[Produkt]],operacje[Miesiąc],$B$11)</f>
        <v>0</v>
      </c>
      <c r="E4" s="17">
        <f ca="1">październik_saldo[[#This Row],[Saldo początkowe]]+październik_saldo[[#This Row],[Operacje]]</f>
        <v>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548.5</v>
      </c>
      <c r="D5" s="17">
        <f>SUMIFS(operacje[Kwota],operacje[Bank],październik_saldo[[#This Row],[Bank]],operacje[Produkt],październik_saldo[[#This Row],[Produkt]],operacje[Miesiąc],$B$11)</f>
        <v>0</v>
      </c>
      <c r="E5" s="17">
        <f ca="1">październik_saldo[[#This Row],[Saldo początkowe]]+październik_saldo[[#This Row],[Operacje]]</f>
        <v>548.5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1086</v>
      </c>
      <c r="D6" s="17">
        <f>SUMIFS(operacje[Kwota],operacje[Bank],październik_saldo[[#This Row],[Bank]],operacje[Produkt],październik_saldo[[#This Row],[Produkt]],operacje[Miesiąc],$B$11)</f>
        <v>0</v>
      </c>
      <c r="E6" s="17">
        <f ca="1">październik_saldo[[#This Row],[Saldo początkowe]]+październik_saldo[[#This Row],[Operacje]]</f>
        <v>1086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195.51</v>
      </c>
      <c r="D7" s="17">
        <f>SUMIFS(operacje[Kwota],operacje[Bank],październik_saldo[[#This Row],[Bank]],operacje[Produkt],październik_saldo[[#This Row],[Produkt]],operacje[Miesiąc],$B$11)</f>
        <v>0</v>
      </c>
      <c r="E7" s="17">
        <f ca="1">październik_saldo[[#This Row],[Saldo początkowe]]+październik_saldo[[#This Row],[Operacje]]</f>
        <v>195.51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393</v>
      </c>
      <c r="D8" s="17">
        <f>SUMIFS(operacje[Kwota],operacje[Bank],październik_saldo[[#This Row],[Bank]],operacje[Produkt],październik_saldo[[#This Row],[Produkt]],operacje[Miesiąc],$B$11)</f>
        <v>0</v>
      </c>
      <c r="E8" s="17">
        <f ca="1">październik_saldo[[#This Row],[Saldo początkowe]]+październik_saldo[[#This Row],[Operacje]]</f>
        <v>393</v>
      </c>
    </row>
    <row r="9" spans="1:5" x14ac:dyDescent="0.25">
      <c r="A9" t="s">
        <v>38</v>
      </c>
      <c r="C9" s="17">
        <f ca="1">SUBTOTAL(109,październik_saldo[Saldo początkowe])</f>
        <v>15249.95</v>
      </c>
      <c r="D9" s="17">
        <f>SUBTOTAL(109,październik_saldo[Operacje])</f>
        <v>1670</v>
      </c>
      <c r="E9" s="17">
        <f ca="1">SUBTOTAL(109,październik_saldo[Saldo końcowe])</f>
        <v>16919.95</v>
      </c>
    </row>
    <row r="11" spans="1:5" x14ac:dyDescent="0.25">
      <c r="A11" t="s">
        <v>6</v>
      </c>
      <c r="B11">
        <v>10</v>
      </c>
      <c r="C11" t="str">
        <f>TEXT(DATE(2025,B11,1),"mmmm")</f>
        <v>październik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4500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-600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-40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-40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-150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0</v>
      </c>
    </row>
    <row r="32" spans="1:3" outlineLevel="1" x14ac:dyDescent="0.25">
      <c r="A32" s="19"/>
      <c r="B32" s="20" t="s">
        <v>41</v>
      </c>
      <c r="C32">
        <f>SUBTOTAL(9,C23:C31)</f>
        <v>-2830</v>
      </c>
    </row>
    <row r="33" spans="1:3" x14ac:dyDescent="0.25">
      <c r="A33" s="19"/>
      <c r="B33" s="20" t="s">
        <v>42</v>
      </c>
      <c r="C33">
        <f>SUBTOTAL(9,C14:C31)</f>
        <v>1670</v>
      </c>
    </row>
  </sheetData>
  <dataValidations count="2">
    <dataValidation type="list" allowBlank="1" showInputMessage="1" showErrorMessage="1" sqref="B2:B8" xr:uid="{542AE8E4-2944-443B-A8B2-C0B1D6990BB6}">
      <formula1>CHOOSE(MATCH(A2,$E$1:$G$1,0),$E$2:$E$4,$F$2:$F$3,$A$14:$A$16)</formula1>
    </dataValidation>
    <dataValidation type="list" allowBlank="1" showInputMessage="1" showErrorMessage="1" sqref="A2:A8" xr:uid="{0B1320D8-A952-4F62-BC0C-103560518CD7}">
      <formula1>$E$1:$G$1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DA74-66B2-462F-A094-041C53AEA9CC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-40</v>
      </c>
      <c r="D2" s="17">
        <f>SUMIFS(operacje[Kwota],operacje[Bank],listopad_saldo[[#This Row],[Bank]],operacje[Produkt],listopad_saldo[[#This Row],[Produkt]],operacje[Miesiąc],$B$11)</f>
        <v>40</v>
      </c>
      <c r="E2" s="17">
        <f ca="1">listopad_saldo[[#This Row],[Saldo początkowe]]+listopad_saldo[[#This Row],[Operacje]]</f>
        <v>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14736.94</v>
      </c>
      <c r="D3" s="17">
        <f>SUMIFS(operacje[Kwota],operacje[Bank],listopad_saldo[[#This Row],[Bank]],operacje[Produkt],listopad_saldo[[#This Row],[Produkt]],operacje[Miesiąc],$B$11)</f>
        <v>960</v>
      </c>
      <c r="E3" s="17">
        <f ca="1">listopad_saldo[[#This Row],[Saldo początkowe]]+listopad_saldo[[#This Row],[Operacje]]</f>
        <v>15696.94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0</v>
      </c>
      <c r="D4" s="17">
        <f>SUMIFS(operacje[Kwota],operacje[Bank],listopad_saldo[[#This Row],[Bank]],operacje[Produkt],listopad_saldo[[#This Row],[Produkt]],operacje[Miesiąc],$B$11)</f>
        <v>0</v>
      </c>
      <c r="E4" s="17">
        <f ca="1">listopad_saldo[[#This Row],[Saldo początkowe]]+listopad_saldo[[#This Row],[Operacje]]</f>
        <v>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548.5</v>
      </c>
      <c r="D5" s="17">
        <f>SUMIFS(operacje[Kwota],operacje[Bank],listopad_saldo[[#This Row],[Bank]],operacje[Produkt],listopad_saldo[[#This Row],[Produkt]],operacje[Miesiąc],$B$11)</f>
        <v>0</v>
      </c>
      <c r="E5" s="17">
        <f ca="1">listopad_saldo[[#This Row],[Saldo początkowe]]+listopad_saldo[[#This Row],[Operacje]]</f>
        <v>548.5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1086</v>
      </c>
      <c r="D6" s="17">
        <f>SUMIFS(operacje[Kwota],operacje[Bank],listopad_saldo[[#This Row],[Bank]],operacje[Produkt],listopad_saldo[[#This Row],[Produkt]],operacje[Miesiąc],$B$11)</f>
        <v>0</v>
      </c>
      <c r="E6" s="17">
        <f ca="1">listopad_saldo[[#This Row],[Saldo początkowe]]+listopad_saldo[[#This Row],[Operacje]]</f>
        <v>1086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195.51</v>
      </c>
      <c r="D7" s="17">
        <f>SUMIFS(operacje[Kwota],operacje[Bank],listopad_saldo[[#This Row],[Bank]],operacje[Produkt],listopad_saldo[[#This Row],[Produkt]],operacje[Miesiąc],$B$11)</f>
        <v>0</v>
      </c>
      <c r="E7" s="17">
        <f ca="1">listopad_saldo[[#This Row],[Saldo początkowe]]+listopad_saldo[[#This Row],[Operacje]]</f>
        <v>195.51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393</v>
      </c>
      <c r="D8" s="17">
        <f>SUMIFS(operacje[Kwota],operacje[Bank],listopad_saldo[[#This Row],[Bank]],operacje[Produkt],listopad_saldo[[#This Row],[Produkt]],operacje[Miesiąc],$B$11)</f>
        <v>400</v>
      </c>
      <c r="E8" s="17">
        <f ca="1">listopad_saldo[[#This Row],[Saldo początkowe]]+listopad_saldo[[#This Row],[Operacje]]</f>
        <v>793</v>
      </c>
    </row>
    <row r="9" spans="1:5" x14ac:dyDescent="0.25">
      <c r="A9" t="s">
        <v>38</v>
      </c>
      <c r="C9" s="17">
        <f ca="1">SUBTOTAL(109,listopad_saldo[Saldo początkowe])</f>
        <v>16919.95</v>
      </c>
      <c r="D9" s="17">
        <f>SUBTOTAL(109,listopad_saldo[Operacje])</f>
        <v>1400</v>
      </c>
      <c r="E9" s="17">
        <f ca="1">SUBTOTAL(109,listopad_saldo[Saldo końcowe])</f>
        <v>18319.95</v>
      </c>
    </row>
    <row r="11" spans="1:5" x14ac:dyDescent="0.25">
      <c r="A11" t="s">
        <v>6</v>
      </c>
      <c r="B11">
        <v>11</v>
      </c>
      <c r="C11" t="str">
        <f>TEXT(DATE(2025,B11,1),"mmmm")</f>
        <v>listopad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400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4900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-506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-158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-234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-214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-47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-208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-133</v>
      </c>
    </row>
    <row r="32" spans="1:3" outlineLevel="1" x14ac:dyDescent="0.25">
      <c r="A32" s="19"/>
      <c r="B32" s="20" t="s">
        <v>41</v>
      </c>
      <c r="C32">
        <f>SUBTOTAL(9,C23:C31)</f>
        <v>-3500</v>
      </c>
    </row>
    <row r="33" spans="1:3" x14ac:dyDescent="0.25">
      <c r="A33" s="19"/>
      <c r="B33" s="20" t="s">
        <v>42</v>
      </c>
      <c r="C33">
        <f>SUBTOTAL(9,C14:C31)</f>
        <v>1400</v>
      </c>
    </row>
  </sheetData>
  <dataValidations count="2">
    <dataValidation type="list" allowBlank="1" showInputMessage="1" showErrorMessage="1" sqref="A2:A8" xr:uid="{F581F6F6-D500-4AD2-B3F2-661775AB700A}">
      <formula1>$E$1:$G$1</formula1>
    </dataValidation>
    <dataValidation type="list" allowBlank="1" showInputMessage="1" showErrorMessage="1" sqref="B2:B8" xr:uid="{C5DCC005-FC85-4E29-A639-A58DA33A1C3D}">
      <formula1>CHOOSE(MATCH(A2,$E$1:$G$1,0),$E$2:$E$4,$F$2:$F$3,$A$14:$A$16)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0480-5407-432C-BBEE-98F811A45FE0}">
  <dimension ref="A1:E33"/>
  <sheetViews>
    <sheetView workbookViewId="0">
      <selection activeCell="B12" sqref="B12"/>
    </sheetView>
  </sheetViews>
  <sheetFormatPr defaultRowHeight="15" outlineLevelRow="2" x14ac:dyDescent="0.25"/>
  <cols>
    <col min="1" max="1" width="17.7109375" customWidth="1"/>
    <col min="2" max="2" width="21.7109375" customWidth="1"/>
    <col min="3" max="3" width="19" customWidth="1"/>
    <col min="4" max="4" width="11.140625" customWidth="1"/>
    <col min="5" max="5" width="16.42578125" customWidth="1"/>
    <col min="7" max="7" width="17.28515625" bestFit="1" customWidth="1"/>
  </cols>
  <sheetData>
    <row r="1" spans="1:5" x14ac:dyDescent="0.25">
      <c r="A1" t="s">
        <v>1</v>
      </c>
      <c r="B1" t="s">
        <v>2</v>
      </c>
      <c r="C1" t="s">
        <v>35</v>
      </c>
      <c r="D1" t="s">
        <v>36</v>
      </c>
      <c r="E1" t="s">
        <v>37</v>
      </c>
    </row>
    <row r="2" spans="1:5" x14ac:dyDescent="0.25">
      <c r="A2" s="11" t="s">
        <v>7</v>
      </c>
      <c r="B2" s="12" t="s">
        <v>15</v>
      </c>
      <c r="C2" s="17" cm="1">
        <f t="array" aca="1" ref="C2" ca="1">INDIRECT(TEXT(DATE(2025,$B$11-1,1),"mmmm")&amp;"_saldo[@[Saldo końcowe]]")</f>
        <v>0</v>
      </c>
      <c r="D2" s="17">
        <f>SUMIFS(operacje[Kwota],operacje[Bank],grudzień_saldo[[#This Row],[Bank]],operacje[Produkt],grudzień_saldo[[#This Row],[Produkt]],operacje[Miesiąc],$B$11)</f>
        <v>0</v>
      </c>
      <c r="E2" s="17">
        <f ca="1">grudzień_saldo[[#This Row],[Saldo początkowe]]+grudzień_saldo[[#This Row],[Operacje]]</f>
        <v>0</v>
      </c>
    </row>
    <row r="3" spans="1:5" x14ac:dyDescent="0.25">
      <c r="A3" s="11" t="s">
        <v>7</v>
      </c>
      <c r="B3" s="12" t="s">
        <v>8</v>
      </c>
      <c r="C3" s="17" cm="1">
        <f t="array" aca="1" ref="C3" ca="1">INDIRECT(TEXT(DATE(2025,$B$11-1,1),"mmmm")&amp;"_saldo[@[Saldo końcowe]]")</f>
        <v>15696.94</v>
      </c>
      <c r="D3" s="17">
        <f>SUMIFS(operacje[Kwota],operacje[Bank],grudzień_saldo[[#This Row],[Bank]],operacje[Produkt],grudzień_saldo[[#This Row],[Produkt]],operacje[Miesiąc],$B$11)</f>
        <v>1320</v>
      </c>
      <c r="E3" s="17">
        <f ca="1">grudzień_saldo[[#This Row],[Saldo początkowe]]+grudzień_saldo[[#This Row],[Operacje]]</f>
        <v>17016.940000000002</v>
      </c>
    </row>
    <row r="4" spans="1:5" x14ac:dyDescent="0.25">
      <c r="A4" s="13" t="s">
        <v>7</v>
      </c>
      <c r="B4" s="14" t="s">
        <v>18</v>
      </c>
      <c r="C4" s="17" cm="1">
        <f t="array" aca="1" ref="C4" ca="1">INDIRECT(TEXT(DATE(2025,$B$11-1,1),"mmmm")&amp;"_saldo[@[Saldo końcowe]]")</f>
        <v>0</v>
      </c>
      <c r="D4" s="17">
        <f>SUMIFS(operacje[Kwota],operacje[Bank],grudzień_saldo[[#This Row],[Bank]],operacje[Produkt],grudzień_saldo[[#This Row],[Produkt]],operacje[Miesiąc],$B$11)</f>
        <v>0</v>
      </c>
      <c r="E4" s="17">
        <f ca="1">grudzień_saldo[[#This Row],[Saldo początkowe]]+grudzień_saldo[[#This Row],[Operacje]]</f>
        <v>0</v>
      </c>
    </row>
    <row r="5" spans="1:5" x14ac:dyDescent="0.25">
      <c r="A5" s="15" t="s">
        <v>14</v>
      </c>
      <c r="B5" s="16" t="s">
        <v>8</v>
      </c>
      <c r="C5" s="17" cm="1">
        <f t="array" aca="1" ref="C5" ca="1">INDIRECT(TEXT(DATE(2025,$B$11-1,1),"mmmm")&amp;"_saldo[@[Saldo końcowe]]")</f>
        <v>548.5</v>
      </c>
      <c r="D5" s="17">
        <f>SUMIFS(operacje[Kwota],operacje[Bank],grudzień_saldo[[#This Row],[Bank]],operacje[Produkt],grudzień_saldo[[#This Row],[Produkt]],operacje[Miesiąc],$B$11)</f>
        <v>0</v>
      </c>
      <c r="E5" s="17">
        <f ca="1">grudzień_saldo[[#This Row],[Saldo początkowe]]+grudzień_saldo[[#This Row],[Operacje]]</f>
        <v>548.5</v>
      </c>
    </row>
    <row r="6" spans="1:5" x14ac:dyDescent="0.25">
      <c r="A6" s="11" t="s">
        <v>14</v>
      </c>
      <c r="B6" s="12" t="s">
        <v>20</v>
      </c>
      <c r="C6" s="17" cm="1">
        <f t="array" aca="1" ref="C6" ca="1">INDIRECT(TEXT(DATE(2025,$B$11-1,1),"mmmm")&amp;"_saldo[@[Saldo końcowe]]")</f>
        <v>1086</v>
      </c>
      <c r="D6" s="17">
        <f>SUMIFS(operacje[Kwota],operacje[Bank],grudzień_saldo[[#This Row],[Bank]],operacje[Produkt],grudzień_saldo[[#This Row],[Produkt]],operacje[Miesiąc],$B$11)</f>
        <v>0</v>
      </c>
      <c r="E6" s="17">
        <f ca="1">grudzień_saldo[[#This Row],[Saldo początkowe]]+grudzień_saldo[[#This Row],[Operacje]]</f>
        <v>1086</v>
      </c>
    </row>
    <row r="7" spans="1:5" x14ac:dyDescent="0.25">
      <c r="A7" s="15" t="s">
        <v>26</v>
      </c>
      <c r="B7" s="16" t="s">
        <v>27</v>
      </c>
      <c r="C7" s="17" cm="1">
        <f t="array" aca="1" ref="C7" ca="1">INDIRECT(TEXT(DATE(2025,$B$11-1,1),"mmmm")&amp;"_saldo[@[Saldo końcowe]]")</f>
        <v>195.51</v>
      </c>
      <c r="D7" s="17">
        <f>SUMIFS(operacje[Kwota],operacje[Bank],grudzień_saldo[[#This Row],[Bank]],operacje[Produkt],grudzień_saldo[[#This Row],[Produkt]],operacje[Miesiąc],$B$11)</f>
        <v>0</v>
      </c>
      <c r="E7" s="17">
        <f ca="1">grudzień_saldo[[#This Row],[Saldo początkowe]]+grudzień_saldo[[#This Row],[Operacje]]</f>
        <v>195.51</v>
      </c>
    </row>
    <row r="8" spans="1:5" x14ac:dyDescent="0.25">
      <c r="A8" s="11" t="s">
        <v>26</v>
      </c>
      <c r="B8" s="12" t="s">
        <v>28</v>
      </c>
      <c r="C8" s="17" cm="1">
        <f t="array" aca="1" ref="C8" ca="1">INDIRECT(TEXT(DATE(2025,$B$11-1,1),"mmmm")&amp;"_saldo[@[Saldo końcowe]]")</f>
        <v>793</v>
      </c>
      <c r="D8" s="17">
        <f>SUMIFS(operacje[Kwota],operacje[Bank],grudzień_saldo[[#This Row],[Bank]],operacje[Produkt],grudzień_saldo[[#This Row],[Produkt]],operacje[Miesiąc],$B$11)</f>
        <v>1100</v>
      </c>
      <c r="E8" s="17">
        <f ca="1">grudzień_saldo[[#This Row],[Saldo początkowe]]+grudzień_saldo[[#This Row],[Operacje]]</f>
        <v>1893</v>
      </c>
    </row>
    <row r="9" spans="1:5" x14ac:dyDescent="0.25">
      <c r="A9" t="s">
        <v>38</v>
      </c>
      <c r="C9" s="17">
        <f ca="1">SUBTOTAL(109,grudzień_saldo[Saldo początkowe])</f>
        <v>18319.95</v>
      </c>
      <c r="D9" s="17">
        <f>SUBTOTAL(109,grudzień_saldo[Operacje])</f>
        <v>2420</v>
      </c>
      <c r="E9" s="17">
        <f ca="1">SUBTOTAL(109,grudzień_saldo[Saldo końcowe])</f>
        <v>20739.95</v>
      </c>
    </row>
    <row r="11" spans="1:5" x14ac:dyDescent="0.25">
      <c r="A11" t="s">
        <v>6</v>
      </c>
      <c r="B11">
        <v>12</v>
      </c>
      <c r="C11" t="str">
        <f>TEXT(DATE(2025,B11,1),"mmmm")</f>
        <v>grudzień</v>
      </c>
    </row>
    <row r="13" spans="1:5" x14ac:dyDescent="0.25">
      <c r="A13" t="s">
        <v>3</v>
      </c>
      <c r="B13" t="s">
        <v>4</v>
      </c>
      <c r="C13" t="s">
        <v>38</v>
      </c>
    </row>
    <row r="14" spans="1:5" outlineLevel="2" x14ac:dyDescent="0.25">
      <c r="A14" s="4" t="s">
        <v>31</v>
      </c>
      <c r="B14" s="4" t="s">
        <v>34</v>
      </c>
      <c r="C14">
        <f>SUMIFS(operacje[Kwota],operacje[Kategoria],$A14,operacje[Miesiąc],$B$11)</f>
        <v>0</v>
      </c>
    </row>
    <row r="15" spans="1:5" outlineLevel="1" x14ac:dyDescent="0.25">
      <c r="A15" s="4"/>
      <c r="B15" s="18" t="s">
        <v>39</v>
      </c>
      <c r="C15">
        <f>SUBTOTAL(9,C14:C14)</f>
        <v>0</v>
      </c>
    </row>
    <row r="16" spans="1:5" outlineLevel="2" x14ac:dyDescent="0.25">
      <c r="A16" s="5" t="s">
        <v>32</v>
      </c>
      <c r="B16" s="5" t="s">
        <v>12</v>
      </c>
      <c r="C16">
        <f>SUMIFS(operacje[Kwota],operacje[Kategoria],$A16,operacje[Miesiąc],$B$11)</f>
        <v>2000</v>
      </c>
    </row>
    <row r="17" spans="1:3" outlineLevel="2" x14ac:dyDescent="0.25">
      <c r="A17" s="4" t="s">
        <v>29</v>
      </c>
      <c r="B17" s="4" t="s">
        <v>12</v>
      </c>
      <c r="C17">
        <f>SUMIFS(operacje[Kwota],operacje[Kategoria],$A17,operacje[Miesiąc],$B$11)</f>
        <v>0</v>
      </c>
    </row>
    <row r="18" spans="1:3" outlineLevel="2" x14ac:dyDescent="0.25">
      <c r="A18" s="5" t="s">
        <v>21</v>
      </c>
      <c r="B18" s="5" t="s">
        <v>12</v>
      </c>
      <c r="C18">
        <f>SUMIFS(operacje[Kwota],operacje[Kategoria],$A18,operacje[Miesiąc],$B$11)</f>
        <v>0</v>
      </c>
    </row>
    <row r="19" spans="1:3" outlineLevel="2" x14ac:dyDescent="0.25">
      <c r="A19" s="4" t="s">
        <v>17</v>
      </c>
      <c r="B19" s="4" t="s">
        <v>12</v>
      </c>
      <c r="C19">
        <f>SUMIFS(operacje[Kwota],operacje[Kategoria],$A19,operacje[Miesiąc],$B$11)</f>
        <v>0</v>
      </c>
    </row>
    <row r="20" spans="1:3" outlineLevel="2" x14ac:dyDescent="0.25">
      <c r="A20" s="5" t="s">
        <v>33</v>
      </c>
      <c r="B20" s="5" t="s">
        <v>12</v>
      </c>
      <c r="C20">
        <f>SUMIFS(operacje[Kwota],operacje[Kategoria],$A20,operacje[Miesiąc],$B$11)</f>
        <v>0</v>
      </c>
    </row>
    <row r="21" spans="1:3" outlineLevel="2" x14ac:dyDescent="0.25">
      <c r="A21" s="4" t="s">
        <v>11</v>
      </c>
      <c r="B21" s="4" t="s">
        <v>12</v>
      </c>
      <c r="C21">
        <f>SUMIFS(operacje[Kwota],operacje[Kategoria],$A21,operacje[Miesiąc],$B$11)</f>
        <v>4500</v>
      </c>
    </row>
    <row r="22" spans="1:3" outlineLevel="1" x14ac:dyDescent="0.25">
      <c r="A22" s="4"/>
      <c r="B22" s="18" t="s">
        <v>40</v>
      </c>
      <c r="C22">
        <f>SUBTOTAL(9,C16:C21)</f>
        <v>6500</v>
      </c>
    </row>
    <row r="23" spans="1:3" outlineLevel="2" x14ac:dyDescent="0.25">
      <c r="A23" s="5" t="s">
        <v>9</v>
      </c>
      <c r="B23" s="5" t="s">
        <v>10</v>
      </c>
      <c r="C23">
        <f>SUMIFS(operacje[Kwota],operacje[Kategoria],$A23,operacje[Miesiąc],$B$11)</f>
        <v>-700</v>
      </c>
    </row>
    <row r="24" spans="1:3" outlineLevel="2" x14ac:dyDescent="0.25">
      <c r="A24" s="4" t="s">
        <v>13</v>
      </c>
      <c r="B24" s="4" t="s">
        <v>10</v>
      </c>
      <c r="C24">
        <f>SUMIFS(operacje[Kwota],operacje[Kategoria],$A24,operacje[Miesiąc],$B$11)</f>
        <v>-2000</v>
      </c>
    </row>
    <row r="25" spans="1:3" outlineLevel="2" x14ac:dyDescent="0.25">
      <c r="A25" s="5" t="s">
        <v>24</v>
      </c>
      <c r="B25" s="5" t="s">
        <v>10</v>
      </c>
      <c r="C25">
        <f>SUMIFS(operacje[Kwota],operacje[Kategoria],$A25,operacje[Miesiąc],$B$11)</f>
        <v>-120</v>
      </c>
    </row>
    <row r="26" spans="1:3" outlineLevel="2" x14ac:dyDescent="0.25">
      <c r="A26" s="4" t="s">
        <v>19</v>
      </c>
      <c r="B26" s="4" t="s">
        <v>10</v>
      </c>
      <c r="C26">
        <f>SUMIFS(operacje[Kwota],operacje[Kategoria],$A26,operacje[Miesiąc],$B$11)</f>
        <v>-700</v>
      </c>
    </row>
    <row r="27" spans="1:3" outlineLevel="2" x14ac:dyDescent="0.25">
      <c r="A27" s="5" t="s">
        <v>22</v>
      </c>
      <c r="B27" s="5" t="s">
        <v>10</v>
      </c>
      <c r="C27">
        <f>SUMIFS(operacje[Kwota],operacje[Kategoria],$A27,operacje[Miesiąc],$B$11)</f>
        <v>-450</v>
      </c>
    </row>
    <row r="28" spans="1:3" outlineLevel="2" x14ac:dyDescent="0.25">
      <c r="A28" s="4" t="s">
        <v>25</v>
      </c>
      <c r="B28" s="4" t="s">
        <v>10</v>
      </c>
      <c r="C28">
        <f>SUMIFS(operacje[Kwota],operacje[Kategoria],$A28,operacje[Miesiąc],$B$11)</f>
        <v>-100</v>
      </c>
    </row>
    <row r="29" spans="1:3" outlineLevel="2" x14ac:dyDescent="0.25">
      <c r="A29" s="5" t="s">
        <v>16</v>
      </c>
      <c r="B29" s="5" t="s">
        <v>10</v>
      </c>
      <c r="C29">
        <f>SUMIFS(operacje[Kwota],operacje[Kategoria],$A29,operacje[Miesiąc],$B$11)</f>
        <v>0</v>
      </c>
    </row>
    <row r="30" spans="1:3" outlineLevel="2" x14ac:dyDescent="0.25">
      <c r="A30" s="4" t="s">
        <v>23</v>
      </c>
      <c r="B30" s="4" t="s">
        <v>10</v>
      </c>
      <c r="C30">
        <f>SUMIFS(operacje[Kwota],operacje[Kategoria],$A30,operacje[Miesiąc],$B$11)</f>
        <v>0</v>
      </c>
    </row>
    <row r="31" spans="1:3" ht="15.75" outlineLevel="2" thickBot="1" x14ac:dyDescent="0.3">
      <c r="A31" s="6" t="s">
        <v>30</v>
      </c>
      <c r="B31" s="6" t="s">
        <v>10</v>
      </c>
      <c r="C31">
        <f>SUMIFS(operacje[Kwota],operacje[Kategoria],$A31,operacje[Miesiąc],$B$11)</f>
        <v>-10</v>
      </c>
    </row>
    <row r="32" spans="1:3" outlineLevel="1" x14ac:dyDescent="0.25">
      <c r="A32" s="19"/>
      <c r="B32" s="20" t="s">
        <v>41</v>
      </c>
      <c r="C32">
        <f>SUBTOTAL(9,C23:C31)</f>
        <v>-4080</v>
      </c>
    </row>
    <row r="33" spans="1:3" x14ac:dyDescent="0.25">
      <c r="A33" s="19"/>
      <c r="B33" s="20" t="s">
        <v>42</v>
      </c>
      <c r="C33">
        <f>SUBTOTAL(9,C14:C31)</f>
        <v>2420</v>
      </c>
    </row>
  </sheetData>
  <dataValidations count="2">
    <dataValidation type="list" allowBlank="1" showInputMessage="1" showErrorMessage="1" sqref="B2:B8" xr:uid="{2C677911-86DC-41C3-BFA9-7956A057C5EA}">
      <formula1>CHOOSE(MATCH(A2,$E$1:$G$1,0),$E$2:$E$4,$F$2:$F$3,$A$14:$A$16)</formula1>
    </dataValidation>
    <dataValidation type="list" allowBlank="1" showInputMessage="1" showErrorMessage="1" sqref="A2:A8" xr:uid="{563C89C4-4615-4DEB-8D20-5846BA33C9BD}">
      <formula1>$E$1:$G$1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operacje</vt:lpstr>
      <vt:lpstr>kategorie</vt:lpstr>
      <vt:lpstr>bilans</vt:lpstr>
      <vt:lpstr>styczeń</vt:lpstr>
      <vt:lpstr>luty</vt:lpstr>
      <vt:lpstr>marzec</vt:lpstr>
      <vt:lpstr>kwiecień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2024-12-14T15:11:08Z</dcterms:created>
  <dcterms:modified xsi:type="dcterms:W3CDTF">2025-01-11T16:55:28Z</dcterms:modified>
</cp:coreProperties>
</file>