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-A121-27.CAMPUS.018\Desktop\"/>
    </mc:Choice>
  </mc:AlternateContent>
  <xr:revisionPtr revIDLastSave="0" documentId="13_ncr:1_{BCBDFC7B-324F-426D-8A35-D980EC525418}" xr6:coauthVersionLast="47" xr6:coauthVersionMax="47" xr10:uidLastSave="{00000000-0000-0000-0000-000000000000}"/>
  <bookViews>
    <workbookView xWindow="-120" yWindow="-120" windowWidth="29040" windowHeight="15840" firstSheet="1" activeTab="13" xr2:uid="{19EE711A-3283-4873-9107-9C9869A047C7}"/>
  </bookViews>
  <sheets>
    <sheet name="operacje" sheetId="1" r:id="rId1"/>
    <sheet name="kategorie" sheetId="2" r:id="rId2"/>
    <sheet name="styczeń" sheetId="3" r:id="rId3"/>
    <sheet name="luty" sheetId="4" r:id="rId4"/>
    <sheet name="marzec" sheetId="5" r:id="rId5"/>
    <sheet name="kwiecień" sheetId="6" r:id="rId6"/>
    <sheet name="maj" sheetId="7" r:id="rId7"/>
    <sheet name="czerwiec" sheetId="8" r:id="rId8"/>
    <sheet name="lipiec" sheetId="9" r:id="rId9"/>
    <sheet name="sierpień" sheetId="10" r:id="rId10"/>
    <sheet name="wrzesień" sheetId="11" r:id="rId11"/>
    <sheet name="październik" sheetId="12" r:id="rId12"/>
    <sheet name="listopad" sheetId="13" r:id="rId13"/>
    <sheet name="grudzień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1" i="14" l="1"/>
  <c r="C30" i="14"/>
  <c r="C29" i="14"/>
  <c r="C28" i="14"/>
  <c r="C27" i="14"/>
  <c r="C26" i="14"/>
  <c r="C25" i="14"/>
  <c r="C24" i="14"/>
  <c r="C23" i="14"/>
  <c r="C21" i="14"/>
  <c r="C20" i="14"/>
  <c r="C19" i="14"/>
  <c r="C18" i="14"/>
  <c r="C17" i="14"/>
  <c r="C16" i="14"/>
  <c r="C14" i="14"/>
  <c r="C11" i="14"/>
  <c r="D8" i="14"/>
  <c r="D7" i="14"/>
  <c r="D6" i="14"/>
  <c r="D5" i="14"/>
  <c r="D4" i="14"/>
  <c r="D3" i="14"/>
  <c r="D2" i="14"/>
  <c r="D9" i="14" s="1"/>
  <c r="C31" i="13"/>
  <c r="C30" i="13"/>
  <c r="C29" i="13"/>
  <c r="C28" i="13"/>
  <c r="C27" i="13"/>
  <c r="C26" i="13"/>
  <c r="C25" i="13"/>
  <c r="C24" i="13"/>
  <c r="C23" i="13"/>
  <c r="C21" i="13"/>
  <c r="C20" i="13"/>
  <c r="C19" i="13"/>
  <c r="C18" i="13"/>
  <c r="C17" i="13"/>
  <c r="C16" i="13"/>
  <c r="C14" i="13"/>
  <c r="C11" i="13"/>
  <c r="D8" i="13"/>
  <c r="D7" i="13"/>
  <c r="D6" i="13"/>
  <c r="D5" i="13"/>
  <c r="D4" i="13"/>
  <c r="D3" i="13"/>
  <c r="D2" i="13"/>
  <c r="D9" i="13" s="1"/>
  <c r="C31" i="12"/>
  <c r="C30" i="12"/>
  <c r="C29" i="12"/>
  <c r="C28" i="12"/>
  <c r="C27" i="12"/>
  <c r="C26" i="12"/>
  <c r="C25" i="12"/>
  <c r="C24" i="12"/>
  <c r="C23" i="12"/>
  <c r="C21" i="12"/>
  <c r="C20" i="12"/>
  <c r="C19" i="12"/>
  <c r="C18" i="12"/>
  <c r="C17" i="12"/>
  <c r="C16" i="12"/>
  <c r="C14" i="12"/>
  <c r="C11" i="12"/>
  <c r="D8" i="12"/>
  <c r="D7" i="12"/>
  <c r="D6" i="12"/>
  <c r="D5" i="12"/>
  <c r="D4" i="12"/>
  <c r="D3" i="12"/>
  <c r="D2" i="12"/>
  <c r="D9" i="12" s="1"/>
  <c r="C31" i="11"/>
  <c r="C30" i="11"/>
  <c r="C29" i="11"/>
  <c r="C28" i="11"/>
  <c r="C27" i="11"/>
  <c r="C26" i="11"/>
  <c r="C25" i="11"/>
  <c r="C24" i="11"/>
  <c r="C23" i="11"/>
  <c r="C21" i="11"/>
  <c r="C20" i="11"/>
  <c r="C19" i="11"/>
  <c r="C18" i="11"/>
  <c r="C17" i="11"/>
  <c r="C16" i="11"/>
  <c r="C14" i="11"/>
  <c r="C11" i="11"/>
  <c r="D8" i="11"/>
  <c r="D7" i="11"/>
  <c r="D6" i="11"/>
  <c r="D5" i="11"/>
  <c r="D4" i="11"/>
  <c r="D3" i="11"/>
  <c r="D2" i="11"/>
  <c r="D9" i="11" s="1"/>
  <c r="C31" i="10"/>
  <c r="C30" i="10"/>
  <c r="C29" i="10"/>
  <c r="C28" i="10"/>
  <c r="C27" i="10"/>
  <c r="C26" i="10"/>
  <c r="C25" i="10"/>
  <c r="C24" i="10"/>
  <c r="C23" i="10"/>
  <c r="C21" i="10"/>
  <c r="C20" i="10"/>
  <c r="C19" i="10"/>
  <c r="C18" i="10"/>
  <c r="C22" i="10" s="1"/>
  <c r="C17" i="10"/>
  <c r="C16" i="10"/>
  <c r="C14" i="10"/>
  <c r="C11" i="10"/>
  <c r="D8" i="10"/>
  <c r="D7" i="10"/>
  <c r="D6" i="10"/>
  <c r="D5" i="10"/>
  <c r="D4" i="10"/>
  <c r="D3" i="10"/>
  <c r="D2" i="10"/>
  <c r="D9" i="10" s="1"/>
  <c r="C31" i="9"/>
  <c r="C30" i="9"/>
  <c r="C29" i="9"/>
  <c r="C28" i="9"/>
  <c r="C27" i="9"/>
  <c r="C26" i="9"/>
  <c r="C25" i="9"/>
  <c r="C24" i="9"/>
  <c r="C23" i="9"/>
  <c r="C21" i="9"/>
  <c r="C20" i="9"/>
  <c r="C19" i="9"/>
  <c r="C18" i="9"/>
  <c r="C17" i="9"/>
  <c r="C16" i="9"/>
  <c r="C14" i="9"/>
  <c r="C11" i="9"/>
  <c r="D8" i="9"/>
  <c r="D7" i="9"/>
  <c r="D6" i="9"/>
  <c r="D5" i="9"/>
  <c r="D4" i="9"/>
  <c r="D3" i="9"/>
  <c r="D2" i="9"/>
  <c r="C31" i="8"/>
  <c r="C30" i="8"/>
  <c r="C29" i="8"/>
  <c r="C28" i="8"/>
  <c r="C27" i="8"/>
  <c r="C26" i="8"/>
  <c r="C25" i="8"/>
  <c r="C24" i="8"/>
  <c r="C23" i="8"/>
  <c r="C32" i="8" s="1"/>
  <c r="C21" i="8"/>
  <c r="C20" i="8"/>
  <c r="C19" i="8"/>
  <c r="C18" i="8"/>
  <c r="C22" i="8" s="1"/>
  <c r="C17" i="8"/>
  <c r="C16" i="8"/>
  <c r="C14" i="8"/>
  <c r="C11" i="8"/>
  <c r="D8" i="8"/>
  <c r="D7" i="8"/>
  <c r="D6" i="8"/>
  <c r="D5" i="8"/>
  <c r="D4" i="8"/>
  <c r="D3" i="8"/>
  <c r="D2" i="8"/>
  <c r="D9" i="8" s="1"/>
  <c r="C31" i="7"/>
  <c r="C30" i="7"/>
  <c r="C29" i="7"/>
  <c r="C28" i="7"/>
  <c r="C27" i="7"/>
  <c r="C26" i="7"/>
  <c r="C25" i="7"/>
  <c r="C24" i="7"/>
  <c r="C23" i="7"/>
  <c r="C21" i="7"/>
  <c r="C20" i="7"/>
  <c r="C19" i="7"/>
  <c r="C18" i="7"/>
  <c r="C17" i="7"/>
  <c r="C16" i="7"/>
  <c r="C14" i="7"/>
  <c r="C11" i="7"/>
  <c r="D8" i="7"/>
  <c r="D7" i="7"/>
  <c r="D6" i="7"/>
  <c r="D5" i="7"/>
  <c r="D4" i="7"/>
  <c r="D3" i="7"/>
  <c r="D2" i="7"/>
  <c r="D9" i="7" s="1"/>
  <c r="C31" i="6"/>
  <c r="C30" i="6"/>
  <c r="C29" i="6"/>
  <c r="C28" i="6"/>
  <c r="C27" i="6"/>
  <c r="C26" i="6"/>
  <c r="C25" i="6"/>
  <c r="C24" i="6"/>
  <c r="C23" i="6"/>
  <c r="C21" i="6"/>
  <c r="C20" i="6"/>
  <c r="C19" i="6"/>
  <c r="C18" i="6"/>
  <c r="C17" i="6"/>
  <c r="C16" i="6"/>
  <c r="C14" i="6"/>
  <c r="C11" i="6"/>
  <c r="D8" i="6"/>
  <c r="D7" i="6"/>
  <c r="D6" i="6"/>
  <c r="D5" i="6"/>
  <c r="D4" i="6"/>
  <c r="D3" i="6"/>
  <c r="D2" i="6"/>
  <c r="D9" i="6" s="1"/>
  <c r="C31" i="5"/>
  <c r="C30" i="5"/>
  <c r="C29" i="5"/>
  <c r="C28" i="5"/>
  <c r="C27" i="5"/>
  <c r="C26" i="5"/>
  <c r="C25" i="5"/>
  <c r="C24" i="5"/>
  <c r="C23" i="5"/>
  <c r="C21" i="5"/>
  <c r="C20" i="5"/>
  <c r="C19" i="5"/>
  <c r="C18" i="5"/>
  <c r="C17" i="5"/>
  <c r="C16" i="5"/>
  <c r="C14" i="5"/>
  <c r="C11" i="5"/>
  <c r="D8" i="5"/>
  <c r="D7" i="5"/>
  <c r="D6" i="5"/>
  <c r="D5" i="5"/>
  <c r="D4" i="5"/>
  <c r="D3" i="5"/>
  <c r="D2" i="5"/>
  <c r="D9" i="5" s="1"/>
  <c r="C11" i="4"/>
  <c r="C11" i="3"/>
  <c r="C31" i="4"/>
  <c r="C30" i="4"/>
  <c r="C29" i="4"/>
  <c r="C28" i="4"/>
  <c r="C27" i="4"/>
  <c r="C26" i="4"/>
  <c r="C25" i="4"/>
  <c r="C24" i="4"/>
  <c r="C23" i="4"/>
  <c r="C32" i="4" s="1"/>
  <c r="C21" i="4"/>
  <c r="C20" i="4"/>
  <c r="C19" i="4"/>
  <c r="C18" i="4"/>
  <c r="C17" i="4"/>
  <c r="C16" i="4"/>
  <c r="C14" i="4"/>
  <c r="D8" i="4"/>
  <c r="D7" i="4"/>
  <c r="D6" i="4"/>
  <c r="D5" i="4"/>
  <c r="D4" i="4"/>
  <c r="D3" i="4"/>
  <c r="D9" i="4" s="1"/>
  <c r="D2" i="4"/>
  <c r="C16" i="3"/>
  <c r="C22" i="3" s="1"/>
  <c r="C17" i="3"/>
  <c r="C18" i="3"/>
  <c r="C19" i="3"/>
  <c r="C20" i="3"/>
  <c r="C21" i="3"/>
  <c r="C23" i="3"/>
  <c r="C32" i="3" s="1"/>
  <c r="C24" i="3"/>
  <c r="C25" i="3"/>
  <c r="C26" i="3"/>
  <c r="C27" i="3"/>
  <c r="C28" i="3"/>
  <c r="C29" i="3"/>
  <c r="C30" i="3"/>
  <c r="C31" i="3"/>
  <c r="C14" i="3"/>
  <c r="C9" i="3"/>
  <c r="D2" i="3"/>
  <c r="E2" i="3" s="1"/>
  <c r="D3" i="3"/>
  <c r="E3" i="3" s="1"/>
  <c r="D4" i="3"/>
  <c r="E4" i="3" s="1"/>
  <c r="D5" i="3"/>
  <c r="E5" i="3" s="1"/>
  <c r="D6" i="3"/>
  <c r="E6" i="3" s="1"/>
  <c r="D7" i="3"/>
  <c r="E7" i="3" s="1"/>
  <c r="D8" i="3"/>
  <c r="E8" i="3" s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C3" i="4" a="1"/>
  <c r="C5" i="4" a="1"/>
  <c r="C7" i="4" a="1"/>
  <c r="C2" i="4" a="1"/>
  <c r="C4" i="4" a="1"/>
  <c r="C6" i="4" a="1"/>
  <c r="C8" i="4" a="1"/>
  <c r="C22" i="14" l="1"/>
  <c r="C32" i="14"/>
  <c r="C15" i="14"/>
  <c r="C33" i="14" s="1"/>
  <c r="C22" i="13"/>
  <c r="C32" i="13"/>
  <c r="C15" i="13"/>
  <c r="C33" i="13" s="1"/>
  <c r="C22" i="12"/>
  <c r="C32" i="12"/>
  <c r="C15" i="12"/>
  <c r="C22" i="11"/>
  <c r="C32" i="11"/>
  <c r="C15" i="11"/>
  <c r="C33" i="11" s="1"/>
  <c r="C32" i="10"/>
  <c r="C15" i="10"/>
  <c r="C33" i="10" s="1"/>
  <c r="D9" i="9"/>
  <c r="C22" i="9"/>
  <c r="C32" i="9"/>
  <c r="C15" i="9"/>
  <c r="C33" i="9" s="1"/>
  <c r="C15" i="8"/>
  <c r="C33" i="8" s="1"/>
  <c r="C22" i="7"/>
  <c r="C32" i="7"/>
  <c r="C15" i="7"/>
  <c r="C33" i="7" s="1"/>
  <c r="C22" i="6"/>
  <c r="C32" i="6"/>
  <c r="C15" i="6"/>
  <c r="C33" i="6" s="1"/>
  <c r="C22" i="5"/>
  <c r="C32" i="5"/>
  <c r="C15" i="5"/>
  <c r="C33" i="5" s="1"/>
  <c r="C8" i="4"/>
  <c r="E8" i="4" s="1"/>
  <c r="C6" i="4"/>
  <c r="E6" i="4" s="1"/>
  <c r="C4" i="4"/>
  <c r="E4" i="4" s="1"/>
  <c r="C2" i="4"/>
  <c r="C7" i="4"/>
  <c r="E7" i="4" s="1"/>
  <c r="C5" i="4"/>
  <c r="E5" i="4" s="1"/>
  <c r="C3" i="4"/>
  <c r="E3" i="4" s="1"/>
  <c r="C22" i="4"/>
  <c r="C15" i="4"/>
  <c r="C15" i="3"/>
  <c r="C33" i="3" s="1"/>
  <c r="E9" i="3"/>
  <c r="D9" i="3"/>
  <c r="C5" i="5" a="1"/>
  <c r="C4" i="5" a="1"/>
  <c r="C3" i="5" a="1"/>
  <c r="C6" i="5" a="1"/>
  <c r="C8" i="5" a="1"/>
  <c r="C7" i="5" a="1"/>
  <c r="C33" i="12" l="1"/>
  <c r="C7" i="5"/>
  <c r="E7" i="5" s="1"/>
  <c r="C8" i="5"/>
  <c r="E8" i="5" s="1"/>
  <c r="C6" i="5"/>
  <c r="E6" i="5" s="1"/>
  <c r="C3" i="5"/>
  <c r="E3" i="5" s="1"/>
  <c r="C4" i="5"/>
  <c r="E4" i="5" s="1"/>
  <c r="C5" i="5"/>
  <c r="E5" i="5" s="1"/>
  <c r="C9" i="4"/>
  <c r="E2" i="4"/>
  <c r="C33" i="4"/>
  <c r="C6" i="6" a="1"/>
  <c r="C3" i="6" a="1"/>
  <c r="C7" i="6" a="1"/>
  <c r="C4" i="6" a="1"/>
  <c r="C8" i="6" a="1"/>
  <c r="C5" i="6" a="1"/>
  <c r="C2" i="5" a="1"/>
  <c r="C5" i="6" l="1"/>
  <c r="E5" i="6" s="1"/>
  <c r="C8" i="6"/>
  <c r="E8" i="6" s="1"/>
  <c r="C4" i="6"/>
  <c r="E4" i="6" s="1"/>
  <c r="C7" i="6"/>
  <c r="E7" i="6" s="1"/>
  <c r="C3" i="6"/>
  <c r="E3" i="6" s="1"/>
  <c r="C6" i="6"/>
  <c r="E6" i="6" s="1"/>
  <c r="C2" i="5"/>
  <c r="E9" i="4"/>
  <c r="C4" i="7" a="1"/>
  <c r="C7" i="7" a="1"/>
  <c r="C5" i="7" a="1"/>
  <c r="C3" i="7" a="1"/>
  <c r="C8" i="7" a="1"/>
  <c r="C6" i="7" a="1"/>
  <c r="C6" i="7" l="1"/>
  <c r="E6" i="7" s="1"/>
  <c r="C8" i="7"/>
  <c r="E8" i="7" s="1"/>
  <c r="C3" i="7"/>
  <c r="E3" i="7" s="1"/>
  <c r="C5" i="7"/>
  <c r="E5" i="7" s="1"/>
  <c r="C7" i="7"/>
  <c r="E7" i="7" s="1"/>
  <c r="C4" i="7"/>
  <c r="E4" i="7" s="1"/>
  <c r="E2" i="5"/>
  <c r="C9" i="5"/>
  <c r="C3" i="8" a="1"/>
  <c r="C6" i="8" a="1"/>
  <c r="C8" i="8" a="1"/>
  <c r="C5" i="8" a="1"/>
  <c r="C7" i="8" a="1"/>
  <c r="C4" i="8" a="1"/>
  <c r="C2" i="6" a="1"/>
  <c r="C4" i="8" l="1"/>
  <c r="E4" i="8" s="1"/>
  <c r="C7" i="8"/>
  <c r="E7" i="8" s="1"/>
  <c r="C5" i="8"/>
  <c r="E5" i="8" s="1"/>
  <c r="C8" i="8"/>
  <c r="E8" i="8" s="1"/>
  <c r="C6" i="8"/>
  <c r="E6" i="8" s="1"/>
  <c r="C3" i="8"/>
  <c r="E3" i="8" s="1"/>
  <c r="C2" i="6"/>
  <c r="E9" i="5"/>
  <c r="C8" i="9" a="1"/>
  <c r="C4" i="9" a="1"/>
  <c r="C6" i="9" a="1"/>
  <c r="C7" i="9" a="1"/>
  <c r="C3" i="9" a="1"/>
  <c r="C5" i="9" a="1"/>
  <c r="C5" i="9" l="1"/>
  <c r="E5" i="9" s="1"/>
  <c r="C3" i="9"/>
  <c r="E3" i="9" s="1"/>
  <c r="C7" i="9"/>
  <c r="E7" i="9" s="1"/>
  <c r="C6" i="9"/>
  <c r="E6" i="9" s="1"/>
  <c r="C4" i="9"/>
  <c r="E4" i="9" s="1"/>
  <c r="C8" i="9"/>
  <c r="E8" i="9" s="1"/>
  <c r="E2" i="6"/>
  <c r="C9" i="6"/>
  <c r="C7" i="10" a="1"/>
  <c r="C6" i="10" a="1"/>
  <c r="C5" i="10" a="1"/>
  <c r="C4" i="10" a="1"/>
  <c r="C3" i="10" a="1"/>
  <c r="C8" i="10" a="1"/>
  <c r="C2" i="7" a="1"/>
  <c r="C8" i="10" l="1"/>
  <c r="E8" i="10" s="1"/>
  <c r="C3" i="10"/>
  <c r="E3" i="10" s="1"/>
  <c r="C4" i="10"/>
  <c r="E4" i="10" s="1"/>
  <c r="C5" i="10"/>
  <c r="E5" i="10" s="1"/>
  <c r="C6" i="10"/>
  <c r="E6" i="10" s="1"/>
  <c r="C7" i="10"/>
  <c r="E7" i="10" s="1"/>
  <c r="C2" i="7"/>
  <c r="E9" i="6"/>
  <c r="C4" i="11" a="1"/>
  <c r="C8" i="11" a="1"/>
  <c r="C6" i="11" a="1"/>
  <c r="C3" i="11" a="1"/>
  <c r="C7" i="11" a="1"/>
  <c r="C5" i="11" a="1"/>
  <c r="C5" i="11" l="1"/>
  <c r="E5" i="11" s="1"/>
  <c r="C7" i="11"/>
  <c r="E7" i="11" s="1"/>
  <c r="C3" i="11"/>
  <c r="E3" i="11" s="1"/>
  <c r="C6" i="11"/>
  <c r="E6" i="11" s="1"/>
  <c r="C8" i="11"/>
  <c r="E8" i="11" s="1"/>
  <c r="C4" i="11"/>
  <c r="E4" i="11" s="1"/>
  <c r="E2" i="7"/>
  <c r="C9" i="7"/>
  <c r="C3" i="12" a="1"/>
  <c r="C6" i="12" a="1"/>
  <c r="C8" i="12" a="1"/>
  <c r="C7" i="12" a="1"/>
  <c r="C4" i="12" a="1"/>
  <c r="C5" i="12" a="1"/>
  <c r="C2" i="8" a="1"/>
  <c r="C5" i="12" l="1"/>
  <c r="E5" i="12" s="1"/>
  <c r="C4" i="12"/>
  <c r="E4" i="12" s="1"/>
  <c r="C7" i="12"/>
  <c r="E7" i="12" s="1"/>
  <c r="C8" i="12"/>
  <c r="E8" i="12" s="1"/>
  <c r="C6" i="12"/>
  <c r="E6" i="12" s="1"/>
  <c r="C3" i="12"/>
  <c r="E3" i="12" s="1"/>
  <c r="C2" i="8"/>
  <c r="E9" i="7"/>
  <c r="C5" i="13" a="1"/>
  <c r="C6" i="13" a="1"/>
  <c r="C4" i="13" a="1"/>
  <c r="C3" i="13" a="1"/>
  <c r="C7" i="13" a="1"/>
  <c r="C8" i="13" a="1"/>
  <c r="C8" i="13" l="1"/>
  <c r="E8" i="13" s="1"/>
  <c r="C7" i="13"/>
  <c r="E7" i="13" s="1"/>
  <c r="C3" i="13"/>
  <c r="E3" i="13" s="1"/>
  <c r="C4" i="13"/>
  <c r="E4" i="13" s="1"/>
  <c r="C6" i="13"/>
  <c r="E6" i="13" s="1"/>
  <c r="C5" i="13"/>
  <c r="E5" i="13" s="1"/>
  <c r="E2" i="8"/>
  <c r="C9" i="8"/>
  <c r="C7" i="14" a="1"/>
  <c r="C5" i="14" a="1"/>
  <c r="C3" i="14" a="1"/>
  <c r="C4" i="14" a="1"/>
  <c r="C8" i="14" a="1"/>
  <c r="C6" i="14" a="1"/>
  <c r="C2" i="9" a="1"/>
  <c r="C6" i="14" l="1"/>
  <c r="E6" i="14" s="1"/>
  <c r="C8" i="14"/>
  <c r="E8" i="14" s="1"/>
  <c r="C4" i="14"/>
  <c r="E4" i="14" s="1"/>
  <c r="C3" i="14"/>
  <c r="E3" i="14" s="1"/>
  <c r="C5" i="14"/>
  <c r="E5" i="14" s="1"/>
  <c r="C7" i="14"/>
  <c r="E7" i="14" s="1"/>
  <c r="C2" i="9"/>
  <c r="E9" i="8"/>
  <c r="C9" i="9" l="1"/>
  <c r="E2" i="9"/>
  <c r="C2" i="10" a="1"/>
  <c r="C2" i="10" l="1"/>
  <c r="E9" i="9"/>
  <c r="E2" i="10" l="1"/>
  <c r="C9" i="10"/>
  <c r="C2" i="11" a="1"/>
  <c r="C2" i="11" l="1"/>
  <c r="E9" i="10"/>
  <c r="E2" i="11" l="1"/>
  <c r="C9" i="11"/>
  <c r="C2" i="12" a="1"/>
  <c r="C2" i="12" l="1"/>
  <c r="E9" i="11"/>
  <c r="E2" i="12" l="1"/>
  <c r="C9" i="12"/>
  <c r="C2" i="13" a="1"/>
  <c r="C2" i="13" l="1"/>
  <c r="E9" i="12"/>
  <c r="E2" i="13" l="1"/>
  <c r="C9" i="13"/>
  <c r="C2" i="14" a="1"/>
  <c r="C2" i="14" l="1"/>
  <c r="E9" i="13"/>
  <c r="E2" i="14" l="1"/>
  <c r="E9" i="14" s="1"/>
  <c r="C9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<sst xmlns="http://schemas.openxmlformats.org/spreadsheetml/2006/main" count="1417" uniqueCount="55">
  <si>
    <t>Kwota</t>
  </si>
  <si>
    <t>Bank</t>
  </si>
  <si>
    <t>Produkt</t>
  </si>
  <si>
    <t>Kategoria</t>
  </si>
  <si>
    <t>Typ</t>
  </si>
  <si>
    <t>Data</t>
  </si>
  <si>
    <t>Miesiąc</t>
  </si>
  <si>
    <t>mBank</t>
  </si>
  <si>
    <t>Konto</t>
  </si>
  <si>
    <t>Jedzenie</t>
  </si>
  <si>
    <t>Wydatki</t>
  </si>
  <si>
    <t>Wypłata</t>
  </si>
  <si>
    <t>Wpływy</t>
  </si>
  <si>
    <t>Mieszkanie</t>
  </si>
  <si>
    <t>PKO BP</t>
  </si>
  <si>
    <t>Karta</t>
  </si>
  <si>
    <t>Subskrypcje</t>
  </si>
  <si>
    <t>Pozostałe wpływy</t>
  </si>
  <si>
    <t>Lokata</t>
  </si>
  <si>
    <t>Pozostałe wydatki</t>
  </si>
  <si>
    <t>Skarbonka</t>
  </si>
  <si>
    <t>Kieszonkowe</t>
  </si>
  <si>
    <t>Rozrywka</t>
  </si>
  <si>
    <t>Transport</t>
  </si>
  <si>
    <t>Odzież</t>
  </si>
  <si>
    <t>Studia</t>
  </si>
  <si>
    <t>Portfel</t>
  </si>
  <si>
    <t>Bony</t>
  </si>
  <si>
    <t>Gotówka</t>
  </si>
  <si>
    <t>Inwestycje</t>
  </si>
  <si>
    <t>Zdrowie i uroda</t>
  </si>
  <si>
    <t>Przelew</t>
  </si>
  <si>
    <t>Darowizny</t>
  </si>
  <si>
    <t>Świadczenia</t>
  </si>
  <si>
    <t>Transfer</t>
  </si>
  <si>
    <t>Saldo początkowe</t>
  </si>
  <si>
    <t>Operacje</t>
  </si>
  <si>
    <t>Saldo końcowe</t>
  </si>
  <si>
    <t>Suma</t>
  </si>
  <si>
    <t>Transfer Suma</t>
  </si>
  <si>
    <t>Wpływy Suma</t>
  </si>
  <si>
    <t>Wydatki Suma</t>
  </si>
  <si>
    <t>Suma końcowa</t>
  </si>
  <si>
    <t>styczeń</t>
  </si>
  <si>
    <t>luty</t>
  </si>
  <si>
    <t>marzec</t>
  </si>
  <si>
    <t>kwiecień</t>
  </si>
  <si>
    <t>maj</t>
  </si>
  <si>
    <t>czerwiec</t>
  </si>
  <si>
    <t>lipiec</t>
  </si>
  <si>
    <t>sierpień</t>
  </si>
  <si>
    <t>wrzesień</t>
  </si>
  <si>
    <t>październik</t>
  </si>
  <si>
    <t>listopad</t>
  </si>
  <si>
    <t>grudzień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</si>
</sst>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#,##0.00\ &quot;zł&quot;;[Red]\-#,##0.00\ &quot;zł&quot;"/>
    <numFmt numFmtId="164" formatCode="#,##0.00\ &quot;zł&quot;"/>
  </numFmts>
  <fonts count="5" x14ac:knownFonts="1">
    <font>
      <sz val="11"/>
      <color theme="1"/>
      <name val="Calibri"/>
      <family val="2"/>
      <charset val="238"/>
      <scheme val="minor"/>
    </font>
    <font>
      <sz val="11"/>
      <color rgb="FF000000"/>
      <name val="Aptos Narrow"/>
      <family val="2"/>
    </font>
    <font>
      <b/>
      <sz val="11"/>
      <color theme="1"/>
      <name val="Calibri"/>
      <family val="2"/>
      <charset val="238"/>
      <scheme val="minor"/>
    </font>
    <font>
      <b/>
      <sz val="11"/>
      <color rgb="FF000000"/>
      <name val="Aptos Narrow"/>
      <family val="2"/>
    </font>
    <font>
      <sz val="8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/>
        <bgColor theme="6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5" tint="0.79998168889431442"/>
        <bgColor theme="5" tint="0.79998168889431442"/>
      </patternFill>
    </fill>
  </fills>
  <borders count="7">
    <border>
      <left/>
      <right/>
      <top/>
      <bottom/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/>
      <bottom style="medium">
        <color theme="1"/>
      </bottom>
      <diagonal/>
    </border>
    <border>
      <left/>
      <right/>
      <top/>
      <bottom style="thin">
        <color theme="6" tint="0.39997558519241921"/>
      </bottom>
      <diagonal/>
    </border>
    <border>
      <left/>
      <right/>
      <top style="thin">
        <color theme="6" tint="0.39997558519241921"/>
      </top>
      <bottom/>
      <diagonal/>
    </border>
    <border>
      <left style="thin">
        <color theme="5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5" tint="0.39997558519241921"/>
      </right>
      <top style="thin">
        <color theme="6" tint="0.39997558519241921"/>
      </top>
      <bottom style="thin">
        <color theme="6" tint="0.3999755851924192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8" fontId="1" fillId="0" borderId="0" xfId="0" applyNumberFormat="1" applyFont="1"/>
    <xf numFmtId="14" fontId="1" fillId="0" borderId="0" xfId="0" applyNumberFormat="1" applyFont="1"/>
    <xf numFmtId="0" fontId="0" fillId="4" borderId="0" xfId="0" applyFont="1" applyFill="1"/>
    <xf numFmtId="0" fontId="0" fillId="0" borderId="0" xfId="0" applyFont="1"/>
    <xf numFmtId="0" fontId="0" fillId="0" borderId="2" xfId="0" applyFont="1" applyBorder="1"/>
    <xf numFmtId="0" fontId="1" fillId="2" borderId="1" xfId="0" applyFont="1" applyFill="1" applyBorder="1"/>
    <xf numFmtId="0" fontId="1" fillId="0" borderId="1" xfId="0" applyFont="1" applyBorder="1"/>
    <xf numFmtId="0" fontId="3" fillId="3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5" borderId="5" xfId="0" applyFont="1" applyFill="1" applyBorder="1"/>
    <xf numFmtId="0" fontId="1" fillId="5" borderId="6" xfId="0" applyFont="1" applyFill="1" applyBorder="1"/>
    <xf numFmtId="0" fontId="1" fillId="0" borderId="5" xfId="0" applyFont="1" applyBorder="1"/>
    <xf numFmtId="0" fontId="1" fillId="0" borderId="6" xfId="0" applyFont="1" applyBorder="1"/>
    <xf numFmtId="164" fontId="0" fillId="0" borderId="0" xfId="0" applyNumberFormat="1"/>
    <xf numFmtId="0" fontId="2" fillId="4" borderId="0" xfId="0" applyFont="1" applyFill="1"/>
    <xf numFmtId="0" fontId="0" fillId="0" borderId="0" xfId="0" applyFont="1" applyBorder="1"/>
    <xf numFmtId="0" fontId="2" fillId="0" borderId="0" xfId="0" applyFont="1" applyBorder="1"/>
  </cellXfs>
  <cellStyles count="1">
    <cellStyle name="Normalny" xfId="0" builtinId="0"/>
  </cellStyles>
  <dxfs count="85"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border outline="0">
        <top style="thin">
          <color theme="6" tint="0.39997558519241921"/>
        </top>
      </border>
    </dxf>
    <dxf>
      <border outline="0"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solid">
          <fgColor theme="6" tint="0.79998168889431442"/>
          <bgColor theme="6" tint="0.79998168889431442"/>
        </patternFill>
      </fill>
    </dxf>
    <dxf>
      <border outline="0">
        <bottom style="thin">
          <color theme="6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solid">
          <fgColor theme="6"/>
          <bgColor theme="6"/>
        </patternFill>
      </fill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12" formatCode="#,##0.00\ &quot;zł&quot;;[Red]\-#,##0.0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16C1D7-8019-44A2-9C8F-C35CC22955DA}" name="operacje" displayName="operacje" ref="A1:G207" totalsRowShown="0" headerRowDxfId="84" dataDxfId="83">
  <autoFilter ref="A1:G207" xr:uid="{7016C1D7-8019-44A2-9C8F-C35CC22955DA}"/>
  <tableColumns count="7">
    <tableColumn id="1" xr3:uid="{A7BF5FD6-E7F6-49E7-BD70-F1607EF1F3EB}" name="Kwota" dataDxfId="82"/>
    <tableColumn id="2" xr3:uid="{9A816B60-D756-4164-83F3-B75575C50269}" name="Bank" dataDxfId="81"/>
    <tableColumn id="3" xr3:uid="{3FFAAE4E-EC70-4761-AADA-42A5F290CA36}" name="Produkt" dataDxfId="80"/>
    <tableColumn id="4" xr3:uid="{B1B81941-7C77-41CF-A6BC-6FFD3BA7E61E}" name="Kategoria" dataDxfId="79"/>
    <tableColumn id="5" xr3:uid="{AB245718-9864-4D82-A5EC-40CD6DE88CEB}" name="Typ" dataDxfId="78">
      <calculatedColumnFormula>_xlfn.XLOOKUP(operacje[[#This Row],[Kategoria]],kategorie[Kategoria],kategorie[Typ],"",0)</calculatedColumnFormula>
    </tableColumn>
    <tableColumn id="6" xr3:uid="{A88DF091-A59B-4D13-B4CC-B9116A9EE463}" name="Data" dataDxfId="77"/>
    <tableColumn id="7" xr3:uid="{88DAA4E4-A227-4185-99AB-DFD2DBFFDA3A}" name="Miesiąc" dataDxfId="76">
      <calculatedColumnFormula>IF(ISBLANK(operacje[[#This Row],[Data]]),,MONTH(operacje[[#This Row],[Data]]))</calculatedColumnFormula>
    </tableColumn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5AC56F-D90F-4239-916C-7392ACBA218B}" name="kategorie" displayName="kategorie" ref="A1:B17" totalsRowShown="0">
  <autoFilter ref="A1:B17" xr:uid="{615AC56F-D90F-4239-916C-7392ACBA218B}"/>
  <tableColumns count="2">
    <tableColumn id="1" xr3:uid="{B33EED79-9524-4099-9718-3C1223C19CBC}" name="Kategoria"/>
    <tableColumn id="2" xr3:uid="{B89640C2-4605-4DAA-8E21-4656DE6E3FFF}" name="Typ"/>
  </tableColumns>
  <tableStyleInfo name="TableStyleMedium1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147AD91-F01E-45AB-B3F5-7767CF6F6AFF}" name="produkty" displayName="produkty" ref="I1:J8" totalsRowShown="0" headerRowDxfId="72" dataDxfId="70" headerRowBorderDxfId="71" tableBorderDxfId="69" totalsRowBorderDxfId="68">
  <autoFilter ref="I1:J8" xr:uid="{B147AD91-F01E-45AB-B3F5-7767CF6F6AFF}"/>
  <sortState xmlns:xlrd2="http://schemas.microsoft.com/office/spreadsheetml/2017/richdata2" ref="I2:J8">
    <sortCondition ref="I2:I8"/>
    <sortCondition ref="J2:J8"/>
  </sortState>
  <tableColumns count="2">
    <tableColumn id="1" xr3:uid="{AF8E4BF8-A7D3-4449-9119-B183711D20A5}" name="Bank" dataDxfId="67"/>
    <tableColumn id="2" xr3:uid="{616C5DC9-0BC1-47E2-9F9F-0F0E3394B68B}" name="Produkt" dataDxfId="66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E99928C-49EA-49B5-9935-4F3503684763}" name="styczeń_saldo" displayName="styczeń_saldo" ref="A1:E9" totalsRowCount="1">
  <autoFilter ref="A1:E8" xr:uid="{9E99928C-49EA-49B5-9935-4F3503684763}"/>
  <tableColumns count="5">
    <tableColumn id="1" xr3:uid="{6D5BA780-F5F3-425E-9E03-291232AA8139}" name="Bank" totalsRowLabel="Suma"/>
    <tableColumn id="2" xr3:uid="{7B174532-C8DD-4D5E-90F4-B1A5772C5C14}" name="Produkt"/>
    <tableColumn id="3" xr3:uid="{A6191FD7-277F-4E3E-B5DD-6A0017D9E3BF}" name="Saldo początkowe" totalsRowFunction="sum" dataDxfId="75"/>
    <tableColumn id="4" xr3:uid="{9906C94A-2C3A-4E82-B611-26A78029ECEE}" name="Operacje" totalsRowFunction="sum" dataDxfId="74">
      <calculatedColumnFormula>SUMIFS(operacje[Kwota],operacje[Bank],styczeń_saldo[[#This Row],[Bank]],operacje[Produkt],styczeń_saldo[[#This Row],[Produkt]],operacje[Miesiąc],$B$11)</calculatedColumnFormula>
    </tableColumn>
    <tableColumn id="5" xr3:uid="{FAB5DFDC-D50A-4941-9DD7-2B8A9000B7C5}" name="Saldo końcowe" totalsRowFunction="sum" dataDxfId="73">
      <calculatedColumnFormula>styczeń_saldo[[#This Row],[Saldo początkowe]]+styczeń_saldo[[#This Row],[Operacje]]</calculatedColumnFormula>
    </tableColumn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88CB6A2-8923-41E5-84DF-B2BCE164FCAB}" name="luty_saldo" displayName="luty_saldo" ref="A1:E9" totalsRowCount="1">
  <autoFilter ref="A1:E8" xr:uid="{9E99928C-49EA-49B5-9935-4F3503684763}"/>
  <tableColumns count="5">
    <tableColumn id="1" xr3:uid="{515DC50D-C27D-4003-B953-A1B2840D1FD6}" name="Bank" totalsRowLabel="Suma"/>
    <tableColumn id="2" xr3:uid="{49FC7D21-0D61-4DEE-A7B9-BE15A50E1E0C}" name="Produkt"/>
    <tableColumn id="3" xr3:uid="{58F0BC4A-93A4-4CA0-874A-8315414DC447}" name="Saldo początkowe" totalsRowFunction="sum" dataDxfId="60" totalsRowDxfId="63">
      <calculatedColumnFormula array="1">INDIRECT(TEXT(DATE(2025,$B$11-1,1),"mmmm")&amp;"_saldo[@[Saldo końcowe]]")</calculatedColumnFormula>
    </tableColumn>
    <tableColumn id="4" xr3:uid="{B8A65D18-74BF-4EE5-8AB8-C19B2551CEBF}" name="Operacje" totalsRowFunction="sum" dataDxfId="65" totalsRowDxfId="62">
      <calculatedColumnFormula>SUMIFS(operacje[Kwota],operacje[Bank],luty_saldo[[#This Row],[Bank]],operacje[Produkt],luty_saldo[[#This Row],[Produkt]],operacje[Miesiąc],$B$11)</calculatedColumnFormula>
    </tableColumn>
    <tableColumn id="5" xr3:uid="{18F9D996-56C1-4700-9A23-9C31F1BD2F88}" name="Saldo końcowe" totalsRowFunction="sum" dataDxfId="64" totalsRowDxfId="61">
      <calculatedColumnFormula>luty_saldo[[#This Row],[Saldo początkowe]]+luty_saldo[[#This Row],[Operacje]]</calculatedColumnFormula>
    </tableColumn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47D3126-C4ED-4E8A-BACC-AD840AFC9598}" name="marzec_saldo" displayName="marzec_saldo" ref="A1:E9" totalsRowCount="1">
  <autoFilter ref="A1:E8" xr:uid="{9E99928C-49EA-49B5-9935-4F3503684763}"/>
  <tableColumns count="5">
    <tableColumn id="1" xr3:uid="{FBA9011F-C331-4FAE-870F-050067432B73}" name="Bank" totalsRowLabel="Suma"/>
    <tableColumn id="2" xr3:uid="{F86EEE51-0B67-4B5E-BCEB-61D15E481058}" name="Produkt"/>
    <tableColumn id="3" xr3:uid="{6603671E-4DA5-4850-B6AE-15C2301E9630}" name="Saldo początkowe" totalsRowFunction="sum" dataDxfId="58" totalsRowDxfId="59">
      <calculatedColumnFormula array="1">INDIRECT(TEXT(DATE(2025,$B$11-1,1),"mmmm")&amp;"_saldo[@[Saldo końcowe]]")</calculatedColumnFormula>
    </tableColumn>
    <tableColumn id="4" xr3:uid="{2233F788-B3C1-4C8E-A898-4E8D00762978}" name="Operacje" totalsRowFunction="sum" dataDxfId="56" totalsRowDxfId="57">
      <calculatedColumnFormula>SUMIFS(operacje[Kwota],operacje[Bank],marzec_saldo[[#This Row],[Bank]],operacje[Produkt],marzec_saldo[[#This Row],[Produkt]],operacje[Miesiąc],$B$11)</calculatedColumnFormula>
    </tableColumn>
    <tableColumn id="5" xr3:uid="{76E9CFAC-1166-48F6-BC97-6CFF4810FD31}" name="Saldo końcowe" totalsRowFunction="sum" dataDxfId="54" totalsRowDxfId="55">
      <calculatedColumnFormula>marzec_saldo[[#This Row],[Saldo początkowe]]+marzec_saldo[[#This Row],[Operacje]]</calculatedColumnFormula>
    </tableColumn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43A4E8F-A69F-4EDD-9286-49ABFAF35E66}" name="kwiecień_saldo" displayName="kwiecień_saldo" ref="A1:E9" totalsRowCount="1">
  <autoFilter ref="A1:E8" xr:uid="{9E99928C-49EA-49B5-9935-4F3503684763}"/>
  <tableColumns count="5">
    <tableColumn id="1" xr3:uid="{52ADD602-8A2F-41E8-A5F5-3E42943C81C8}" name="Bank" totalsRowLabel="Suma"/>
    <tableColumn id="2" xr3:uid="{5E7588C4-98C4-47CE-948B-8F1FE88D2411}" name="Produkt"/>
    <tableColumn id="3" xr3:uid="{D5FF2845-8CBC-4B14-ABAE-830B14E69DA7}" name="Saldo początkowe" totalsRowFunction="sum" dataDxfId="52" totalsRowDxfId="53">
      <calculatedColumnFormula array="1">INDIRECT(TEXT(DATE(2025,$B$11-1,1),"mmmm")&amp;"_saldo[@[Saldo końcowe]]")</calculatedColumnFormula>
    </tableColumn>
    <tableColumn id="4" xr3:uid="{DFA71AC3-84F0-4127-AF1C-6A8D39C9343F}" name="Operacje" totalsRowFunction="sum" dataDxfId="50" totalsRowDxfId="51">
      <calculatedColumnFormula>SUMIFS(operacje[Kwota],operacje[Bank],kwiecień_saldo[[#This Row],[Bank]],operacje[Produkt],kwiecień_saldo[[#This Row],[Produkt]],operacje[Miesiąc],$B$11)</calculatedColumnFormula>
    </tableColumn>
    <tableColumn id="5" xr3:uid="{C84E40A7-BFDC-4885-8603-FBA3CFEDE55D}" name="Saldo końcowe" totalsRowFunction="sum" dataDxfId="48" totalsRowDxfId="49">
      <calculatedColumnFormula>kwiecień_saldo[[#This Row],[Saldo początkowe]]+kwiecień_saldo[[#This Row],[Operacje]]</calculatedColumnFormula>
    </tableColumn>
  </tableColumns>
  <tableStyleInfo name="TableStyleMedium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9CD3EC9-99A6-4868-B383-6B0C42390AAA}" name="maj_saldo" displayName="maj_saldo" ref="A1:E9" totalsRowCount="1">
  <autoFilter ref="A1:E8" xr:uid="{9E99928C-49EA-49B5-9935-4F3503684763}"/>
  <tableColumns count="5">
    <tableColumn id="1" xr3:uid="{5CA2E220-99DD-41F5-8C82-353DAF65DC72}" name="Bank" totalsRowLabel="Suma"/>
    <tableColumn id="2" xr3:uid="{A439D3D5-5BBB-4841-919C-AC577CF6CE50}" name="Produkt"/>
    <tableColumn id="3" xr3:uid="{9350BA87-D394-4A02-947E-E2C72D4EDDB3}" name="Saldo początkowe" totalsRowFunction="sum" dataDxfId="46" totalsRowDxfId="47">
      <calculatedColumnFormula array="1">INDIRECT(TEXT(DATE(2025,$B$11-1,1),"mmmm")&amp;"_saldo[@[Saldo końcowe]]")</calculatedColumnFormula>
    </tableColumn>
    <tableColumn id="4" xr3:uid="{A3A5673D-2324-4462-8A7C-2615244E6F07}" name="Operacje" totalsRowFunction="sum" dataDxfId="44" totalsRowDxfId="45">
      <calculatedColumnFormula>SUMIFS(operacje[Kwota],operacje[Bank],maj_saldo[[#This Row],[Bank]],operacje[Produkt],maj_saldo[[#This Row],[Produkt]],operacje[Miesiąc],$B$11)</calculatedColumnFormula>
    </tableColumn>
    <tableColumn id="5" xr3:uid="{06DAA3D4-CB0E-47AD-A1FD-B26FEDBBDEC3}" name="Saldo końcowe" totalsRowFunction="sum" dataDxfId="42" totalsRowDxfId="43">
      <calculatedColumnFormula>maj_saldo[[#This Row],[Saldo początkowe]]+maj_saldo[[#This Row],[Operacje]]</calculatedColumnFormula>
    </tableColumn>
  </tableColumns>
  <tableStyleInfo name="TableStyleMedium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1E8664F-69A7-4D2B-8E5B-B7B3765BEED3}" name="czerwiec_saldo" displayName="czerwiec_saldo" ref="A1:E9" totalsRowCount="1">
  <autoFilter ref="A1:E8" xr:uid="{9E99928C-49EA-49B5-9935-4F3503684763}"/>
  <tableColumns count="5">
    <tableColumn id="1" xr3:uid="{1E77B320-0B85-4083-B8D0-CC7C99969187}" name="Bank" totalsRowLabel="Suma"/>
    <tableColumn id="2" xr3:uid="{740D7F37-8B5A-48E1-8368-CE319C900EFC}" name="Produkt"/>
    <tableColumn id="3" xr3:uid="{22FDA2FB-4653-4738-9972-4F73C9477759}" name="Saldo początkowe" totalsRowFunction="sum" dataDxfId="40" totalsRowDxfId="41">
      <calculatedColumnFormula array="1">INDIRECT(TEXT(DATE(2025,$B$11-1,1),"mmmm")&amp;"_saldo[@[Saldo końcowe]]")</calculatedColumnFormula>
    </tableColumn>
    <tableColumn id="4" xr3:uid="{837B0130-77E2-4DB4-9BA7-17743F2894B3}" name="Operacje" totalsRowFunction="sum" dataDxfId="38" totalsRowDxfId="39">
      <calculatedColumnFormula>SUMIFS(operacje[Kwota],operacje[Bank],czerwiec_saldo[[#This Row],[Bank]],operacje[Produkt],czerwiec_saldo[[#This Row],[Produkt]],operacje[Miesiąc],$B$11)</calculatedColumnFormula>
    </tableColumn>
    <tableColumn id="5" xr3:uid="{A157E97D-9441-405E-B490-75EECAF602AF}" name="Saldo końcowe" totalsRowFunction="sum" dataDxfId="36" totalsRowDxfId="37">
      <calculatedColumnFormula>czerwiec_saldo[[#This Row],[Saldo początkowe]]+czerwiec_saldo[[#This Row],[Operacje]]</calculatedColumnFormula>
    </tableColumn>
  </tableColumns>
  <tableStyleInfo name="TableStyleMedium4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EBD5ED8-6C53-435F-B143-9FEF7C7D6371}" name="lipiec_saldo" displayName="lipiec_saldo" ref="A1:E9" totalsRowCount="1">
  <autoFilter ref="A1:E8" xr:uid="{9E99928C-49EA-49B5-9935-4F3503684763}"/>
  <tableColumns count="5">
    <tableColumn id="1" xr3:uid="{0FD0F232-B602-4285-88B7-3396ADF9BF78}" name="Bank" totalsRowLabel="Suma"/>
    <tableColumn id="2" xr3:uid="{0144FB71-8D58-4315-9EC1-BBBE7502B911}" name="Produkt"/>
    <tableColumn id="3" xr3:uid="{26017F7A-BD00-4B5D-A938-73C6FA055546}" name="Saldo początkowe" totalsRowFunction="sum" dataDxfId="34" totalsRowDxfId="35">
      <calculatedColumnFormula array="1">INDIRECT(TEXT(DATE(2025,$B$11-1,1),"mmmm")&amp;"_saldo[@[Saldo końcowe]]")</calculatedColumnFormula>
    </tableColumn>
    <tableColumn id="4" xr3:uid="{F43A6591-8E1A-4002-B9E2-3CF0A79C9BCD}" name="Operacje" totalsRowFunction="sum" dataDxfId="32" totalsRowDxfId="33">
      <calculatedColumnFormula>SUMIFS(operacje[Kwota],operacje[Bank],lipiec_saldo[[#This Row],[Bank]],operacje[Produkt],lipiec_saldo[[#This Row],[Produkt]],operacje[Miesiąc],$B$11)</calculatedColumnFormula>
    </tableColumn>
    <tableColumn id="5" xr3:uid="{0BC0AC6F-F48E-4F81-B873-C99C25CC31B9}" name="Saldo końcowe" totalsRowFunction="sum" dataDxfId="30" totalsRowDxfId="31">
      <calculatedColumnFormula>lipiec_saldo[[#This Row],[Saldo początkowe]]+lipiec_saldo[[#This Row],[Operacje]]</calculatedColumnFormula>
    </tableColumn>
  </tableColumns>
  <tableStyleInfo name="TableStyleMedium4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F4DED86-AB6D-4C8B-8039-8558E3A51D4C}" name="sierpień_saldo" displayName="sierpień_saldo" ref="A1:E9" totalsRowCount="1">
  <autoFilter ref="A1:E8" xr:uid="{9E99928C-49EA-49B5-9935-4F3503684763}"/>
  <tableColumns count="5">
    <tableColumn id="1" xr3:uid="{2A1CC9FF-A4E3-4FFB-8856-D3B9449C0037}" name="Bank" totalsRowLabel="Suma"/>
    <tableColumn id="2" xr3:uid="{D9AE0B12-C06B-49F5-B2DD-4FB8E76981A4}" name="Produkt"/>
    <tableColumn id="3" xr3:uid="{D7B4D74E-23B4-4392-AFF7-89B0DE37C741}" name="Saldo początkowe" totalsRowFunction="sum" dataDxfId="28" totalsRowDxfId="29">
      <calculatedColumnFormula array="1">INDIRECT(TEXT(DATE(2025,$B$11-1,1),"mmmm")&amp;"_saldo[@[Saldo końcowe]]")</calculatedColumnFormula>
    </tableColumn>
    <tableColumn id="4" xr3:uid="{DFB8A4BF-F965-4F56-BFC1-556B56FB48C3}" name="Operacje" totalsRowFunction="sum" dataDxfId="26" totalsRowDxfId="27">
      <calculatedColumnFormula>SUMIFS(operacje[Kwota],operacje[Bank],sierpień_saldo[[#This Row],[Bank]],operacje[Produkt],sierpień_saldo[[#This Row],[Produkt]],operacje[Miesiąc],$B$11)</calculatedColumnFormula>
    </tableColumn>
    <tableColumn id="5" xr3:uid="{7900A5D8-CF9C-4AB6-9DB6-9C3E3335A26A}" name="Saldo końcowe" totalsRowFunction="sum" dataDxfId="24" totalsRowDxfId="25">
      <calculatedColumnFormula>sierpień_saldo[[#This Row],[Saldo początkowe]]+sierpień_saldo[[#This Row],[Operacje]]</calculatedColumnFormula>
    </tableColumn>
  </tableColumns>
  <tableStyleInfo name="TableStyleMedium4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233D304-3EB2-4196-84B2-DAAA980CA08D}" name="wrzesień_saldo" displayName="wrzesień_saldo" ref="A1:E9" totalsRowCount="1">
  <autoFilter ref="A1:E8" xr:uid="{9E99928C-49EA-49B5-9935-4F3503684763}"/>
  <tableColumns count="5">
    <tableColumn id="1" xr3:uid="{3C2A1E85-2138-40B3-BE5D-A83C506F6860}" name="Bank" totalsRowLabel="Suma"/>
    <tableColumn id="2" xr3:uid="{0DB3C641-DC22-4888-8357-6BB6D5098575}" name="Produkt"/>
    <tableColumn id="3" xr3:uid="{07AB9E70-5C31-4C2A-8451-95AAE8292E0C}" name="Saldo początkowe" totalsRowFunction="sum" dataDxfId="22" totalsRowDxfId="23">
      <calculatedColumnFormula array="1">INDIRECT(TEXT(DATE(2025,$B$11-1,1),"mmmm")&amp;"_saldo[@[Saldo końcowe]]")</calculatedColumnFormula>
    </tableColumn>
    <tableColumn id="4" xr3:uid="{8CCE47A5-042E-45F2-B022-BA376BE18B93}" name="Operacje" totalsRowFunction="sum" dataDxfId="20" totalsRowDxfId="21">
      <calculatedColumnFormula>SUMIFS(operacje[Kwota],operacje[Bank],wrzesień_saldo[[#This Row],[Bank]],operacje[Produkt],wrzesień_saldo[[#This Row],[Produkt]],operacje[Miesiąc],$B$11)</calculatedColumnFormula>
    </tableColumn>
    <tableColumn id="5" xr3:uid="{1EA77BBF-B849-44A4-8EC5-E70C25C2C318}" name="Saldo końcowe" totalsRowFunction="sum" dataDxfId="18" totalsRowDxfId="19">
      <calculatedColumnFormula>wrzesień_saldo[[#This Row],[Saldo początkowe]]+wrzesień_saldo[[#This Row],[Operacje]]</calculatedColumnFormula>
    </tableColumn>
  </tableColumns>
  <tableStyleInfo name="TableStyleMedium4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8F3B9C1-B9E4-4513-833A-F0E64146F47B}" name="październik_saldo" displayName="październik_saldo" ref="A1:E9" totalsRowCount="1">
  <autoFilter ref="A1:E8" xr:uid="{9E99928C-49EA-49B5-9935-4F3503684763}"/>
  <tableColumns count="5">
    <tableColumn id="1" xr3:uid="{429BED34-5DDD-4EC4-B85D-905F13D89CAD}" name="Bank" totalsRowLabel="Suma"/>
    <tableColumn id="2" xr3:uid="{050DC4AD-4940-4E96-A1A0-355135D40341}" name="Produkt"/>
    <tableColumn id="3" xr3:uid="{730EBB9B-1937-4F52-B845-E0B770CA4359}" name="Saldo początkowe" totalsRowFunction="sum" dataDxfId="16" totalsRowDxfId="17">
      <calculatedColumnFormula array="1">INDIRECT(TEXT(DATE(2025,$B$11-1,1),"mmmm")&amp;"_saldo[@[Saldo końcowe]]")</calculatedColumnFormula>
    </tableColumn>
    <tableColumn id="4" xr3:uid="{2F54AC3C-7A66-49D0-8BE2-79D81EB2CEA4}" name="Operacje" totalsRowFunction="sum" dataDxfId="14" totalsRowDxfId="15">
      <calculatedColumnFormula>SUMIFS(operacje[Kwota],operacje[Bank],październik_saldo[[#This Row],[Bank]],operacje[Produkt],październik_saldo[[#This Row],[Produkt]],operacje[Miesiąc],$B$11)</calculatedColumnFormula>
    </tableColumn>
    <tableColumn id="5" xr3:uid="{22BD71FA-1282-4F92-9DD9-56DAC42CB0CB}" name="Saldo końcowe" totalsRowFunction="sum" dataDxfId="12" totalsRowDxfId="13">
      <calculatedColumnFormula>październik_saldo[[#This Row],[Saldo początkowe]]+październik_saldo[[#This Row],[Operacje]]</calculatedColumnFormula>
    </tableColumn>
  </tableColumns>
  <tableStyleInfo name="TableStyleMedium4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D8FE37A-A7FA-4027-A982-F10D436EC06F}" name="listopad_saldo" displayName="listopad_saldo" ref="A1:E9" totalsRowCount="1">
  <autoFilter ref="A1:E8" xr:uid="{9E99928C-49EA-49B5-9935-4F3503684763}"/>
  <tableColumns count="5">
    <tableColumn id="1" xr3:uid="{F84E5B16-A9B8-451F-AAD2-D26C5E5869A4}" name="Bank" totalsRowLabel="Suma"/>
    <tableColumn id="2" xr3:uid="{E8BA6A34-706C-41CA-B0CD-3B6EA77FF5F0}" name="Produkt"/>
    <tableColumn id="3" xr3:uid="{3BE7ADBE-C2E0-463F-A7A6-BA7350FD0B16}" name="Saldo początkowe" totalsRowFunction="sum" dataDxfId="10" totalsRowDxfId="11">
      <calculatedColumnFormula array="1">INDIRECT(TEXT(DATE(2025,$B$11-1,1),"mmmm")&amp;"_saldo[@[Saldo końcowe]]")</calculatedColumnFormula>
    </tableColumn>
    <tableColumn id="4" xr3:uid="{B94A05A4-BB88-464F-8BC0-4DE9ADDF8751}" name="Operacje" totalsRowFunction="sum" dataDxfId="8" totalsRowDxfId="9">
      <calculatedColumnFormula>SUMIFS(operacje[Kwota],operacje[Bank],listopad_saldo[[#This Row],[Bank]],operacje[Produkt],listopad_saldo[[#This Row],[Produkt]],operacje[Miesiąc],$B$11)</calculatedColumnFormula>
    </tableColumn>
    <tableColumn id="5" xr3:uid="{80E959EC-1622-418C-9CE8-42A2A5223D79}" name="Saldo końcowe" totalsRowFunction="sum" dataDxfId="6" totalsRowDxfId="7">
      <calculatedColumnFormula>listopad_saldo[[#This Row],[Saldo początkowe]]+listopad_saldo[[#This Row],[Operacje]]</calculatedColumnFormula>
    </tableColumn>
  </tableColumns>
  <tableStyleInfo name="TableStyleMedium4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E976B55-7EC9-4BE7-9321-3AB6DFDC05B5}" name="grudzień_saldo" displayName="grudzień_saldo" ref="A1:E9" totalsRowCount="1">
  <autoFilter ref="A1:E8" xr:uid="{9E99928C-49EA-49B5-9935-4F3503684763}"/>
  <tableColumns count="5">
    <tableColumn id="1" xr3:uid="{299FDA2D-447B-4397-850C-C15D7F22FFB2}" name="Bank" totalsRowLabel="Suma"/>
    <tableColumn id="2" xr3:uid="{3875D9C9-EDC4-4F5E-A266-055AB4AC988A}" name="Produkt"/>
    <tableColumn id="3" xr3:uid="{3C911614-F602-4B7A-BB6E-9B1EC4BC3484}" name="Saldo początkowe" totalsRowFunction="sum" dataDxfId="4" totalsRowDxfId="5">
      <calculatedColumnFormula array="1">INDIRECT(TEXT(DATE(2025,$B$11-1,1),"mmmm")&amp;"_saldo[@[Saldo końcowe]]")</calculatedColumnFormula>
    </tableColumn>
    <tableColumn id="4" xr3:uid="{83AF7F4F-EF42-4AD8-B05D-EDFEFC6A52C4}" name="Operacje" totalsRowFunction="sum" dataDxfId="2" totalsRowDxfId="3">
      <calculatedColumnFormula>SUMIFS(operacje[Kwota],operacje[Bank],grudzień_saldo[[#This Row],[Bank]],operacje[Produkt],grudzień_saldo[[#This Row],[Produkt]],operacje[Miesiąc],$B$11)</calculatedColumnFormula>
    </tableColumn>
    <tableColumn id="5" xr3:uid="{89FBA883-9EE5-4258-B030-C2867B1D05E4}" name="Saldo końcowe" totalsRowFunction="sum" dataDxfId="0" totalsRowDxfId="1">
      <calculatedColumnFormula>grudzień_saldo[[#This Row],[Saldo początkowe]]+grudzień_saldo[[#This Row],[Operacje]]</calculatedColumn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E07F4-7261-4A7F-9183-17B238414C64}">
  <dimension ref="A1:G207"/>
  <sheetViews>
    <sheetView workbookViewId="0">
      <selection activeCell="B1" sqref="B1:C207"/>
    </sheetView>
  </sheetViews>
  <sheetFormatPr defaultRowHeight="15" x14ac:dyDescent="0.25"/>
  <cols>
    <col min="1" max="1" width="11.85546875" bestFit="1" customWidth="1"/>
    <col min="2" max="2" width="9" bestFit="1" customWidth="1"/>
    <col min="3" max="3" width="10.85546875" bestFit="1" customWidth="1"/>
    <col min="4" max="4" width="18" bestFit="1" customWidth="1"/>
    <col min="5" max="6" width="11.28515625" bestFit="1" customWidth="1"/>
    <col min="7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-1500</v>
      </c>
      <c r="B2" s="1" t="s">
        <v>7</v>
      </c>
      <c r="C2" s="1" t="s">
        <v>8</v>
      </c>
      <c r="D2" s="1" t="s">
        <v>9</v>
      </c>
      <c r="E2" s="1" t="str">
        <f>_xlfn.XLOOKUP(operacje[[#This Row],[Kategoria]],kategorie[Kategoria],kategorie[Typ],"",0)</f>
        <v>Wydatki</v>
      </c>
      <c r="F2" s="3">
        <v>45296</v>
      </c>
      <c r="G2" s="1">
        <f>IF(ISBLANK(operacje[[#This Row],[Data]]),,MONTH(operacje[[#This Row],[Data]]))</f>
        <v>1</v>
      </c>
    </row>
    <row r="3" spans="1:7" x14ac:dyDescent="0.25">
      <c r="A3" s="2">
        <v>4500</v>
      </c>
      <c r="B3" s="1" t="s">
        <v>7</v>
      </c>
      <c r="C3" s="1" t="s">
        <v>8</v>
      </c>
      <c r="D3" s="1" t="s">
        <v>11</v>
      </c>
      <c r="E3" s="1" t="str">
        <f>_xlfn.XLOOKUP(operacje[[#This Row],[Kategoria]],kategorie[Kategoria],kategorie[Typ],"",0)</f>
        <v>Wpływy</v>
      </c>
      <c r="F3" s="3">
        <v>45301</v>
      </c>
      <c r="G3" s="1">
        <f>IF(ISBLANK(operacje[[#This Row],[Data]]),,MONTH(operacje[[#This Row],[Data]]))</f>
        <v>1</v>
      </c>
    </row>
    <row r="4" spans="1:7" x14ac:dyDescent="0.25">
      <c r="A4" s="2">
        <v>-2000</v>
      </c>
      <c r="B4" s="1" t="s">
        <v>7</v>
      </c>
      <c r="C4" s="1" t="s">
        <v>8</v>
      </c>
      <c r="D4" s="1" t="s">
        <v>13</v>
      </c>
      <c r="E4" s="1" t="str">
        <f>_xlfn.XLOOKUP(operacje[[#This Row],[Kategoria]],kategorie[Kategoria],kategorie[Typ],"",0)</f>
        <v>Wydatki</v>
      </c>
      <c r="F4" s="3">
        <v>45302</v>
      </c>
      <c r="G4" s="1">
        <f>IF(ISBLANK(operacje[[#This Row],[Data]]),,MONTH(operacje[[#This Row],[Data]]))</f>
        <v>1</v>
      </c>
    </row>
    <row r="5" spans="1:7" x14ac:dyDescent="0.25">
      <c r="A5" s="2">
        <v>-45</v>
      </c>
      <c r="B5" s="1" t="s">
        <v>14</v>
      </c>
      <c r="C5" s="1" t="s">
        <v>8</v>
      </c>
      <c r="D5" s="1" t="s">
        <v>9</v>
      </c>
      <c r="E5" s="1" t="str">
        <f>_xlfn.XLOOKUP(operacje[[#This Row],[Kategoria]],kategorie[Kategoria],kategorie[Typ],"",0)</f>
        <v>Wydatki</v>
      </c>
      <c r="F5" s="3">
        <v>45305</v>
      </c>
      <c r="G5" s="1">
        <f>IF(ISBLANK(operacje[[#This Row],[Data]]),,MONTH(operacje[[#This Row],[Data]]))</f>
        <v>1</v>
      </c>
    </row>
    <row r="6" spans="1:7" x14ac:dyDescent="0.25">
      <c r="A6" s="2">
        <v>-150</v>
      </c>
      <c r="B6" s="1" t="s">
        <v>7</v>
      </c>
      <c r="C6" s="1" t="s">
        <v>15</v>
      </c>
      <c r="D6" s="1" t="s">
        <v>16</v>
      </c>
      <c r="E6" s="1" t="str">
        <f>_xlfn.XLOOKUP(operacje[[#This Row],[Kategoria]],kategorie[Kategoria],kategorie[Typ],"",0)</f>
        <v>Wydatki</v>
      </c>
      <c r="F6" s="3">
        <v>45306</v>
      </c>
      <c r="G6" s="1">
        <f>IF(ISBLANK(operacje[[#This Row],[Data]]),,MONTH(operacje[[#This Row],[Data]]))</f>
        <v>1</v>
      </c>
    </row>
    <row r="7" spans="1:7" x14ac:dyDescent="0.25">
      <c r="A7" s="2">
        <v>-120</v>
      </c>
      <c r="B7" s="1" t="s">
        <v>7</v>
      </c>
      <c r="C7" s="1" t="s">
        <v>8</v>
      </c>
      <c r="D7" s="1" t="s">
        <v>9</v>
      </c>
      <c r="E7" s="1" t="str">
        <f>_xlfn.XLOOKUP(operacje[[#This Row],[Kategoria]],kategorie[Kategoria],kategorie[Typ],"",0)</f>
        <v>Wydatki</v>
      </c>
      <c r="F7" s="3">
        <v>45307</v>
      </c>
      <c r="G7" s="1">
        <f>IF(ISBLANK(operacje[[#This Row],[Data]]),,MONTH(operacje[[#This Row],[Data]]))</f>
        <v>1</v>
      </c>
    </row>
    <row r="8" spans="1:7" x14ac:dyDescent="0.25">
      <c r="A8" s="2">
        <v>500</v>
      </c>
      <c r="B8" s="1" t="s">
        <v>7</v>
      </c>
      <c r="C8" s="1" t="s">
        <v>8</v>
      </c>
      <c r="D8" s="1" t="s">
        <v>17</v>
      </c>
      <c r="E8" s="1" t="str">
        <f>_xlfn.XLOOKUP(operacje[[#This Row],[Kategoria]],kategorie[Kategoria],kategorie[Typ],"",0)</f>
        <v>Wpływy</v>
      </c>
      <c r="F8" s="3">
        <v>45308</v>
      </c>
      <c r="G8" s="1">
        <f>IF(ISBLANK(operacje[[#This Row],[Data]]),,MONTH(operacje[[#This Row],[Data]]))</f>
        <v>1</v>
      </c>
    </row>
    <row r="9" spans="1:7" x14ac:dyDescent="0.25">
      <c r="A9" s="2">
        <v>-500</v>
      </c>
      <c r="B9" s="1" t="s">
        <v>7</v>
      </c>
      <c r="C9" s="1" t="s">
        <v>18</v>
      </c>
      <c r="D9" s="1" t="s">
        <v>19</v>
      </c>
      <c r="E9" s="1" t="str">
        <f>_xlfn.XLOOKUP(operacje[[#This Row],[Kategoria]],kategorie[Kategoria],kategorie[Typ],"",0)</f>
        <v>Wydatki</v>
      </c>
      <c r="F9" s="3">
        <v>45308</v>
      </c>
      <c r="G9" s="1">
        <f>IF(ISBLANK(operacje[[#This Row],[Data]]),,MONTH(operacje[[#This Row],[Data]]))</f>
        <v>1</v>
      </c>
    </row>
    <row r="10" spans="1:7" x14ac:dyDescent="0.25">
      <c r="A10" s="2">
        <v>250</v>
      </c>
      <c r="B10" s="1" t="s">
        <v>14</v>
      </c>
      <c r="C10" s="1" t="s">
        <v>20</v>
      </c>
      <c r="D10" s="1" t="s">
        <v>21</v>
      </c>
      <c r="E10" s="1" t="str">
        <f>_xlfn.XLOOKUP(operacje[[#This Row],[Kategoria]],kategorie[Kategoria],kategorie[Typ],"",0)</f>
        <v>Wpływy</v>
      </c>
      <c r="F10" s="3">
        <v>45308</v>
      </c>
      <c r="G10" s="1">
        <f>IF(ISBLANK(operacje[[#This Row],[Data]]),,MONTH(operacje[[#This Row],[Data]]))</f>
        <v>1</v>
      </c>
    </row>
    <row r="11" spans="1:7" x14ac:dyDescent="0.25">
      <c r="A11" s="2">
        <v>-25</v>
      </c>
      <c r="B11" s="1" t="s">
        <v>7</v>
      </c>
      <c r="C11" s="1" t="s">
        <v>15</v>
      </c>
      <c r="D11" s="1" t="s">
        <v>22</v>
      </c>
      <c r="E11" s="1" t="str">
        <f>_xlfn.XLOOKUP(operacje[[#This Row],[Kategoria]],kategorie[Kategoria],kategorie[Typ],"",0)</f>
        <v>Wydatki</v>
      </c>
      <c r="F11" s="3">
        <v>45310</v>
      </c>
      <c r="G11" s="1">
        <f>IF(ISBLANK(operacje[[#This Row],[Data]]),,MONTH(operacje[[#This Row],[Data]]))</f>
        <v>1</v>
      </c>
    </row>
    <row r="12" spans="1:7" x14ac:dyDescent="0.25">
      <c r="A12" s="2">
        <v>-80</v>
      </c>
      <c r="B12" s="1" t="s">
        <v>7</v>
      </c>
      <c r="C12" s="1" t="s">
        <v>8</v>
      </c>
      <c r="D12" s="1" t="s">
        <v>23</v>
      </c>
      <c r="E12" s="1" t="str">
        <f>_xlfn.XLOOKUP(operacje[[#This Row],[Kategoria]],kategorie[Kategoria],kategorie[Typ],"",0)</f>
        <v>Wydatki</v>
      </c>
      <c r="F12" s="3">
        <v>45311</v>
      </c>
      <c r="G12" s="1">
        <f>IF(ISBLANK(operacje[[#This Row],[Data]]),,MONTH(operacje[[#This Row],[Data]]))</f>
        <v>1</v>
      </c>
    </row>
    <row r="13" spans="1:7" x14ac:dyDescent="0.25">
      <c r="A13" s="2">
        <v>150</v>
      </c>
      <c r="B13" s="1" t="s">
        <v>14</v>
      </c>
      <c r="C13" s="1" t="s">
        <v>8</v>
      </c>
      <c r="D13" s="1" t="s">
        <v>17</v>
      </c>
      <c r="E13" s="1" t="str">
        <f>_xlfn.XLOOKUP(operacje[[#This Row],[Kategoria]],kategorie[Kategoria],kategorie[Typ],"",0)</f>
        <v>Wpływy</v>
      </c>
      <c r="F13" s="3">
        <v>45312</v>
      </c>
      <c r="G13" s="1">
        <f>IF(ISBLANK(operacje[[#This Row],[Data]]),,MONTH(operacje[[#This Row],[Data]]))</f>
        <v>1</v>
      </c>
    </row>
    <row r="14" spans="1:7" x14ac:dyDescent="0.25">
      <c r="A14" s="2">
        <v>-80</v>
      </c>
      <c r="B14" s="1" t="s">
        <v>14</v>
      </c>
      <c r="C14" s="1" t="s">
        <v>8</v>
      </c>
      <c r="D14" s="1" t="s">
        <v>24</v>
      </c>
      <c r="E14" s="1" t="str">
        <f>_xlfn.XLOOKUP(operacje[[#This Row],[Kategoria]],kategorie[Kategoria],kategorie[Typ],"",0)</f>
        <v>Wydatki</v>
      </c>
      <c r="F14" s="3">
        <v>45313</v>
      </c>
      <c r="G14" s="1">
        <f>IF(ISBLANK(operacje[[#This Row],[Data]]),,MONTH(operacje[[#This Row],[Data]]))</f>
        <v>1</v>
      </c>
    </row>
    <row r="15" spans="1:7" x14ac:dyDescent="0.25">
      <c r="A15" s="2">
        <v>-60</v>
      </c>
      <c r="B15" s="1" t="s">
        <v>14</v>
      </c>
      <c r="C15" s="1" t="s">
        <v>8</v>
      </c>
      <c r="D15" s="1" t="s">
        <v>22</v>
      </c>
      <c r="E15" s="1" t="str">
        <f>_xlfn.XLOOKUP(operacje[[#This Row],[Kategoria]],kategorie[Kategoria],kategorie[Typ],"",0)</f>
        <v>Wydatki</v>
      </c>
      <c r="F15" s="3">
        <v>45314</v>
      </c>
      <c r="G15" s="1">
        <f>IF(ISBLANK(operacje[[#This Row],[Data]]),,MONTH(operacje[[#This Row],[Data]]))</f>
        <v>1</v>
      </c>
    </row>
    <row r="16" spans="1:7" x14ac:dyDescent="0.25">
      <c r="A16" s="2">
        <v>-100</v>
      </c>
      <c r="B16" s="1" t="s">
        <v>7</v>
      </c>
      <c r="C16" s="1" t="s">
        <v>8</v>
      </c>
      <c r="D16" s="1" t="s">
        <v>25</v>
      </c>
      <c r="E16" s="1" t="str">
        <f>_xlfn.XLOOKUP(operacje[[#This Row],[Kategoria]],kategorie[Kategoria],kategorie[Typ],"",0)</f>
        <v>Wydatki</v>
      </c>
      <c r="F16" s="3">
        <v>45315</v>
      </c>
      <c r="G16" s="1">
        <f>IF(ISBLANK(operacje[[#This Row],[Data]]),,MONTH(operacje[[#This Row],[Data]]))</f>
        <v>1</v>
      </c>
    </row>
    <row r="17" spans="1:7" x14ac:dyDescent="0.25">
      <c r="A17" s="2">
        <v>-50</v>
      </c>
      <c r="B17" s="1" t="s">
        <v>26</v>
      </c>
      <c r="C17" s="1" t="s">
        <v>27</v>
      </c>
      <c r="D17" s="1" t="s">
        <v>9</v>
      </c>
      <c r="E17" s="1" t="str">
        <f>_xlfn.XLOOKUP(operacje[[#This Row],[Kategoria]],kategorie[Kategoria],kategorie[Typ],"",0)</f>
        <v>Wydatki</v>
      </c>
      <c r="F17" s="3">
        <v>45316</v>
      </c>
      <c r="G17" s="1">
        <f>IF(ISBLANK(operacje[[#This Row],[Data]]),,MONTH(operacje[[#This Row],[Data]]))</f>
        <v>1</v>
      </c>
    </row>
    <row r="18" spans="1:7" x14ac:dyDescent="0.25">
      <c r="A18" s="2">
        <v>150</v>
      </c>
      <c r="B18" s="1" t="s">
        <v>26</v>
      </c>
      <c r="C18" s="1" t="s">
        <v>28</v>
      </c>
      <c r="D18" s="1" t="s">
        <v>17</v>
      </c>
      <c r="E18" s="1" t="str">
        <f>_xlfn.XLOOKUP(operacje[[#This Row],[Kategoria]],kategorie[Kategoria],kategorie[Typ],"",0)</f>
        <v>Wpływy</v>
      </c>
      <c r="F18" s="3">
        <v>45316</v>
      </c>
      <c r="G18" s="1">
        <f>IF(ISBLANK(operacje[[#This Row],[Data]]),,MONTH(operacje[[#This Row],[Data]]))</f>
        <v>1</v>
      </c>
    </row>
    <row r="19" spans="1:7" x14ac:dyDescent="0.25">
      <c r="A19" s="2">
        <v>5.5</v>
      </c>
      <c r="B19" s="1" t="s">
        <v>14</v>
      </c>
      <c r="C19" s="1" t="s">
        <v>20</v>
      </c>
      <c r="D19" s="1" t="s">
        <v>29</v>
      </c>
      <c r="E19" s="1" t="str">
        <f>_xlfn.XLOOKUP(operacje[[#This Row],[Kategoria]],kategorie[Kategoria],kategorie[Typ],"",0)</f>
        <v>Wpływy</v>
      </c>
      <c r="F19" s="3">
        <v>45317</v>
      </c>
      <c r="G19" s="1">
        <f>IF(ISBLANK(operacje[[#This Row],[Data]]),,MONTH(operacje[[#This Row],[Data]]))</f>
        <v>1</v>
      </c>
    </row>
    <row r="20" spans="1:7" x14ac:dyDescent="0.25">
      <c r="A20" s="2">
        <v>100</v>
      </c>
      <c r="B20" s="1" t="s">
        <v>7</v>
      </c>
      <c r="C20" s="1" t="s">
        <v>18</v>
      </c>
      <c r="D20" s="1" t="s">
        <v>29</v>
      </c>
      <c r="E20" s="1" t="str">
        <f>_xlfn.XLOOKUP(operacje[[#This Row],[Kategoria]],kategorie[Kategoria],kategorie[Typ],"",0)</f>
        <v>Wpływy</v>
      </c>
      <c r="F20" s="3">
        <v>45318</v>
      </c>
      <c r="G20" s="1">
        <f>IF(ISBLANK(operacje[[#This Row],[Data]]),,MONTH(operacje[[#This Row],[Data]]))</f>
        <v>1</v>
      </c>
    </row>
    <row r="21" spans="1:7" x14ac:dyDescent="0.25">
      <c r="A21" s="2">
        <v>-100</v>
      </c>
      <c r="B21" s="1" t="s">
        <v>7</v>
      </c>
      <c r="C21" s="1" t="s">
        <v>8</v>
      </c>
      <c r="D21" s="1" t="s">
        <v>30</v>
      </c>
      <c r="E21" s="1" t="str">
        <f>_xlfn.XLOOKUP(operacje[[#This Row],[Kategoria]],kategorie[Kategoria],kategorie[Typ],"",0)</f>
        <v>Wydatki</v>
      </c>
      <c r="F21" s="3">
        <v>45319</v>
      </c>
      <c r="G21" s="1">
        <f>IF(ISBLANK(operacje[[#This Row],[Data]]),,MONTH(operacje[[#This Row],[Data]]))</f>
        <v>1</v>
      </c>
    </row>
    <row r="22" spans="1:7" x14ac:dyDescent="0.25">
      <c r="A22" s="2">
        <v>200</v>
      </c>
      <c r="B22" s="1" t="s">
        <v>14</v>
      </c>
      <c r="C22" s="1" t="s">
        <v>8</v>
      </c>
      <c r="D22" s="1" t="s">
        <v>17</v>
      </c>
      <c r="E22" s="1" t="str">
        <f>_xlfn.XLOOKUP(operacje[[#This Row],[Kategoria]],kategorie[Kategoria],kategorie[Typ],"",0)</f>
        <v>Wpływy</v>
      </c>
      <c r="F22" s="3">
        <v>45324</v>
      </c>
      <c r="G22" s="1">
        <f>IF(ISBLANK(operacje[[#This Row],[Data]]),,MONTH(operacje[[#This Row],[Data]]))</f>
        <v>2</v>
      </c>
    </row>
    <row r="23" spans="1:7" x14ac:dyDescent="0.25">
      <c r="A23" s="2">
        <v>-15</v>
      </c>
      <c r="B23" s="1" t="s">
        <v>14</v>
      </c>
      <c r="C23" s="1" t="s">
        <v>8</v>
      </c>
      <c r="D23" s="1" t="s">
        <v>19</v>
      </c>
      <c r="E23" s="1" t="str">
        <f>_xlfn.XLOOKUP(operacje[[#This Row],[Kategoria]],kategorie[Kategoria],kategorie[Typ],"",0)</f>
        <v>Wydatki</v>
      </c>
      <c r="F23" s="3">
        <v>45326</v>
      </c>
      <c r="G23" s="1">
        <f>IF(ISBLANK(operacje[[#This Row],[Data]]),,MONTH(operacje[[#This Row],[Data]]))</f>
        <v>2</v>
      </c>
    </row>
    <row r="24" spans="1:7" x14ac:dyDescent="0.25">
      <c r="A24" s="2">
        <v>-5.5</v>
      </c>
      <c r="B24" s="1" t="s">
        <v>7</v>
      </c>
      <c r="C24" s="1" t="s">
        <v>8</v>
      </c>
      <c r="D24" s="1" t="s">
        <v>9</v>
      </c>
      <c r="E24" s="1" t="str">
        <f>_xlfn.XLOOKUP(operacje[[#This Row],[Kategoria]],kategorie[Kategoria],kategorie[Typ],"",0)</f>
        <v>Wydatki</v>
      </c>
      <c r="F24" s="3">
        <v>45328</v>
      </c>
      <c r="G24" s="1">
        <f>IF(ISBLANK(operacje[[#This Row],[Data]]),,MONTH(operacje[[#This Row],[Data]]))</f>
        <v>2</v>
      </c>
    </row>
    <row r="25" spans="1:7" x14ac:dyDescent="0.25">
      <c r="A25" s="2">
        <v>4500</v>
      </c>
      <c r="B25" s="1" t="s">
        <v>7</v>
      </c>
      <c r="C25" s="1" t="s">
        <v>8</v>
      </c>
      <c r="D25" s="1" t="s">
        <v>11</v>
      </c>
      <c r="E25" s="1" t="str">
        <f>_xlfn.XLOOKUP(operacje[[#This Row],[Kategoria]],kategorie[Kategoria],kategorie[Typ],"",0)</f>
        <v>Wpływy</v>
      </c>
      <c r="F25" s="3">
        <v>45332</v>
      </c>
      <c r="G25" s="1">
        <f>IF(ISBLANK(operacje[[#This Row],[Data]]),,MONTH(operacje[[#This Row],[Data]]))</f>
        <v>2</v>
      </c>
    </row>
    <row r="26" spans="1:7" x14ac:dyDescent="0.25">
      <c r="A26" s="2">
        <v>-2000</v>
      </c>
      <c r="B26" s="1" t="s">
        <v>7</v>
      </c>
      <c r="C26" s="1" t="s">
        <v>8</v>
      </c>
      <c r="D26" s="1" t="s">
        <v>13</v>
      </c>
      <c r="E26" s="1" t="str">
        <f>_xlfn.XLOOKUP(operacje[[#This Row],[Kategoria]],kategorie[Kategoria],kategorie[Typ],"",0)</f>
        <v>Wydatki</v>
      </c>
      <c r="F26" s="3">
        <v>45333</v>
      </c>
      <c r="G26" s="1">
        <f>IF(ISBLANK(operacje[[#This Row],[Data]]),,MONTH(operacje[[#This Row],[Data]]))</f>
        <v>2</v>
      </c>
    </row>
    <row r="27" spans="1:7" x14ac:dyDescent="0.25">
      <c r="A27" s="2">
        <v>-150</v>
      </c>
      <c r="B27" s="1" t="s">
        <v>7</v>
      </c>
      <c r="C27" s="1" t="s">
        <v>8</v>
      </c>
      <c r="D27" s="1" t="s">
        <v>22</v>
      </c>
      <c r="E27" s="1" t="str">
        <f>_xlfn.XLOOKUP(operacje[[#This Row],[Kategoria]],kategorie[Kategoria],kategorie[Typ],"",0)</f>
        <v>Wydatki</v>
      </c>
      <c r="F27" s="3">
        <v>45335</v>
      </c>
      <c r="G27" s="1">
        <f>IF(ISBLANK(operacje[[#This Row],[Data]]),,MONTH(operacje[[#This Row],[Data]]))</f>
        <v>2</v>
      </c>
    </row>
    <row r="28" spans="1:7" x14ac:dyDescent="0.25">
      <c r="A28" s="2">
        <v>500</v>
      </c>
      <c r="B28" s="1" t="s">
        <v>7</v>
      </c>
      <c r="C28" s="1" t="s">
        <v>8</v>
      </c>
      <c r="D28" s="1" t="s">
        <v>17</v>
      </c>
      <c r="E28" s="1" t="str">
        <f>_xlfn.XLOOKUP(operacje[[#This Row],[Kategoria]],kategorie[Kategoria],kategorie[Typ],"",0)</f>
        <v>Wpływy</v>
      </c>
      <c r="F28" s="3">
        <v>45336</v>
      </c>
      <c r="G28" s="1">
        <f>IF(ISBLANK(operacje[[#This Row],[Data]]),,MONTH(operacje[[#This Row],[Data]]))</f>
        <v>2</v>
      </c>
    </row>
    <row r="29" spans="1:7" x14ac:dyDescent="0.25">
      <c r="A29" s="2">
        <v>-300</v>
      </c>
      <c r="B29" s="1" t="s">
        <v>7</v>
      </c>
      <c r="C29" s="1" t="s">
        <v>8</v>
      </c>
      <c r="D29" s="1" t="s">
        <v>9</v>
      </c>
      <c r="E29" s="1" t="str">
        <f>_xlfn.XLOOKUP(operacje[[#This Row],[Kategoria]],kategorie[Kategoria],kategorie[Typ],"",0)</f>
        <v>Wydatki</v>
      </c>
      <c r="F29" s="3">
        <v>45336</v>
      </c>
      <c r="G29" s="1">
        <f>IF(ISBLANK(operacje[[#This Row],[Data]]),,MONTH(operacje[[#This Row],[Data]]))</f>
        <v>2</v>
      </c>
    </row>
    <row r="30" spans="1:7" x14ac:dyDescent="0.25">
      <c r="A30" s="2">
        <v>-500</v>
      </c>
      <c r="B30" s="1" t="s">
        <v>7</v>
      </c>
      <c r="C30" s="1" t="s">
        <v>18</v>
      </c>
      <c r="D30" s="1" t="s">
        <v>19</v>
      </c>
      <c r="E30" s="1" t="str">
        <f>_xlfn.XLOOKUP(operacje[[#This Row],[Kategoria]],kategorie[Kategoria],kategorie[Typ],"",0)</f>
        <v>Wydatki</v>
      </c>
      <c r="F30" s="3">
        <v>45336</v>
      </c>
      <c r="G30" s="1">
        <f>IF(ISBLANK(operacje[[#This Row],[Data]]),,MONTH(operacje[[#This Row],[Data]]))</f>
        <v>2</v>
      </c>
    </row>
    <row r="31" spans="1:7" x14ac:dyDescent="0.25">
      <c r="A31" s="2">
        <v>-200</v>
      </c>
      <c r="B31" s="1" t="s">
        <v>26</v>
      </c>
      <c r="C31" s="1" t="s">
        <v>28</v>
      </c>
      <c r="D31" s="1" t="s">
        <v>19</v>
      </c>
      <c r="E31" s="1" t="str">
        <f>_xlfn.XLOOKUP(operacje[[#This Row],[Kategoria]],kategorie[Kategoria],kategorie[Typ],"",0)</f>
        <v>Wydatki</v>
      </c>
      <c r="F31" s="3">
        <v>45336</v>
      </c>
      <c r="G31" s="1">
        <f>IF(ISBLANK(operacje[[#This Row],[Data]]),,MONTH(operacje[[#This Row],[Data]]))</f>
        <v>2</v>
      </c>
    </row>
    <row r="32" spans="1:7" x14ac:dyDescent="0.25">
      <c r="A32" s="2">
        <v>175</v>
      </c>
      <c r="B32" s="1" t="s">
        <v>7</v>
      </c>
      <c r="C32" s="1" t="s">
        <v>15</v>
      </c>
      <c r="D32" s="1" t="s">
        <v>31</v>
      </c>
      <c r="E32" s="1" t="str">
        <f>_xlfn.XLOOKUP(operacje[[#This Row],[Kategoria]],kategorie[Kategoria],kategorie[Typ],"",0)</f>
        <v>Transfer</v>
      </c>
      <c r="F32" s="3">
        <v>45337</v>
      </c>
      <c r="G32" s="1">
        <f>IF(ISBLANK(operacje[[#This Row],[Data]]),,MONTH(operacje[[#This Row],[Data]]))</f>
        <v>2</v>
      </c>
    </row>
    <row r="33" spans="1:7" x14ac:dyDescent="0.25">
      <c r="A33" s="2">
        <v>-175</v>
      </c>
      <c r="B33" s="1" t="s">
        <v>7</v>
      </c>
      <c r="C33" s="1" t="s">
        <v>8</v>
      </c>
      <c r="D33" s="1" t="s">
        <v>31</v>
      </c>
      <c r="E33" s="1" t="str">
        <f>_xlfn.XLOOKUP(operacje[[#This Row],[Kategoria]],kategorie[Kategoria],kategorie[Typ],"",0)</f>
        <v>Transfer</v>
      </c>
      <c r="F33" s="3">
        <v>45337</v>
      </c>
      <c r="G33" s="1">
        <f>IF(ISBLANK(operacje[[#This Row],[Data]]),,MONTH(operacje[[#This Row],[Data]]))</f>
        <v>2</v>
      </c>
    </row>
    <row r="34" spans="1:7" x14ac:dyDescent="0.25">
      <c r="A34" s="2">
        <v>-100</v>
      </c>
      <c r="B34" s="1" t="s">
        <v>7</v>
      </c>
      <c r="C34" s="1" t="s">
        <v>8</v>
      </c>
      <c r="D34" s="1" t="s">
        <v>25</v>
      </c>
      <c r="E34" s="1" t="str">
        <f>_xlfn.XLOOKUP(operacje[[#This Row],[Kategoria]],kategorie[Kategoria],kategorie[Typ],"",0)</f>
        <v>Wydatki</v>
      </c>
      <c r="F34" s="3">
        <v>45339</v>
      </c>
      <c r="G34" s="1">
        <f>IF(ISBLANK(operacje[[#This Row],[Data]]),,MONTH(operacje[[#This Row],[Data]]))</f>
        <v>2</v>
      </c>
    </row>
    <row r="35" spans="1:7" x14ac:dyDescent="0.25">
      <c r="A35" s="2">
        <v>-80</v>
      </c>
      <c r="B35" s="1" t="s">
        <v>7</v>
      </c>
      <c r="C35" s="1" t="s">
        <v>8</v>
      </c>
      <c r="D35" s="1" t="s">
        <v>23</v>
      </c>
      <c r="E35" s="1" t="str">
        <f>_xlfn.XLOOKUP(operacje[[#This Row],[Kategoria]],kategorie[Kategoria],kategorie[Typ],"",0)</f>
        <v>Wydatki</v>
      </c>
      <c r="F35" s="3">
        <v>45342</v>
      </c>
      <c r="G35" s="1">
        <f>IF(ISBLANK(operacje[[#This Row],[Data]]),,MONTH(operacje[[#This Row],[Data]]))</f>
        <v>2</v>
      </c>
    </row>
    <row r="36" spans="1:7" x14ac:dyDescent="0.25">
      <c r="A36" s="2">
        <v>150</v>
      </c>
      <c r="B36" s="1" t="s">
        <v>26</v>
      </c>
      <c r="C36" s="1" t="s">
        <v>28</v>
      </c>
      <c r="D36" s="1" t="s">
        <v>17</v>
      </c>
      <c r="E36" s="1" t="str">
        <f>_xlfn.XLOOKUP(operacje[[#This Row],[Kategoria]],kategorie[Kategoria],kategorie[Typ],"",0)</f>
        <v>Wpływy</v>
      </c>
      <c r="F36" s="3">
        <v>45344</v>
      </c>
      <c r="G36" s="1">
        <f>IF(ISBLANK(operacje[[#This Row],[Data]]),,MONTH(operacje[[#This Row],[Data]]))</f>
        <v>2</v>
      </c>
    </row>
    <row r="37" spans="1:7" x14ac:dyDescent="0.25">
      <c r="A37" s="2">
        <v>100</v>
      </c>
      <c r="B37" s="1" t="s">
        <v>26</v>
      </c>
      <c r="C37" s="1" t="s">
        <v>27</v>
      </c>
      <c r="D37" s="1" t="s">
        <v>17</v>
      </c>
      <c r="E37" s="1" t="str">
        <f>_xlfn.XLOOKUP(operacje[[#This Row],[Kategoria]],kategorie[Kategoria],kategorie[Typ],"",0)</f>
        <v>Wpływy</v>
      </c>
      <c r="F37" s="3">
        <v>45345</v>
      </c>
      <c r="G37" s="1">
        <f>IF(ISBLANK(operacje[[#This Row],[Data]]),,MONTH(operacje[[#This Row],[Data]]))</f>
        <v>2</v>
      </c>
    </row>
    <row r="38" spans="1:7" x14ac:dyDescent="0.25">
      <c r="A38" s="2">
        <v>-200</v>
      </c>
      <c r="B38" s="1" t="s">
        <v>26</v>
      </c>
      <c r="C38" s="1" t="s">
        <v>28</v>
      </c>
      <c r="D38" s="1" t="s">
        <v>22</v>
      </c>
      <c r="E38" s="1" t="str">
        <f>_xlfn.XLOOKUP(operacje[[#This Row],[Kategoria]],kategorie[Kategoria],kategorie[Typ],"",0)</f>
        <v>Wydatki</v>
      </c>
      <c r="F38" s="3">
        <v>45346</v>
      </c>
      <c r="G38" s="1">
        <f>IF(ISBLANK(operacje[[#This Row],[Data]]),,MONTH(operacje[[#This Row],[Data]]))</f>
        <v>2</v>
      </c>
    </row>
    <row r="39" spans="1:7" x14ac:dyDescent="0.25">
      <c r="A39" s="2">
        <v>1000</v>
      </c>
      <c r="B39" s="1" t="s">
        <v>26</v>
      </c>
      <c r="C39" s="1" t="s">
        <v>28</v>
      </c>
      <c r="D39" s="1" t="s">
        <v>17</v>
      </c>
      <c r="E39" s="1" t="str">
        <f>_xlfn.XLOOKUP(operacje[[#This Row],[Kategoria]],kategorie[Kategoria],kategorie[Typ],"",0)</f>
        <v>Wpływy</v>
      </c>
      <c r="F39" s="3">
        <v>45347</v>
      </c>
      <c r="G39" s="1">
        <f>IF(ISBLANK(operacje[[#This Row],[Data]]),,MONTH(operacje[[#This Row],[Data]]))</f>
        <v>2</v>
      </c>
    </row>
    <row r="40" spans="1:7" x14ac:dyDescent="0.25">
      <c r="A40" s="2">
        <v>-250</v>
      </c>
      <c r="B40" s="1" t="s">
        <v>26</v>
      </c>
      <c r="C40" s="1" t="s">
        <v>28</v>
      </c>
      <c r="D40" s="1" t="s">
        <v>30</v>
      </c>
      <c r="E40" s="1" t="str">
        <f>_xlfn.XLOOKUP(operacje[[#This Row],[Kategoria]],kategorie[Kategoria],kategorie[Typ],"",0)</f>
        <v>Wydatki</v>
      </c>
      <c r="F40" s="3">
        <v>45347</v>
      </c>
      <c r="G40" s="1">
        <f>IF(ISBLANK(operacje[[#This Row],[Data]]),,MONTH(operacje[[#This Row],[Data]]))</f>
        <v>2</v>
      </c>
    </row>
    <row r="41" spans="1:7" x14ac:dyDescent="0.25">
      <c r="A41" s="2">
        <v>-100</v>
      </c>
      <c r="B41" s="1" t="s">
        <v>14</v>
      </c>
      <c r="C41" s="1" t="s">
        <v>8</v>
      </c>
      <c r="D41" s="1" t="s">
        <v>9</v>
      </c>
      <c r="E41" s="1" t="str">
        <f>_xlfn.XLOOKUP(operacje[[#This Row],[Kategoria]],kategorie[Kategoria],kategorie[Typ],"",0)</f>
        <v>Wydatki</v>
      </c>
      <c r="F41" s="3">
        <v>45348</v>
      </c>
      <c r="G41" s="1">
        <f>IF(ISBLANK(operacje[[#This Row],[Data]]),,MONTH(operacje[[#This Row],[Data]]))</f>
        <v>2</v>
      </c>
    </row>
    <row r="42" spans="1:7" x14ac:dyDescent="0.25">
      <c r="A42" s="2">
        <v>-50</v>
      </c>
      <c r="B42" s="1" t="s">
        <v>14</v>
      </c>
      <c r="C42" s="1" t="s">
        <v>8</v>
      </c>
      <c r="D42" s="1" t="s">
        <v>19</v>
      </c>
      <c r="E42" s="1" t="str">
        <f>_xlfn.XLOOKUP(operacje[[#This Row],[Kategoria]],kategorie[Kategoria],kategorie[Typ],"",0)</f>
        <v>Wydatki</v>
      </c>
      <c r="F42" s="3">
        <v>45348</v>
      </c>
      <c r="G42" s="1">
        <f>IF(ISBLANK(operacje[[#This Row],[Data]]),,MONTH(operacje[[#This Row],[Data]]))</f>
        <v>2</v>
      </c>
    </row>
    <row r="43" spans="1:7" x14ac:dyDescent="0.25">
      <c r="A43" s="2">
        <v>15</v>
      </c>
      <c r="B43" s="1" t="s">
        <v>14</v>
      </c>
      <c r="C43" s="1" t="s">
        <v>20</v>
      </c>
      <c r="D43" s="1" t="s">
        <v>29</v>
      </c>
      <c r="E43" s="1" t="str">
        <f>_xlfn.XLOOKUP(operacje[[#This Row],[Kategoria]],kategorie[Kategoria],kategorie[Typ],"",0)</f>
        <v>Wpływy</v>
      </c>
      <c r="F43" s="3">
        <v>45349</v>
      </c>
      <c r="G43" s="1">
        <f>IF(ISBLANK(operacje[[#This Row],[Data]]),,MONTH(operacje[[#This Row],[Data]]))</f>
        <v>2</v>
      </c>
    </row>
    <row r="44" spans="1:7" x14ac:dyDescent="0.25">
      <c r="A44" s="2">
        <v>-150</v>
      </c>
      <c r="B44" s="1" t="s">
        <v>7</v>
      </c>
      <c r="C44" s="1" t="s">
        <v>8</v>
      </c>
      <c r="D44" s="1" t="s">
        <v>16</v>
      </c>
      <c r="E44" s="1" t="str">
        <f>_xlfn.XLOOKUP(operacje[[#This Row],[Kategoria]],kategorie[Kategoria],kategorie[Typ],"",0)</f>
        <v>Wydatki</v>
      </c>
      <c r="F44" s="3">
        <v>45350</v>
      </c>
      <c r="G44" s="1">
        <f>IF(ISBLANK(operacje[[#This Row],[Data]]),,MONTH(operacje[[#This Row],[Data]]))</f>
        <v>2</v>
      </c>
    </row>
    <row r="45" spans="1:7" x14ac:dyDescent="0.25">
      <c r="A45" s="2">
        <v>100</v>
      </c>
      <c r="B45" s="1" t="s">
        <v>7</v>
      </c>
      <c r="C45" s="1" t="s">
        <v>18</v>
      </c>
      <c r="D45" s="1" t="s">
        <v>29</v>
      </c>
      <c r="E45" s="1" t="str">
        <f>_xlfn.XLOOKUP(operacje[[#This Row],[Kategoria]],kategorie[Kategoria],kategorie[Typ],"",0)</f>
        <v>Wpływy</v>
      </c>
      <c r="F45" s="3">
        <v>45350</v>
      </c>
      <c r="G45" s="1">
        <f>IF(ISBLANK(operacje[[#This Row],[Data]]),,MONTH(operacje[[#This Row],[Data]]))</f>
        <v>2</v>
      </c>
    </row>
    <row r="46" spans="1:7" x14ac:dyDescent="0.25">
      <c r="A46" s="2">
        <v>-25</v>
      </c>
      <c r="B46" s="1" t="s">
        <v>7</v>
      </c>
      <c r="C46" s="1" t="s">
        <v>15</v>
      </c>
      <c r="D46" s="1" t="s">
        <v>9</v>
      </c>
      <c r="E46" s="1" t="str">
        <f>_xlfn.XLOOKUP(operacje[[#This Row],[Kategoria]],kategorie[Kategoria],kategorie[Typ],"",0)</f>
        <v>Wydatki</v>
      </c>
      <c r="F46" s="3">
        <v>45352</v>
      </c>
      <c r="G46" s="1">
        <f>IF(ISBLANK(operacje[[#This Row],[Data]]),,MONTH(operacje[[#This Row],[Data]]))</f>
        <v>3</v>
      </c>
    </row>
    <row r="47" spans="1:7" x14ac:dyDescent="0.25">
      <c r="A47" s="2">
        <v>-135.5</v>
      </c>
      <c r="B47" s="1" t="s">
        <v>7</v>
      </c>
      <c r="C47" s="1" t="s">
        <v>8</v>
      </c>
      <c r="D47" s="1" t="s">
        <v>9</v>
      </c>
      <c r="E47" s="1" t="str">
        <f>_xlfn.XLOOKUP(operacje[[#This Row],[Kategoria]],kategorie[Kategoria],kategorie[Typ],"",0)</f>
        <v>Wydatki</v>
      </c>
      <c r="F47" s="3">
        <v>45353</v>
      </c>
      <c r="G47" s="1">
        <f>IF(ISBLANK(operacje[[#This Row],[Data]]),,MONTH(operacje[[#This Row],[Data]]))</f>
        <v>3</v>
      </c>
    </row>
    <row r="48" spans="1:7" x14ac:dyDescent="0.25">
      <c r="A48" s="2">
        <v>-82.5</v>
      </c>
      <c r="B48" s="1" t="s">
        <v>14</v>
      </c>
      <c r="C48" s="1" t="s">
        <v>8</v>
      </c>
      <c r="D48" s="1" t="s">
        <v>23</v>
      </c>
      <c r="E48" s="1" t="str">
        <f>_xlfn.XLOOKUP(operacje[[#This Row],[Kategoria]],kategorie[Kategoria],kategorie[Typ],"",0)</f>
        <v>Wydatki</v>
      </c>
      <c r="F48" s="3">
        <v>45353</v>
      </c>
      <c r="G48" s="1">
        <f>IF(ISBLANK(operacje[[#This Row],[Data]]),,MONTH(operacje[[#This Row],[Data]]))</f>
        <v>3</v>
      </c>
    </row>
    <row r="49" spans="1:7" x14ac:dyDescent="0.25">
      <c r="A49" s="2">
        <v>-200</v>
      </c>
      <c r="B49" s="1" t="s">
        <v>7</v>
      </c>
      <c r="C49" s="1" t="s">
        <v>8</v>
      </c>
      <c r="D49" s="1" t="s">
        <v>22</v>
      </c>
      <c r="E49" s="1" t="str">
        <f>_xlfn.XLOOKUP(operacje[[#This Row],[Kategoria]],kategorie[Kategoria],kategorie[Typ],"",0)</f>
        <v>Wydatki</v>
      </c>
      <c r="F49" s="3">
        <v>45355</v>
      </c>
      <c r="G49" s="1">
        <f>IF(ISBLANK(operacje[[#This Row],[Data]]),,MONTH(operacje[[#This Row],[Data]]))</f>
        <v>3</v>
      </c>
    </row>
    <row r="50" spans="1:7" x14ac:dyDescent="0.25">
      <c r="A50" s="2">
        <v>150</v>
      </c>
      <c r="B50" s="1" t="s">
        <v>14</v>
      </c>
      <c r="C50" s="1" t="s">
        <v>8</v>
      </c>
      <c r="D50" s="1" t="s">
        <v>29</v>
      </c>
      <c r="E50" s="1" t="str">
        <f>_xlfn.XLOOKUP(operacje[[#This Row],[Kategoria]],kategorie[Kategoria],kategorie[Typ],"",0)</f>
        <v>Wpływy</v>
      </c>
      <c r="F50" s="3">
        <v>45357</v>
      </c>
      <c r="G50" s="1">
        <f>IF(ISBLANK(operacje[[#This Row],[Data]]),,MONTH(operacje[[#This Row],[Data]]))</f>
        <v>3</v>
      </c>
    </row>
    <row r="51" spans="1:7" x14ac:dyDescent="0.25">
      <c r="A51" s="2">
        <v>-24.49</v>
      </c>
      <c r="B51" s="1" t="s">
        <v>26</v>
      </c>
      <c r="C51" s="1" t="s">
        <v>27</v>
      </c>
      <c r="D51" s="1" t="s">
        <v>9</v>
      </c>
      <c r="E51" s="1" t="str">
        <f>_xlfn.XLOOKUP(operacje[[#This Row],[Kategoria]],kategorie[Kategoria],kategorie[Typ],"",0)</f>
        <v>Wydatki</v>
      </c>
      <c r="F51" s="3">
        <v>45359</v>
      </c>
      <c r="G51" s="1">
        <f>IF(ISBLANK(operacje[[#This Row],[Data]]),,MONTH(operacje[[#This Row],[Data]]))</f>
        <v>3</v>
      </c>
    </row>
    <row r="52" spans="1:7" x14ac:dyDescent="0.25">
      <c r="A52" s="2">
        <v>4500</v>
      </c>
      <c r="B52" s="1" t="s">
        <v>7</v>
      </c>
      <c r="C52" s="1" t="s">
        <v>8</v>
      </c>
      <c r="D52" s="1" t="s">
        <v>11</v>
      </c>
      <c r="E52" s="1" t="str">
        <f>_xlfn.XLOOKUP(operacje[[#This Row],[Kategoria]],kategorie[Kategoria],kategorie[Typ],"",0)</f>
        <v>Wpływy</v>
      </c>
      <c r="F52" s="3">
        <v>45361</v>
      </c>
      <c r="G52" s="1">
        <f>IF(ISBLANK(operacje[[#This Row],[Data]]),,MONTH(operacje[[#This Row],[Data]]))</f>
        <v>3</v>
      </c>
    </row>
    <row r="53" spans="1:7" x14ac:dyDescent="0.25">
      <c r="A53" s="2">
        <v>-2000</v>
      </c>
      <c r="B53" s="1" t="s">
        <v>7</v>
      </c>
      <c r="C53" s="1" t="s">
        <v>8</v>
      </c>
      <c r="D53" s="1" t="s">
        <v>13</v>
      </c>
      <c r="E53" s="1" t="str">
        <f>_xlfn.XLOOKUP(operacje[[#This Row],[Kategoria]],kategorie[Kategoria],kategorie[Typ],"",0)</f>
        <v>Wydatki</v>
      </c>
      <c r="F53" s="3">
        <v>45362</v>
      </c>
      <c r="G53" s="1">
        <f>IF(ISBLANK(operacje[[#This Row],[Data]]),,MONTH(operacje[[#This Row],[Data]]))</f>
        <v>3</v>
      </c>
    </row>
    <row r="54" spans="1:7" x14ac:dyDescent="0.25">
      <c r="A54" s="2">
        <v>-200</v>
      </c>
      <c r="B54" s="1" t="s">
        <v>7</v>
      </c>
      <c r="C54" s="1" t="s">
        <v>8</v>
      </c>
      <c r="D54" s="1" t="s">
        <v>9</v>
      </c>
      <c r="E54" s="1" t="str">
        <f>_xlfn.XLOOKUP(operacje[[#This Row],[Kategoria]],kategorie[Kategoria],kategorie[Typ],"",0)</f>
        <v>Wydatki</v>
      </c>
      <c r="F54" s="3">
        <v>45363</v>
      </c>
      <c r="G54" s="1">
        <f>IF(ISBLANK(operacje[[#This Row],[Data]]),,MONTH(operacje[[#This Row],[Data]]))</f>
        <v>3</v>
      </c>
    </row>
    <row r="55" spans="1:7" x14ac:dyDescent="0.25">
      <c r="A55" s="2">
        <v>-469.9</v>
      </c>
      <c r="B55" s="1" t="s">
        <v>7</v>
      </c>
      <c r="C55" s="1" t="s">
        <v>8</v>
      </c>
      <c r="D55" s="1" t="s">
        <v>24</v>
      </c>
      <c r="E55" s="1" t="str">
        <f>_xlfn.XLOOKUP(operacje[[#This Row],[Kategoria]],kategorie[Kategoria],kategorie[Typ],"",0)</f>
        <v>Wydatki</v>
      </c>
      <c r="F55" s="3">
        <v>45364</v>
      </c>
      <c r="G55" s="1">
        <f>IF(ISBLANK(operacje[[#This Row],[Data]]),,MONTH(operacje[[#This Row],[Data]]))</f>
        <v>3</v>
      </c>
    </row>
    <row r="56" spans="1:7" x14ac:dyDescent="0.25">
      <c r="A56" s="2">
        <v>-9.5</v>
      </c>
      <c r="B56" s="1" t="s">
        <v>26</v>
      </c>
      <c r="C56" s="1" t="s">
        <v>28</v>
      </c>
      <c r="D56" s="1" t="s">
        <v>30</v>
      </c>
      <c r="E56" s="1" t="str">
        <f>_xlfn.XLOOKUP(operacje[[#This Row],[Kategoria]],kategorie[Kategoria],kategorie[Typ],"",0)</f>
        <v>Wydatki</v>
      </c>
      <c r="F56" s="3">
        <v>45368</v>
      </c>
      <c r="G56" s="1">
        <f>IF(ISBLANK(operacje[[#This Row],[Data]]),,MONTH(operacje[[#This Row],[Data]]))</f>
        <v>3</v>
      </c>
    </row>
    <row r="57" spans="1:7" x14ac:dyDescent="0.25">
      <c r="A57" s="2">
        <v>-23</v>
      </c>
      <c r="B57" s="1" t="s">
        <v>7</v>
      </c>
      <c r="C57" s="1" t="s">
        <v>8</v>
      </c>
      <c r="D57" s="1" t="s">
        <v>16</v>
      </c>
      <c r="E57" s="1" t="str">
        <f>_xlfn.XLOOKUP(operacje[[#This Row],[Kategoria]],kategorie[Kategoria],kategorie[Typ],"",0)</f>
        <v>Wydatki</v>
      </c>
      <c r="F57" s="3">
        <v>45371</v>
      </c>
      <c r="G57" s="1">
        <f>IF(ISBLANK(operacje[[#This Row],[Data]]),,MONTH(operacje[[#This Row],[Data]]))</f>
        <v>3</v>
      </c>
    </row>
    <row r="58" spans="1:7" x14ac:dyDescent="0.25">
      <c r="A58" s="2">
        <v>-150</v>
      </c>
      <c r="B58" s="1" t="s">
        <v>7</v>
      </c>
      <c r="C58" s="1" t="s">
        <v>8</v>
      </c>
      <c r="D58" s="1" t="s">
        <v>9</v>
      </c>
      <c r="E58" s="1" t="str">
        <f>_xlfn.XLOOKUP(operacje[[#This Row],[Kategoria]],kategorie[Kategoria],kategorie[Typ],"",0)</f>
        <v>Wydatki</v>
      </c>
      <c r="F58" s="3">
        <v>45373</v>
      </c>
      <c r="G58" s="1">
        <f>IF(ISBLANK(operacje[[#This Row],[Data]]),,MONTH(operacje[[#This Row],[Data]]))</f>
        <v>3</v>
      </c>
    </row>
    <row r="59" spans="1:7" x14ac:dyDescent="0.25">
      <c r="A59" s="2">
        <v>-300</v>
      </c>
      <c r="B59" s="1" t="s">
        <v>7</v>
      </c>
      <c r="C59" s="1" t="s">
        <v>8</v>
      </c>
      <c r="D59" s="1" t="s">
        <v>19</v>
      </c>
      <c r="E59" s="1" t="str">
        <f>_xlfn.XLOOKUP(operacje[[#This Row],[Kategoria]],kategorie[Kategoria],kategorie[Typ],"",0)</f>
        <v>Wydatki</v>
      </c>
      <c r="F59" s="3">
        <v>45375</v>
      </c>
      <c r="G59" s="1">
        <f>IF(ISBLANK(operacje[[#This Row],[Data]]),,MONTH(operacje[[#This Row],[Data]]))</f>
        <v>3</v>
      </c>
    </row>
    <row r="60" spans="1:7" x14ac:dyDescent="0.25">
      <c r="A60" s="2">
        <v>5</v>
      </c>
      <c r="B60" s="1" t="s">
        <v>14</v>
      </c>
      <c r="C60" s="1" t="s">
        <v>20</v>
      </c>
      <c r="D60" s="1" t="s">
        <v>32</v>
      </c>
      <c r="E60" s="1" t="str">
        <f>_xlfn.XLOOKUP(operacje[[#This Row],[Kategoria]],kategorie[Kategoria],kategorie[Typ],"",0)</f>
        <v>Wpływy</v>
      </c>
      <c r="F60" s="3">
        <v>45377</v>
      </c>
      <c r="G60" s="1">
        <f>IF(ISBLANK(operacje[[#This Row],[Data]]),,MONTH(operacje[[#This Row],[Data]]))</f>
        <v>3</v>
      </c>
    </row>
    <row r="61" spans="1:7" x14ac:dyDescent="0.25">
      <c r="A61" s="2">
        <v>-79.5</v>
      </c>
      <c r="B61" s="1" t="s">
        <v>7</v>
      </c>
      <c r="C61" s="1" t="s">
        <v>15</v>
      </c>
      <c r="D61" s="1" t="s">
        <v>25</v>
      </c>
      <c r="E61" s="1" t="str">
        <f>_xlfn.XLOOKUP(operacje[[#This Row],[Kategoria]],kategorie[Kategoria],kategorie[Typ],"",0)</f>
        <v>Wydatki</v>
      </c>
      <c r="F61" s="3">
        <v>45379</v>
      </c>
      <c r="G61" s="1">
        <f>IF(ISBLANK(operacje[[#This Row],[Data]]),,MONTH(operacje[[#This Row],[Data]]))</f>
        <v>3</v>
      </c>
    </row>
    <row r="62" spans="1:7" x14ac:dyDescent="0.25">
      <c r="A62" s="2">
        <v>-200</v>
      </c>
      <c r="B62" s="1" t="s">
        <v>7</v>
      </c>
      <c r="C62" s="1" t="s">
        <v>8</v>
      </c>
      <c r="D62" s="1" t="s">
        <v>9</v>
      </c>
      <c r="E62" s="1" t="str">
        <f>_xlfn.XLOOKUP(operacje[[#This Row],[Kategoria]],kategorie[Kategoria],kategorie[Typ],"",0)</f>
        <v>Wydatki</v>
      </c>
      <c r="F62" s="3">
        <v>45381</v>
      </c>
      <c r="G62" s="1">
        <f>IF(ISBLANK(operacje[[#This Row],[Data]]),,MONTH(operacje[[#This Row],[Data]]))</f>
        <v>3</v>
      </c>
    </row>
    <row r="63" spans="1:7" x14ac:dyDescent="0.25">
      <c r="A63" s="2">
        <v>-23.5</v>
      </c>
      <c r="B63" s="1" t="s">
        <v>7</v>
      </c>
      <c r="C63" s="1" t="s">
        <v>15</v>
      </c>
      <c r="D63" s="1" t="s">
        <v>30</v>
      </c>
      <c r="E63" s="1" t="str">
        <f>_xlfn.XLOOKUP(operacje[[#This Row],[Kategoria]],kategorie[Kategoria],kategorie[Typ],"",0)</f>
        <v>Wydatki</v>
      </c>
      <c r="F63" s="3">
        <v>45383</v>
      </c>
      <c r="G63" s="1">
        <f>IF(ISBLANK(operacje[[#This Row],[Data]]),,MONTH(operacje[[#This Row],[Data]]))</f>
        <v>4</v>
      </c>
    </row>
    <row r="64" spans="1:7" x14ac:dyDescent="0.25">
      <c r="A64" s="2">
        <v>-82.5</v>
      </c>
      <c r="B64" s="1" t="s">
        <v>7</v>
      </c>
      <c r="C64" s="1" t="s">
        <v>8</v>
      </c>
      <c r="D64" s="1" t="s">
        <v>23</v>
      </c>
      <c r="E64" s="1" t="str">
        <f>_xlfn.XLOOKUP(operacje[[#This Row],[Kategoria]],kategorie[Kategoria],kategorie[Typ],"",0)</f>
        <v>Wydatki</v>
      </c>
      <c r="F64" s="3">
        <v>45384</v>
      </c>
      <c r="G64" s="1">
        <f>IF(ISBLANK(operacje[[#This Row],[Data]]),,MONTH(operacje[[#This Row],[Data]]))</f>
        <v>4</v>
      </c>
    </row>
    <row r="65" spans="1:7" x14ac:dyDescent="0.25">
      <c r="A65" s="2">
        <v>150</v>
      </c>
      <c r="B65" s="1" t="s">
        <v>14</v>
      </c>
      <c r="C65" s="1" t="s">
        <v>8</v>
      </c>
      <c r="D65" s="1" t="s">
        <v>29</v>
      </c>
      <c r="E65" s="1" t="str">
        <f>_xlfn.XLOOKUP(operacje[[#This Row],[Kategoria]],kategorie[Kategoria],kategorie[Typ],"",0)</f>
        <v>Wpływy</v>
      </c>
      <c r="F65" s="3">
        <v>45388</v>
      </c>
      <c r="G65" s="1">
        <f>IF(ISBLANK(operacje[[#This Row],[Data]]),,MONTH(operacje[[#This Row],[Data]]))</f>
        <v>4</v>
      </c>
    </row>
    <row r="66" spans="1:7" x14ac:dyDescent="0.25">
      <c r="A66" s="2">
        <v>-99.97</v>
      </c>
      <c r="B66" s="1" t="s">
        <v>7</v>
      </c>
      <c r="C66" s="1" t="s">
        <v>8</v>
      </c>
      <c r="D66" s="1" t="s">
        <v>9</v>
      </c>
      <c r="E66" s="1" t="str">
        <f>_xlfn.XLOOKUP(operacje[[#This Row],[Kategoria]],kategorie[Kategoria],kategorie[Typ],"",0)</f>
        <v>Wydatki</v>
      </c>
      <c r="F66" s="3">
        <v>45389</v>
      </c>
      <c r="G66" s="1">
        <f>IF(ISBLANK(operacje[[#This Row],[Data]]),,MONTH(operacje[[#This Row],[Data]]))</f>
        <v>4</v>
      </c>
    </row>
    <row r="67" spans="1:7" x14ac:dyDescent="0.25">
      <c r="A67" s="2">
        <v>4500</v>
      </c>
      <c r="B67" s="1" t="s">
        <v>7</v>
      </c>
      <c r="C67" s="1" t="s">
        <v>8</v>
      </c>
      <c r="D67" s="1" t="s">
        <v>11</v>
      </c>
      <c r="E67" s="1" t="str">
        <f>_xlfn.XLOOKUP(operacje[[#This Row],[Kategoria]],kategorie[Kategoria],kategorie[Typ],"",0)</f>
        <v>Wpływy</v>
      </c>
      <c r="F67" s="3">
        <v>45392</v>
      </c>
      <c r="G67" s="1">
        <f>IF(ISBLANK(operacje[[#This Row],[Data]]),,MONTH(operacje[[#This Row],[Data]]))</f>
        <v>4</v>
      </c>
    </row>
    <row r="68" spans="1:7" x14ac:dyDescent="0.25">
      <c r="A68" s="2">
        <v>-2000</v>
      </c>
      <c r="B68" s="1" t="s">
        <v>7</v>
      </c>
      <c r="C68" s="1" t="s">
        <v>8</v>
      </c>
      <c r="D68" s="1" t="s">
        <v>13</v>
      </c>
      <c r="E68" s="1" t="str">
        <f>_xlfn.XLOOKUP(operacje[[#This Row],[Kategoria]],kategorie[Kategoria],kategorie[Typ],"",0)</f>
        <v>Wydatki</v>
      </c>
      <c r="F68" s="3">
        <v>45393</v>
      </c>
      <c r="G68" s="1">
        <f>IF(ISBLANK(operacje[[#This Row],[Data]]),,MONTH(operacje[[#This Row],[Data]]))</f>
        <v>4</v>
      </c>
    </row>
    <row r="69" spans="1:7" x14ac:dyDescent="0.25">
      <c r="A69" s="2">
        <v>-149</v>
      </c>
      <c r="B69" s="1" t="s">
        <v>7</v>
      </c>
      <c r="C69" s="1" t="s">
        <v>8</v>
      </c>
      <c r="D69" s="1" t="s">
        <v>24</v>
      </c>
      <c r="E69" s="1" t="str">
        <f>_xlfn.XLOOKUP(operacje[[#This Row],[Kategoria]],kategorie[Kategoria],kategorie[Typ],"",0)</f>
        <v>Wydatki</v>
      </c>
      <c r="F69" s="3">
        <v>45395</v>
      </c>
      <c r="G69" s="1">
        <f>IF(ISBLANK(operacje[[#This Row],[Data]]),,MONTH(operacje[[#This Row],[Data]]))</f>
        <v>4</v>
      </c>
    </row>
    <row r="70" spans="1:7" x14ac:dyDescent="0.25">
      <c r="A70" s="2">
        <v>104.5</v>
      </c>
      <c r="B70" s="1" t="s">
        <v>7</v>
      </c>
      <c r="C70" s="1" t="s">
        <v>15</v>
      </c>
      <c r="D70" s="1" t="s">
        <v>31</v>
      </c>
      <c r="E70" s="1" t="str">
        <f>_xlfn.XLOOKUP(operacje[[#This Row],[Kategoria]],kategorie[Kategoria],kategorie[Typ],"",0)</f>
        <v>Transfer</v>
      </c>
      <c r="F70" s="3">
        <v>45397</v>
      </c>
      <c r="G70" s="1">
        <f>IF(ISBLANK(operacje[[#This Row],[Data]]),,MONTH(operacje[[#This Row],[Data]]))</f>
        <v>4</v>
      </c>
    </row>
    <row r="71" spans="1:7" x14ac:dyDescent="0.25">
      <c r="A71" s="2">
        <v>-104.5</v>
      </c>
      <c r="B71" s="1" t="s">
        <v>7</v>
      </c>
      <c r="C71" s="1" t="s">
        <v>8</v>
      </c>
      <c r="D71" s="1" t="s">
        <v>31</v>
      </c>
      <c r="E71" s="1" t="str">
        <f>_xlfn.XLOOKUP(operacje[[#This Row],[Kategoria]],kategorie[Kategoria],kategorie[Typ],"",0)</f>
        <v>Transfer</v>
      </c>
      <c r="F71" s="3">
        <v>45397</v>
      </c>
      <c r="G71" s="1">
        <f>IF(ISBLANK(operacje[[#This Row],[Data]]),,MONTH(operacje[[#This Row],[Data]]))</f>
        <v>4</v>
      </c>
    </row>
    <row r="72" spans="1:7" x14ac:dyDescent="0.25">
      <c r="A72" s="2">
        <v>-49</v>
      </c>
      <c r="B72" s="1" t="s">
        <v>14</v>
      </c>
      <c r="C72" s="1" t="s">
        <v>8</v>
      </c>
      <c r="D72" s="1" t="s">
        <v>16</v>
      </c>
      <c r="E72" s="1" t="str">
        <f>_xlfn.XLOOKUP(operacje[[#This Row],[Kategoria]],kategorie[Kategoria],kategorie[Typ],"",0)</f>
        <v>Wydatki</v>
      </c>
      <c r="F72" s="3">
        <v>45397</v>
      </c>
      <c r="G72" s="1">
        <f>IF(ISBLANK(operacje[[#This Row],[Data]]),,MONTH(operacje[[#This Row],[Data]]))</f>
        <v>4</v>
      </c>
    </row>
    <row r="73" spans="1:7" x14ac:dyDescent="0.25">
      <c r="A73" s="2">
        <v>-9.99</v>
      </c>
      <c r="B73" s="1" t="s">
        <v>7</v>
      </c>
      <c r="C73" s="1" t="s">
        <v>15</v>
      </c>
      <c r="D73" s="1" t="s">
        <v>9</v>
      </c>
      <c r="E73" s="1" t="str">
        <f>_xlfn.XLOOKUP(operacje[[#This Row],[Kategoria]],kategorie[Kategoria],kategorie[Typ],"",0)</f>
        <v>Wydatki</v>
      </c>
      <c r="F73" s="3">
        <v>45398</v>
      </c>
      <c r="G73" s="1">
        <f>IF(ISBLANK(operacje[[#This Row],[Data]]),,MONTH(operacje[[#This Row],[Data]]))</f>
        <v>4</v>
      </c>
    </row>
    <row r="74" spans="1:7" x14ac:dyDescent="0.25">
      <c r="A74" s="2">
        <v>-100</v>
      </c>
      <c r="B74" s="1" t="s">
        <v>7</v>
      </c>
      <c r="C74" s="1" t="s">
        <v>8</v>
      </c>
      <c r="D74" s="1" t="s">
        <v>19</v>
      </c>
      <c r="E74" s="1" t="str">
        <f>_xlfn.XLOOKUP(operacje[[#This Row],[Kategoria]],kategorie[Kategoria],kategorie[Typ],"",0)</f>
        <v>Wydatki</v>
      </c>
      <c r="F74" s="3">
        <v>45399</v>
      </c>
      <c r="G74" s="1">
        <f>IF(ISBLANK(operacje[[#This Row],[Data]]),,MONTH(operacje[[#This Row],[Data]]))</f>
        <v>4</v>
      </c>
    </row>
    <row r="75" spans="1:7" x14ac:dyDescent="0.25">
      <c r="A75" s="2">
        <v>-57.9</v>
      </c>
      <c r="B75" s="1" t="s">
        <v>7</v>
      </c>
      <c r="C75" s="1" t="s">
        <v>15</v>
      </c>
      <c r="D75" s="1" t="s">
        <v>22</v>
      </c>
      <c r="E75" s="1" t="str">
        <f>_xlfn.XLOOKUP(operacje[[#This Row],[Kategoria]],kategorie[Kategoria],kategorie[Typ],"",0)</f>
        <v>Wydatki</v>
      </c>
      <c r="F75" s="3">
        <v>45401</v>
      </c>
      <c r="G75" s="1">
        <f>IF(ISBLANK(operacje[[#This Row],[Data]]),,MONTH(operacje[[#This Row],[Data]]))</f>
        <v>4</v>
      </c>
    </row>
    <row r="76" spans="1:7" x14ac:dyDescent="0.25">
      <c r="A76" s="2">
        <v>-159.9</v>
      </c>
      <c r="B76" s="1" t="s">
        <v>7</v>
      </c>
      <c r="C76" s="1" t="s">
        <v>8</v>
      </c>
      <c r="D76" s="1" t="s">
        <v>9</v>
      </c>
      <c r="E76" s="1" t="str">
        <f>_xlfn.XLOOKUP(operacje[[#This Row],[Kategoria]],kategorie[Kategoria],kategorie[Typ],"",0)</f>
        <v>Wydatki</v>
      </c>
      <c r="F76" s="3">
        <v>45403</v>
      </c>
      <c r="G76" s="1">
        <f>IF(ISBLANK(operacje[[#This Row],[Data]]),,MONTH(operacje[[#This Row],[Data]]))</f>
        <v>4</v>
      </c>
    </row>
    <row r="77" spans="1:7" x14ac:dyDescent="0.25">
      <c r="A77" s="2">
        <v>-1000</v>
      </c>
      <c r="B77" s="1" t="s">
        <v>7</v>
      </c>
      <c r="C77" s="1" t="s">
        <v>8</v>
      </c>
      <c r="D77" s="1" t="s">
        <v>22</v>
      </c>
      <c r="E77" s="1" t="str">
        <f>_xlfn.XLOOKUP(operacje[[#This Row],[Kategoria]],kategorie[Kategoria],kategorie[Typ],"",0)</f>
        <v>Wydatki</v>
      </c>
      <c r="F77" s="3">
        <v>45405</v>
      </c>
      <c r="G77" s="1">
        <f>IF(ISBLANK(operacje[[#This Row],[Data]]),,MONTH(operacje[[#This Row],[Data]]))</f>
        <v>4</v>
      </c>
    </row>
    <row r="78" spans="1:7" x14ac:dyDescent="0.25">
      <c r="A78" s="2">
        <v>50</v>
      </c>
      <c r="B78" s="1" t="s">
        <v>14</v>
      </c>
      <c r="C78" s="1" t="s">
        <v>20</v>
      </c>
      <c r="D78" s="1" t="s">
        <v>32</v>
      </c>
      <c r="E78" s="1" t="str">
        <f>_xlfn.XLOOKUP(operacje[[#This Row],[Kategoria]],kategorie[Kategoria],kategorie[Typ],"",0)</f>
        <v>Wpływy</v>
      </c>
      <c r="F78" s="3">
        <v>45407</v>
      </c>
      <c r="G78" s="1">
        <f>IF(ISBLANK(operacje[[#This Row],[Data]]),,MONTH(operacje[[#This Row],[Data]]))</f>
        <v>4</v>
      </c>
    </row>
    <row r="79" spans="1:7" x14ac:dyDescent="0.25">
      <c r="A79" s="2">
        <v>-69.900000000000006</v>
      </c>
      <c r="B79" s="1" t="s">
        <v>7</v>
      </c>
      <c r="C79" s="1" t="s">
        <v>8</v>
      </c>
      <c r="D79" s="1" t="s">
        <v>9</v>
      </c>
      <c r="E79" s="1" t="str">
        <f>_xlfn.XLOOKUP(operacje[[#This Row],[Kategoria]],kategorie[Kategoria],kategorie[Typ],"",0)</f>
        <v>Wydatki</v>
      </c>
      <c r="F79" s="3">
        <v>45409</v>
      </c>
      <c r="G79" s="1">
        <f>IF(ISBLANK(operacje[[#This Row],[Data]]),,MONTH(operacje[[#This Row],[Data]]))</f>
        <v>4</v>
      </c>
    </row>
    <row r="80" spans="1:7" x14ac:dyDescent="0.25">
      <c r="A80" s="2">
        <v>-32.5</v>
      </c>
      <c r="B80" s="1" t="s">
        <v>7</v>
      </c>
      <c r="C80" s="1" t="s">
        <v>8</v>
      </c>
      <c r="D80" s="1" t="s">
        <v>9</v>
      </c>
      <c r="E80" s="1" t="str">
        <f>_xlfn.XLOOKUP(operacje[[#This Row],[Kategoria]],kategorie[Kategoria],kategorie[Typ],"",0)</f>
        <v>Wydatki</v>
      </c>
      <c r="F80" s="3">
        <v>45410</v>
      </c>
      <c r="G80" s="1">
        <f>IF(ISBLANK(operacje[[#This Row],[Data]]),,MONTH(operacje[[#This Row],[Data]]))</f>
        <v>4</v>
      </c>
    </row>
    <row r="81" spans="1:7" x14ac:dyDescent="0.25">
      <c r="A81" s="2">
        <v>-139</v>
      </c>
      <c r="B81" s="1" t="s">
        <v>7</v>
      </c>
      <c r="C81" s="1" t="s">
        <v>8</v>
      </c>
      <c r="D81" s="1" t="s">
        <v>25</v>
      </c>
      <c r="E81" s="1" t="str">
        <f>_xlfn.XLOOKUP(operacje[[#This Row],[Kategoria]],kategorie[Kategoria],kategorie[Typ],"",0)</f>
        <v>Wydatki</v>
      </c>
      <c r="F81" s="3">
        <v>45411</v>
      </c>
      <c r="G81" s="1">
        <f>IF(ISBLANK(operacje[[#This Row],[Data]]),,MONTH(operacje[[#This Row],[Data]]))</f>
        <v>4</v>
      </c>
    </row>
    <row r="82" spans="1:7" x14ac:dyDescent="0.25">
      <c r="A82" s="2">
        <v>-250</v>
      </c>
      <c r="B82" s="1" t="s">
        <v>7</v>
      </c>
      <c r="C82" s="1" t="s">
        <v>15</v>
      </c>
      <c r="D82" s="1" t="s">
        <v>9</v>
      </c>
      <c r="E82" s="1" t="str">
        <f>_xlfn.XLOOKUP(operacje[[#This Row],[Kategoria]],kategorie[Kategoria],kategorie[Typ],"",0)</f>
        <v>Wydatki</v>
      </c>
      <c r="F82" s="3">
        <v>45419</v>
      </c>
      <c r="G82" s="1">
        <f>IF(ISBLANK(operacje[[#This Row],[Data]]),,MONTH(operacje[[#This Row],[Data]]))</f>
        <v>5</v>
      </c>
    </row>
    <row r="83" spans="1:7" x14ac:dyDescent="0.25">
      <c r="A83" s="2">
        <v>-80</v>
      </c>
      <c r="B83" s="1" t="s">
        <v>7</v>
      </c>
      <c r="C83" s="1" t="s">
        <v>8</v>
      </c>
      <c r="D83" s="1" t="s">
        <v>23</v>
      </c>
      <c r="E83" s="1" t="str">
        <f>_xlfn.XLOOKUP(operacje[[#This Row],[Kategoria]],kategorie[Kategoria],kategorie[Typ],"",0)</f>
        <v>Wydatki</v>
      </c>
      <c r="F83" s="3">
        <v>45422</v>
      </c>
      <c r="G83" s="1">
        <f>IF(ISBLANK(operacje[[#This Row],[Data]]),,MONTH(operacje[[#This Row],[Data]]))</f>
        <v>5</v>
      </c>
    </row>
    <row r="84" spans="1:7" x14ac:dyDescent="0.25">
      <c r="A84" s="2">
        <v>4500</v>
      </c>
      <c r="B84" s="1" t="s">
        <v>7</v>
      </c>
      <c r="C84" s="1" t="s">
        <v>8</v>
      </c>
      <c r="D84" s="1" t="s">
        <v>11</v>
      </c>
      <c r="E84" s="1" t="str">
        <f>_xlfn.XLOOKUP(operacje[[#This Row],[Kategoria]],kategorie[Kategoria],kategorie[Typ],"",0)</f>
        <v>Wpływy</v>
      </c>
      <c r="F84" s="3">
        <v>45422</v>
      </c>
      <c r="G84" s="1">
        <f>IF(ISBLANK(operacje[[#This Row],[Data]]),,MONTH(operacje[[#This Row],[Data]]))</f>
        <v>5</v>
      </c>
    </row>
    <row r="85" spans="1:7" x14ac:dyDescent="0.25">
      <c r="A85" s="2">
        <v>-2000</v>
      </c>
      <c r="B85" s="1" t="s">
        <v>7</v>
      </c>
      <c r="C85" s="1" t="s">
        <v>8</v>
      </c>
      <c r="D85" s="1" t="s">
        <v>13</v>
      </c>
      <c r="E85" s="1" t="str">
        <f>_xlfn.XLOOKUP(operacje[[#This Row],[Kategoria]],kategorie[Kategoria],kategorie[Typ],"",0)</f>
        <v>Wydatki</v>
      </c>
      <c r="F85" s="3">
        <v>45423</v>
      </c>
      <c r="G85" s="1">
        <f>IF(ISBLANK(operacje[[#This Row],[Data]]),,MONTH(operacje[[#This Row],[Data]]))</f>
        <v>5</v>
      </c>
    </row>
    <row r="86" spans="1:7" x14ac:dyDescent="0.25">
      <c r="A86" s="2">
        <v>-250</v>
      </c>
      <c r="B86" s="1" t="s">
        <v>7</v>
      </c>
      <c r="C86" s="1" t="s">
        <v>15</v>
      </c>
      <c r="D86" s="1" t="s">
        <v>9</v>
      </c>
      <c r="E86" s="1" t="str">
        <f>_xlfn.XLOOKUP(operacje[[#This Row],[Kategoria]],kategorie[Kategoria],kategorie[Typ],"",0)</f>
        <v>Wydatki</v>
      </c>
      <c r="F86" s="3">
        <v>45426</v>
      </c>
      <c r="G86" s="1">
        <f>IF(ISBLANK(operacje[[#This Row],[Data]]),,MONTH(operacje[[#This Row],[Data]]))</f>
        <v>5</v>
      </c>
    </row>
    <row r="87" spans="1:7" x14ac:dyDescent="0.25">
      <c r="A87" s="2">
        <v>91.39</v>
      </c>
      <c r="B87" s="1" t="s">
        <v>7</v>
      </c>
      <c r="C87" s="1" t="s">
        <v>15</v>
      </c>
      <c r="D87" s="1" t="s">
        <v>31</v>
      </c>
      <c r="E87" s="1" t="str">
        <f>_xlfn.XLOOKUP(operacje[[#This Row],[Kategoria]],kategorie[Kategoria],kategorie[Typ],"",0)</f>
        <v>Transfer</v>
      </c>
      <c r="F87" s="3">
        <v>45427</v>
      </c>
      <c r="G87" s="1">
        <f>IF(ISBLANK(operacje[[#This Row],[Data]]),,MONTH(operacje[[#This Row],[Data]]))</f>
        <v>5</v>
      </c>
    </row>
    <row r="88" spans="1:7" x14ac:dyDescent="0.25">
      <c r="A88" s="2">
        <v>-91.39</v>
      </c>
      <c r="B88" s="1" t="s">
        <v>7</v>
      </c>
      <c r="C88" s="1" t="s">
        <v>8</v>
      </c>
      <c r="D88" s="1" t="s">
        <v>31</v>
      </c>
      <c r="E88" s="1" t="str">
        <f>_xlfn.XLOOKUP(operacje[[#This Row],[Kategoria]],kategorie[Kategoria],kategorie[Typ],"",0)</f>
        <v>Transfer</v>
      </c>
      <c r="F88" s="3">
        <v>45427</v>
      </c>
      <c r="G88" s="1">
        <f>IF(ISBLANK(operacje[[#This Row],[Data]]),,MONTH(operacje[[#This Row],[Data]]))</f>
        <v>5</v>
      </c>
    </row>
    <row r="89" spans="1:7" x14ac:dyDescent="0.25">
      <c r="A89" s="2">
        <v>-250</v>
      </c>
      <c r="B89" s="1" t="s">
        <v>7</v>
      </c>
      <c r="C89" s="1" t="s">
        <v>15</v>
      </c>
      <c r="D89" s="1" t="s">
        <v>9</v>
      </c>
      <c r="E89" s="1" t="str">
        <f>_xlfn.XLOOKUP(operacje[[#This Row],[Kategoria]],kategorie[Kategoria],kategorie[Typ],"",0)</f>
        <v>Wydatki</v>
      </c>
      <c r="F89" s="3">
        <v>45433</v>
      </c>
      <c r="G89" s="1">
        <f>IF(ISBLANK(operacje[[#This Row],[Data]]),,MONTH(operacje[[#This Row],[Data]]))</f>
        <v>5</v>
      </c>
    </row>
    <row r="90" spans="1:7" x14ac:dyDescent="0.25">
      <c r="A90" s="2">
        <v>-250</v>
      </c>
      <c r="B90" s="1" t="s">
        <v>7</v>
      </c>
      <c r="C90" s="1" t="s">
        <v>15</v>
      </c>
      <c r="D90" s="1" t="s">
        <v>9</v>
      </c>
      <c r="E90" s="1" t="str">
        <f>_xlfn.XLOOKUP(operacje[[#This Row],[Kategoria]],kategorie[Kategoria],kategorie[Typ],"",0)</f>
        <v>Wydatki</v>
      </c>
      <c r="F90" s="3">
        <v>45440</v>
      </c>
      <c r="G90" s="1">
        <f>IF(ISBLANK(operacje[[#This Row],[Data]]),,MONTH(operacje[[#This Row],[Data]]))</f>
        <v>5</v>
      </c>
    </row>
    <row r="91" spans="1:7" x14ac:dyDescent="0.25">
      <c r="A91" s="2">
        <v>-50</v>
      </c>
      <c r="B91" s="1" t="s">
        <v>14</v>
      </c>
      <c r="C91" s="1" t="s">
        <v>8</v>
      </c>
      <c r="D91" s="1" t="s">
        <v>16</v>
      </c>
      <c r="E91" s="1" t="str">
        <f>_xlfn.XLOOKUP(operacje[[#This Row],[Kategoria]],kategorie[Kategoria],kategorie[Typ],"",0)</f>
        <v>Wydatki</v>
      </c>
      <c r="F91" s="3">
        <v>45441</v>
      </c>
      <c r="G91" s="1">
        <f>IF(ISBLANK(operacje[[#This Row],[Data]]),,MONTH(operacje[[#This Row],[Data]]))</f>
        <v>5</v>
      </c>
    </row>
    <row r="92" spans="1:7" x14ac:dyDescent="0.25">
      <c r="A92" s="2">
        <v>-80</v>
      </c>
      <c r="B92" s="1" t="s">
        <v>26</v>
      </c>
      <c r="C92" s="1" t="s">
        <v>28</v>
      </c>
      <c r="D92" s="1" t="s">
        <v>22</v>
      </c>
      <c r="E92" s="1" t="str">
        <f>_xlfn.XLOOKUP(operacje[[#This Row],[Kategoria]],kategorie[Kategoria],kategorie[Typ],"",0)</f>
        <v>Wydatki</v>
      </c>
      <c r="F92" s="3">
        <v>45442</v>
      </c>
      <c r="G92" s="1">
        <f>IF(ISBLANK(operacje[[#This Row],[Data]]),,MONTH(operacje[[#This Row],[Data]]))</f>
        <v>5</v>
      </c>
    </row>
    <row r="93" spans="1:7" x14ac:dyDescent="0.25">
      <c r="A93" s="2">
        <v>-250</v>
      </c>
      <c r="B93" s="1" t="s">
        <v>7</v>
      </c>
      <c r="C93" s="1" t="s">
        <v>15</v>
      </c>
      <c r="D93" s="1" t="s">
        <v>9</v>
      </c>
      <c r="E93" s="1" t="str">
        <f>_xlfn.XLOOKUP(operacje[[#This Row],[Kategoria]],kategorie[Kategoria],kategorie[Typ],"",0)</f>
        <v>Wydatki</v>
      </c>
      <c r="F93" s="3">
        <v>45450</v>
      </c>
      <c r="G93" s="1">
        <f>IF(ISBLANK(operacje[[#This Row],[Data]]),,MONTH(operacje[[#This Row],[Data]]))</f>
        <v>6</v>
      </c>
    </row>
    <row r="94" spans="1:7" x14ac:dyDescent="0.25">
      <c r="A94" s="2">
        <v>-80</v>
      </c>
      <c r="B94" s="1" t="s">
        <v>7</v>
      </c>
      <c r="C94" s="1" t="s">
        <v>8</v>
      </c>
      <c r="D94" s="1" t="s">
        <v>23</v>
      </c>
      <c r="E94" s="1" t="str">
        <f>_xlfn.XLOOKUP(operacje[[#This Row],[Kategoria]],kategorie[Kategoria],kategorie[Typ],"",0)</f>
        <v>Wydatki</v>
      </c>
      <c r="F94" s="3">
        <v>45453</v>
      </c>
      <c r="G94" s="1">
        <f>IF(ISBLANK(operacje[[#This Row],[Data]]),,MONTH(operacje[[#This Row],[Data]]))</f>
        <v>6</v>
      </c>
    </row>
    <row r="95" spans="1:7" x14ac:dyDescent="0.25">
      <c r="A95" s="2">
        <v>4500</v>
      </c>
      <c r="B95" s="1" t="s">
        <v>7</v>
      </c>
      <c r="C95" s="1" t="s">
        <v>8</v>
      </c>
      <c r="D95" s="1" t="s">
        <v>11</v>
      </c>
      <c r="E95" s="1" t="str">
        <f>_xlfn.XLOOKUP(operacje[[#This Row],[Kategoria]],kategorie[Kategoria],kategorie[Typ],"",0)</f>
        <v>Wpływy</v>
      </c>
      <c r="F95" s="3">
        <v>45453</v>
      </c>
      <c r="G95" s="1">
        <f>IF(ISBLANK(operacje[[#This Row],[Data]]),,MONTH(operacje[[#This Row],[Data]]))</f>
        <v>6</v>
      </c>
    </row>
    <row r="96" spans="1:7" x14ac:dyDescent="0.25">
      <c r="A96" s="2">
        <v>-2000</v>
      </c>
      <c r="B96" s="1" t="s">
        <v>7</v>
      </c>
      <c r="C96" s="1" t="s">
        <v>8</v>
      </c>
      <c r="D96" s="1" t="s">
        <v>13</v>
      </c>
      <c r="E96" s="1" t="str">
        <f>_xlfn.XLOOKUP(operacje[[#This Row],[Kategoria]],kategorie[Kategoria],kategorie[Typ],"",0)</f>
        <v>Wydatki</v>
      </c>
      <c r="F96" s="3">
        <v>45454</v>
      </c>
      <c r="G96" s="1">
        <f>IF(ISBLANK(operacje[[#This Row],[Data]]),,MONTH(operacje[[#This Row],[Data]]))</f>
        <v>6</v>
      </c>
    </row>
    <row r="97" spans="1:7" x14ac:dyDescent="0.25">
      <c r="A97" s="2">
        <v>-250</v>
      </c>
      <c r="B97" s="1" t="s">
        <v>7</v>
      </c>
      <c r="C97" s="1" t="s">
        <v>15</v>
      </c>
      <c r="D97" s="1" t="s">
        <v>9</v>
      </c>
      <c r="E97" s="1" t="str">
        <f>_xlfn.XLOOKUP(operacje[[#This Row],[Kategoria]],kategorie[Kategoria],kategorie[Typ],"",0)</f>
        <v>Wydatki</v>
      </c>
      <c r="F97" s="3">
        <v>45457</v>
      </c>
      <c r="G97" s="1">
        <f>IF(ISBLANK(operacje[[#This Row],[Data]]),,MONTH(operacje[[#This Row],[Data]]))</f>
        <v>6</v>
      </c>
    </row>
    <row r="98" spans="1:7" x14ac:dyDescent="0.25">
      <c r="A98" s="2">
        <v>1000</v>
      </c>
      <c r="B98" s="1" t="s">
        <v>7</v>
      </c>
      <c r="C98" s="1" t="s">
        <v>15</v>
      </c>
      <c r="D98" s="1" t="s">
        <v>31</v>
      </c>
      <c r="E98" s="1" t="str">
        <f>_xlfn.XLOOKUP(operacje[[#This Row],[Kategoria]],kategorie[Kategoria],kategorie[Typ],"",0)</f>
        <v>Transfer</v>
      </c>
      <c r="F98" s="3">
        <v>45458</v>
      </c>
      <c r="G98" s="1">
        <f>IF(ISBLANK(operacje[[#This Row],[Data]]),,MONTH(operacje[[#This Row],[Data]]))</f>
        <v>6</v>
      </c>
    </row>
    <row r="99" spans="1:7" x14ac:dyDescent="0.25">
      <c r="A99" s="2">
        <v>-1000</v>
      </c>
      <c r="B99" s="1" t="s">
        <v>7</v>
      </c>
      <c r="C99" s="1" t="s">
        <v>8</v>
      </c>
      <c r="D99" s="1" t="s">
        <v>31</v>
      </c>
      <c r="E99" s="1" t="str">
        <f>_xlfn.XLOOKUP(operacje[[#This Row],[Kategoria]],kategorie[Kategoria],kategorie[Typ],"",0)</f>
        <v>Transfer</v>
      </c>
      <c r="F99" s="3">
        <v>45458</v>
      </c>
      <c r="G99" s="1">
        <f>IF(ISBLANK(operacje[[#This Row],[Data]]),,MONTH(operacje[[#This Row],[Data]]))</f>
        <v>6</v>
      </c>
    </row>
    <row r="100" spans="1:7" x14ac:dyDescent="0.25">
      <c r="A100" s="2">
        <v>-100</v>
      </c>
      <c r="B100" s="1" t="s">
        <v>14</v>
      </c>
      <c r="C100" s="1" t="s">
        <v>8</v>
      </c>
      <c r="D100" s="1" t="s">
        <v>30</v>
      </c>
      <c r="E100" s="1" t="str">
        <f>_xlfn.XLOOKUP(operacje[[#This Row],[Kategoria]],kategorie[Kategoria],kategorie[Typ],"",0)</f>
        <v>Wydatki</v>
      </c>
      <c r="F100" s="3">
        <v>45458</v>
      </c>
      <c r="G100" s="1">
        <f>IF(ISBLANK(operacje[[#This Row],[Data]]),,MONTH(operacje[[#This Row],[Data]]))</f>
        <v>6</v>
      </c>
    </row>
    <row r="101" spans="1:7" x14ac:dyDescent="0.25">
      <c r="A101" s="2">
        <v>-250</v>
      </c>
      <c r="B101" s="1" t="s">
        <v>7</v>
      </c>
      <c r="C101" s="1" t="s">
        <v>15</v>
      </c>
      <c r="D101" s="1" t="s">
        <v>9</v>
      </c>
      <c r="E101" s="1" t="str">
        <f>_xlfn.XLOOKUP(operacje[[#This Row],[Kategoria]],kategorie[Kategoria],kategorie[Typ],"",0)</f>
        <v>Wydatki</v>
      </c>
      <c r="F101" s="3">
        <v>45464</v>
      </c>
      <c r="G101" s="1">
        <f>IF(ISBLANK(operacje[[#This Row],[Data]]),,MONTH(operacje[[#This Row],[Data]]))</f>
        <v>6</v>
      </c>
    </row>
    <row r="102" spans="1:7" x14ac:dyDescent="0.25">
      <c r="A102" s="2">
        <v>-250</v>
      </c>
      <c r="B102" s="1" t="s">
        <v>7</v>
      </c>
      <c r="C102" s="1" t="s">
        <v>15</v>
      </c>
      <c r="D102" s="1" t="s">
        <v>9</v>
      </c>
      <c r="E102" s="1" t="str">
        <f>_xlfn.XLOOKUP(operacje[[#This Row],[Kategoria]],kategorie[Kategoria],kategorie[Typ],"",0)</f>
        <v>Wydatki</v>
      </c>
      <c r="F102" s="3">
        <v>45471</v>
      </c>
      <c r="G102" s="1">
        <f>IF(ISBLANK(operacje[[#This Row],[Data]]),,MONTH(operacje[[#This Row],[Data]]))</f>
        <v>6</v>
      </c>
    </row>
    <row r="103" spans="1:7" x14ac:dyDescent="0.25">
      <c r="A103" s="2">
        <v>-300</v>
      </c>
      <c r="B103" s="1" t="s">
        <v>7</v>
      </c>
      <c r="C103" s="1" t="s">
        <v>15</v>
      </c>
      <c r="D103" s="1" t="s">
        <v>24</v>
      </c>
      <c r="E103" s="1" t="str">
        <f>_xlfn.XLOOKUP(operacje[[#This Row],[Kategoria]],kategorie[Kategoria],kategorie[Typ],"",0)</f>
        <v>Wydatki</v>
      </c>
      <c r="F103" s="3">
        <v>45471</v>
      </c>
      <c r="G103" s="1">
        <f>IF(ISBLANK(operacje[[#This Row],[Data]]),,MONTH(operacje[[#This Row],[Data]]))</f>
        <v>6</v>
      </c>
    </row>
    <row r="104" spans="1:7" x14ac:dyDescent="0.25">
      <c r="A104" s="2">
        <v>-50</v>
      </c>
      <c r="B104" s="1" t="s">
        <v>14</v>
      </c>
      <c r="C104" s="1" t="s">
        <v>8</v>
      </c>
      <c r="D104" s="1" t="s">
        <v>16</v>
      </c>
      <c r="E104" s="1" t="str">
        <f>_xlfn.XLOOKUP(operacje[[#This Row],[Kategoria]],kategorie[Kategoria],kategorie[Typ],"",0)</f>
        <v>Wydatki</v>
      </c>
      <c r="F104" s="3">
        <v>45472</v>
      </c>
      <c r="G104" s="1">
        <f>IF(ISBLANK(operacje[[#This Row],[Data]]),,MONTH(operacje[[#This Row],[Data]]))</f>
        <v>6</v>
      </c>
    </row>
    <row r="105" spans="1:7" x14ac:dyDescent="0.25">
      <c r="A105" s="2">
        <v>400</v>
      </c>
      <c r="B105" s="1" t="s">
        <v>14</v>
      </c>
      <c r="C105" s="1" t="s">
        <v>8</v>
      </c>
      <c r="D105" s="1" t="s">
        <v>21</v>
      </c>
      <c r="E105" s="1" t="str">
        <f>_xlfn.XLOOKUP(operacje[[#This Row],[Kategoria]],kategorie[Kategoria],kategorie[Typ],"",0)</f>
        <v>Wpływy</v>
      </c>
      <c r="F105" s="3">
        <v>45472</v>
      </c>
      <c r="G105" s="1">
        <f>IF(ISBLANK(operacje[[#This Row],[Data]]),,MONTH(operacje[[#This Row],[Data]]))</f>
        <v>6</v>
      </c>
    </row>
    <row r="106" spans="1:7" x14ac:dyDescent="0.25">
      <c r="A106" s="2">
        <v>-200</v>
      </c>
      <c r="B106" s="1" t="s">
        <v>26</v>
      </c>
      <c r="C106" s="1" t="s">
        <v>28</v>
      </c>
      <c r="D106" s="1" t="s">
        <v>22</v>
      </c>
      <c r="E106" s="1" t="str">
        <f>_xlfn.XLOOKUP(operacje[[#This Row],[Kategoria]],kategorie[Kategoria],kategorie[Typ],"",0)</f>
        <v>Wydatki</v>
      </c>
      <c r="F106" s="3">
        <v>45473</v>
      </c>
      <c r="G106" s="1">
        <f>IF(ISBLANK(operacje[[#This Row],[Data]]),,MONTH(operacje[[#This Row],[Data]]))</f>
        <v>6</v>
      </c>
    </row>
    <row r="107" spans="1:7" x14ac:dyDescent="0.25">
      <c r="A107" s="2">
        <v>-30</v>
      </c>
      <c r="B107" s="1" t="s">
        <v>26</v>
      </c>
      <c r="C107" s="1" t="s">
        <v>27</v>
      </c>
      <c r="D107" s="1" t="s">
        <v>9</v>
      </c>
      <c r="E107" s="1" t="str">
        <f>_xlfn.XLOOKUP(operacje[[#This Row],[Kategoria]],kategorie[Kategoria],kategorie[Typ],"",0)</f>
        <v>Wydatki</v>
      </c>
      <c r="F107" s="3">
        <v>45476</v>
      </c>
      <c r="G107" s="1">
        <f>IF(ISBLANK(operacje[[#This Row],[Data]]),,MONTH(operacje[[#This Row],[Data]]))</f>
        <v>7</v>
      </c>
    </row>
    <row r="108" spans="1:7" x14ac:dyDescent="0.25">
      <c r="A108" s="2">
        <v>-100</v>
      </c>
      <c r="B108" s="1" t="s">
        <v>7</v>
      </c>
      <c r="C108" s="1" t="s">
        <v>8</v>
      </c>
      <c r="D108" s="1" t="s">
        <v>22</v>
      </c>
      <c r="E108" s="1" t="str">
        <f>_xlfn.XLOOKUP(operacje[[#This Row],[Kategoria]],kategorie[Kategoria],kategorie[Typ],"",0)</f>
        <v>Wydatki</v>
      </c>
      <c r="F108" s="3">
        <v>45480</v>
      </c>
      <c r="G108" s="1">
        <f>IF(ISBLANK(operacje[[#This Row],[Data]]),,MONTH(operacje[[#This Row],[Data]]))</f>
        <v>7</v>
      </c>
    </row>
    <row r="109" spans="1:7" x14ac:dyDescent="0.25">
      <c r="A109" s="2">
        <v>4500</v>
      </c>
      <c r="B109" s="1" t="s">
        <v>7</v>
      </c>
      <c r="C109" s="1" t="s">
        <v>8</v>
      </c>
      <c r="D109" s="1" t="s">
        <v>11</v>
      </c>
      <c r="E109" s="1" t="str">
        <f>_xlfn.XLOOKUP(operacje[[#This Row],[Kategoria]],kategorie[Kategoria],kategorie[Typ],"",0)</f>
        <v>Wpływy</v>
      </c>
      <c r="F109" s="3">
        <v>45483</v>
      </c>
      <c r="G109" s="1">
        <f>IF(ISBLANK(operacje[[#This Row],[Data]]),,MONTH(operacje[[#This Row],[Data]]))</f>
        <v>7</v>
      </c>
    </row>
    <row r="110" spans="1:7" x14ac:dyDescent="0.25">
      <c r="A110" s="2">
        <v>-2000</v>
      </c>
      <c r="B110" s="1" t="s">
        <v>7</v>
      </c>
      <c r="C110" s="1" t="s">
        <v>8</v>
      </c>
      <c r="D110" s="1" t="s">
        <v>13</v>
      </c>
      <c r="E110" s="1" t="str">
        <f>_xlfn.XLOOKUP(operacje[[#This Row],[Kategoria]],kategorie[Kategoria],kategorie[Typ],"",0)</f>
        <v>Wydatki</v>
      </c>
      <c r="F110" s="3">
        <v>45484</v>
      </c>
      <c r="G110" s="1">
        <f>IF(ISBLANK(operacje[[#This Row],[Data]]),,MONTH(operacje[[#This Row],[Data]]))</f>
        <v>7</v>
      </c>
    </row>
    <row r="111" spans="1:7" x14ac:dyDescent="0.25">
      <c r="A111" s="2">
        <v>-40</v>
      </c>
      <c r="B111" s="1" t="s">
        <v>7</v>
      </c>
      <c r="C111" s="1" t="s">
        <v>15</v>
      </c>
      <c r="D111" s="1" t="s">
        <v>9</v>
      </c>
      <c r="E111" s="1" t="str">
        <f>_xlfn.XLOOKUP(operacje[[#This Row],[Kategoria]],kategorie[Kategoria],kategorie[Typ],"",0)</f>
        <v>Wydatki</v>
      </c>
      <c r="F111" s="3">
        <v>45487</v>
      </c>
      <c r="G111" s="1">
        <f>IF(ISBLANK(operacje[[#This Row],[Data]]),,MONTH(operacje[[#This Row],[Data]]))</f>
        <v>7</v>
      </c>
    </row>
    <row r="112" spans="1:7" x14ac:dyDescent="0.25">
      <c r="A112" s="2">
        <v>1300</v>
      </c>
      <c r="B112" s="1" t="s">
        <v>7</v>
      </c>
      <c r="C112" s="1" t="s">
        <v>15</v>
      </c>
      <c r="D112" s="1" t="s">
        <v>31</v>
      </c>
      <c r="E112" s="1" t="str">
        <f>_xlfn.XLOOKUP(operacje[[#This Row],[Kategoria]],kategorie[Kategoria],kategorie[Typ],"",0)</f>
        <v>Transfer</v>
      </c>
      <c r="F112" s="3">
        <v>45488</v>
      </c>
      <c r="G112" s="1">
        <f>IF(ISBLANK(operacje[[#This Row],[Data]]),,MONTH(operacje[[#This Row],[Data]]))</f>
        <v>7</v>
      </c>
    </row>
    <row r="113" spans="1:7" x14ac:dyDescent="0.25">
      <c r="A113" s="2">
        <v>-1300</v>
      </c>
      <c r="B113" s="1" t="s">
        <v>7</v>
      </c>
      <c r="C113" s="1" t="s">
        <v>8</v>
      </c>
      <c r="D113" s="1" t="s">
        <v>31</v>
      </c>
      <c r="E113" s="1" t="str">
        <f>_xlfn.XLOOKUP(operacje[[#This Row],[Kategoria]],kategorie[Kategoria],kategorie[Typ],"",0)</f>
        <v>Transfer</v>
      </c>
      <c r="F113" s="3">
        <v>45488</v>
      </c>
      <c r="G113" s="1">
        <f>IF(ISBLANK(operacje[[#This Row],[Data]]),,MONTH(operacje[[#This Row],[Data]]))</f>
        <v>7</v>
      </c>
    </row>
    <row r="114" spans="1:7" x14ac:dyDescent="0.25">
      <c r="A114" s="2">
        <v>-300</v>
      </c>
      <c r="B114" s="1" t="s">
        <v>7</v>
      </c>
      <c r="C114" s="1" t="s">
        <v>18</v>
      </c>
      <c r="D114" s="1" t="s">
        <v>30</v>
      </c>
      <c r="E114" s="1" t="str">
        <f>_xlfn.XLOOKUP(operacje[[#This Row],[Kategoria]],kategorie[Kategoria],kategorie[Typ],"",0)</f>
        <v>Wydatki</v>
      </c>
      <c r="F114" s="3">
        <v>45489</v>
      </c>
      <c r="G114" s="1">
        <f>IF(ISBLANK(operacje[[#This Row],[Data]]),,MONTH(operacje[[#This Row],[Data]]))</f>
        <v>7</v>
      </c>
    </row>
    <row r="115" spans="1:7" x14ac:dyDescent="0.25">
      <c r="A115" s="2">
        <v>800</v>
      </c>
      <c r="B115" s="1" t="s">
        <v>14</v>
      </c>
      <c r="C115" s="1" t="s">
        <v>20</v>
      </c>
      <c r="D115" s="1" t="s">
        <v>32</v>
      </c>
      <c r="E115" s="1" t="str">
        <f>_xlfn.XLOOKUP(operacje[[#This Row],[Kategoria]],kategorie[Kategoria],kategorie[Typ],"",0)</f>
        <v>Wpływy</v>
      </c>
      <c r="F115" s="3">
        <v>45491</v>
      </c>
      <c r="G115" s="1">
        <f>IF(ISBLANK(operacje[[#This Row],[Data]]),,MONTH(operacje[[#This Row],[Data]]))</f>
        <v>7</v>
      </c>
    </row>
    <row r="116" spans="1:7" x14ac:dyDescent="0.25">
      <c r="A116" s="2">
        <v>-600</v>
      </c>
      <c r="B116" s="1" t="s">
        <v>14</v>
      </c>
      <c r="C116" s="1" t="s">
        <v>8</v>
      </c>
      <c r="D116" s="1" t="s">
        <v>22</v>
      </c>
      <c r="E116" s="1" t="str">
        <f>_xlfn.XLOOKUP(operacje[[#This Row],[Kategoria]],kategorie[Kategoria],kategorie[Typ],"",0)</f>
        <v>Wydatki</v>
      </c>
      <c r="F116" s="3">
        <v>45494</v>
      </c>
      <c r="G116" s="1">
        <f>IF(ISBLANK(operacje[[#This Row],[Data]]),,MONTH(operacje[[#This Row],[Data]]))</f>
        <v>7</v>
      </c>
    </row>
    <row r="117" spans="1:7" x14ac:dyDescent="0.25">
      <c r="A117" s="2">
        <v>120</v>
      </c>
      <c r="B117" s="1" t="s">
        <v>7</v>
      </c>
      <c r="C117" s="1" t="s">
        <v>18</v>
      </c>
      <c r="D117" s="1" t="s">
        <v>29</v>
      </c>
      <c r="E117" s="1" t="str">
        <f>_xlfn.XLOOKUP(operacje[[#This Row],[Kategoria]],kategorie[Kategoria],kategorie[Typ],"",0)</f>
        <v>Wpływy</v>
      </c>
      <c r="F117" s="3">
        <v>45495</v>
      </c>
      <c r="G117" s="1">
        <f>IF(ISBLANK(operacje[[#This Row],[Data]]),,MONTH(operacje[[#This Row],[Data]]))</f>
        <v>7</v>
      </c>
    </row>
    <row r="118" spans="1:7" x14ac:dyDescent="0.25">
      <c r="A118" s="2">
        <v>-90</v>
      </c>
      <c r="B118" s="1" t="s">
        <v>7</v>
      </c>
      <c r="C118" s="1" t="s">
        <v>8</v>
      </c>
      <c r="D118" s="1" t="s">
        <v>23</v>
      </c>
      <c r="E118" s="1" t="str">
        <f>_xlfn.XLOOKUP(operacje[[#This Row],[Kategoria]],kategorie[Kategoria],kategorie[Typ],"",0)</f>
        <v>Wydatki</v>
      </c>
      <c r="F118" s="3">
        <v>45497</v>
      </c>
      <c r="G118" s="1">
        <f>IF(ISBLANK(operacje[[#This Row],[Data]]),,MONTH(operacje[[#This Row],[Data]]))</f>
        <v>7</v>
      </c>
    </row>
    <row r="119" spans="1:7" x14ac:dyDescent="0.25">
      <c r="A119" s="2">
        <v>-50</v>
      </c>
      <c r="B119" s="1" t="s">
        <v>7</v>
      </c>
      <c r="C119" s="1" t="s">
        <v>15</v>
      </c>
      <c r="D119" s="1" t="s">
        <v>9</v>
      </c>
      <c r="E119" s="1" t="str">
        <f>_xlfn.XLOOKUP(operacje[[#This Row],[Kategoria]],kategorie[Kategoria],kategorie[Typ],"",0)</f>
        <v>Wydatki</v>
      </c>
      <c r="F119" s="3">
        <v>45499</v>
      </c>
      <c r="G119" s="1">
        <f>IF(ISBLANK(operacje[[#This Row],[Data]]),,MONTH(operacje[[#This Row],[Data]]))</f>
        <v>7</v>
      </c>
    </row>
    <row r="120" spans="1:7" x14ac:dyDescent="0.25">
      <c r="A120" s="2">
        <v>250</v>
      </c>
      <c r="B120" s="1" t="s">
        <v>14</v>
      </c>
      <c r="C120" s="1" t="s">
        <v>20</v>
      </c>
      <c r="D120" s="1" t="s">
        <v>24</v>
      </c>
      <c r="E120" s="1" t="str">
        <f>_xlfn.XLOOKUP(operacje[[#This Row],[Kategoria]],kategorie[Kategoria],kategorie[Typ],"",0)</f>
        <v>Wydatki</v>
      </c>
      <c r="F120" s="3">
        <v>45502</v>
      </c>
      <c r="G120" s="1">
        <f>IF(ISBLANK(operacje[[#This Row],[Data]]),,MONTH(operacje[[#This Row],[Data]]))</f>
        <v>7</v>
      </c>
    </row>
    <row r="121" spans="1:7" x14ac:dyDescent="0.25">
      <c r="A121" s="2">
        <v>500</v>
      </c>
      <c r="B121" s="1" t="s">
        <v>14</v>
      </c>
      <c r="C121" s="1" t="s">
        <v>8</v>
      </c>
      <c r="D121" s="1" t="s">
        <v>33</v>
      </c>
      <c r="E121" s="1" t="str">
        <f>_xlfn.XLOOKUP(operacje[[#This Row],[Kategoria]],kategorie[Kategoria],kategorie[Typ],"",0)</f>
        <v>Wpływy</v>
      </c>
      <c r="F121" s="3">
        <v>45503</v>
      </c>
      <c r="G121" s="1">
        <f>IF(ISBLANK(operacje[[#This Row],[Data]]),,MONTH(operacje[[#This Row],[Data]]))</f>
        <v>7</v>
      </c>
    </row>
    <row r="122" spans="1:7" x14ac:dyDescent="0.25">
      <c r="A122" s="2">
        <v>-45</v>
      </c>
      <c r="B122" s="1" t="s">
        <v>7</v>
      </c>
      <c r="C122" s="1" t="s">
        <v>15</v>
      </c>
      <c r="D122" s="1" t="s">
        <v>9</v>
      </c>
      <c r="E122" s="1" t="str">
        <f>_xlfn.XLOOKUP(operacje[[#This Row],[Kategoria]],kategorie[Kategoria],kategorie[Typ],"",0)</f>
        <v>Wydatki</v>
      </c>
      <c r="F122" s="3">
        <v>45504</v>
      </c>
      <c r="G122" s="1">
        <f>IF(ISBLANK(operacje[[#This Row],[Data]]),,MONTH(operacje[[#This Row],[Data]]))</f>
        <v>7</v>
      </c>
    </row>
    <row r="123" spans="1:7" x14ac:dyDescent="0.25">
      <c r="A123" s="2">
        <v>-600</v>
      </c>
      <c r="B123" s="1" t="s">
        <v>7</v>
      </c>
      <c r="C123" s="1" t="s">
        <v>8</v>
      </c>
      <c r="D123" s="1" t="s">
        <v>9</v>
      </c>
      <c r="E123" s="1" t="str">
        <f>_xlfn.XLOOKUP(operacje[[#This Row],[Kategoria]],kategorie[Kategoria],kategorie[Typ],"",0)</f>
        <v>Wydatki</v>
      </c>
      <c r="F123" s="3">
        <v>45505</v>
      </c>
      <c r="G123" s="1">
        <f>IF(ISBLANK(operacje[[#This Row],[Data]]),,MONTH(operacje[[#This Row],[Data]]))</f>
        <v>8</v>
      </c>
    </row>
    <row r="124" spans="1:7" x14ac:dyDescent="0.25">
      <c r="A124" s="2">
        <v>-1020</v>
      </c>
      <c r="B124" s="1" t="s">
        <v>7</v>
      </c>
      <c r="C124" s="1" t="s">
        <v>18</v>
      </c>
      <c r="D124" s="1" t="s">
        <v>31</v>
      </c>
      <c r="E124" s="1" t="str">
        <f>_xlfn.XLOOKUP(operacje[[#This Row],[Kategoria]],kategorie[Kategoria],kategorie[Typ],"",0)</f>
        <v>Transfer</v>
      </c>
      <c r="F124" s="3">
        <v>45505</v>
      </c>
      <c r="G124" s="1">
        <f>IF(ISBLANK(operacje[[#This Row],[Data]]),,MONTH(operacje[[#This Row],[Data]]))</f>
        <v>8</v>
      </c>
    </row>
    <row r="125" spans="1:7" x14ac:dyDescent="0.25">
      <c r="A125" s="2">
        <v>-200</v>
      </c>
      <c r="B125" s="1" t="s">
        <v>14</v>
      </c>
      <c r="C125" s="1" t="s">
        <v>8</v>
      </c>
      <c r="D125" s="1" t="s">
        <v>23</v>
      </c>
      <c r="E125" s="1" t="str">
        <f>_xlfn.XLOOKUP(operacje[[#This Row],[Kategoria]],kategorie[Kategoria],kategorie[Typ],"",0)</f>
        <v>Wydatki</v>
      </c>
      <c r="F125" s="3">
        <v>45505</v>
      </c>
      <c r="G125" s="1">
        <f>IF(ISBLANK(operacje[[#This Row],[Data]]),,MONTH(operacje[[#This Row],[Data]]))</f>
        <v>8</v>
      </c>
    </row>
    <row r="126" spans="1:7" x14ac:dyDescent="0.25">
      <c r="A126" s="2">
        <v>-70</v>
      </c>
      <c r="B126" s="1" t="s">
        <v>7</v>
      </c>
      <c r="C126" s="1" t="s">
        <v>15</v>
      </c>
      <c r="D126" s="1" t="s">
        <v>9</v>
      </c>
      <c r="E126" s="1" t="str">
        <f>_xlfn.XLOOKUP(operacje[[#This Row],[Kategoria]],kategorie[Kategoria],kategorie[Typ],"",0)</f>
        <v>Wydatki</v>
      </c>
      <c r="F126" s="3">
        <v>45513</v>
      </c>
      <c r="G126" s="1">
        <f>IF(ISBLANK(operacje[[#This Row],[Data]]),,MONTH(operacje[[#This Row],[Data]]))</f>
        <v>8</v>
      </c>
    </row>
    <row r="127" spans="1:7" x14ac:dyDescent="0.25">
      <c r="A127" s="2">
        <v>4500</v>
      </c>
      <c r="B127" s="1" t="s">
        <v>7</v>
      </c>
      <c r="C127" s="1" t="s">
        <v>8</v>
      </c>
      <c r="D127" s="1" t="s">
        <v>11</v>
      </c>
      <c r="E127" s="1" t="str">
        <f>_xlfn.XLOOKUP(operacje[[#This Row],[Kategoria]],kategorie[Kategoria],kategorie[Typ],"",0)</f>
        <v>Wpływy</v>
      </c>
      <c r="F127" s="3">
        <v>45514</v>
      </c>
      <c r="G127" s="1">
        <f>IF(ISBLANK(operacje[[#This Row],[Data]]),,MONTH(operacje[[#This Row],[Data]]))</f>
        <v>8</v>
      </c>
    </row>
    <row r="128" spans="1:7" x14ac:dyDescent="0.25">
      <c r="A128" s="2">
        <v>-2000</v>
      </c>
      <c r="B128" s="1" t="s">
        <v>7</v>
      </c>
      <c r="C128" s="1" t="s">
        <v>8</v>
      </c>
      <c r="D128" s="1" t="s">
        <v>13</v>
      </c>
      <c r="E128" s="1" t="str">
        <f>_xlfn.XLOOKUP(operacje[[#This Row],[Kategoria]],kategorie[Kategoria],kategorie[Typ],"",0)</f>
        <v>Wydatki</v>
      </c>
      <c r="F128" s="3">
        <v>45515</v>
      </c>
      <c r="G128" s="1">
        <f>IF(ISBLANK(operacje[[#This Row],[Data]]),,MONTH(operacje[[#This Row],[Data]]))</f>
        <v>8</v>
      </c>
    </row>
    <row r="129" spans="1:7" x14ac:dyDescent="0.25">
      <c r="A129" s="2">
        <v>-100</v>
      </c>
      <c r="B129" s="1" t="s">
        <v>14</v>
      </c>
      <c r="C129" s="1" t="s">
        <v>8</v>
      </c>
      <c r="D129" s="1" t="s">
        <v>22</v>
      </c>
      <c r="E129" s="1" t="str">
        <f>_xlfn.XLOOKUP(operacje[[#This Row],[Kategoria]],kategorie[Kategoria],kategorie[Typ],"",0)</f>
        <v>Wydatki</v>
      </c>
      <c r="F129" s="3">
        <v>45518</v>
      </c>
      <c r="G129" s="1">
        <f>IF(ISBLANK(operacje[[#This Row],[Data]]),,MONTH(operacje[[#This Row],[Data]]))</f>
        <v>8</v>
      </c>
    </row>
    <row r="130" spans="1:7" x14ac:dyDescent="0.25">
      <c r="A130" s="2">
        <v>135</v>
      </c>
      <c r="B130" s="1" t="s">
        <v>7</v>
      </c>
      <c r="C130" s="1" t="s">
        <v>15</v>
      </c>
      <c r="D130" s="1" t="s">
        <v>31</v>
      </c>
      <c r="E130" s="1" t="str">
        <f>_xlfn.XLOOKUP(operacje[[#This Row],[Kategoria]],kategorie[Kategoria],kategorie[Typ],"",0)</f>
        <v>Transfer</v>
      </c>
      <c r="F130" s="3">
        <v>45519</v>
      </c>
      <c r="G130" s="1">
        <f>IF(ISBLANK(operacje[[#This Row],[Data]]),,MONTH(operacje[[#This Row],[Data]]))</f>
        <v>8</v>
      </c>
    </row>
    <row r="131" spans="1:7" x14ac:dyDescent="0.25">
      <c r="A131" s="2">
        <v>-135</v>
      </c>
      <c r="B131" s="1" t="s">
        <v>7</v>
      </c>
      <c r="C131" s="1" t="s">
        <v>8</v>
      </c>
      <c r="D131" s="1" t="s">
        <v>31</v>
      </c>
      <c r="E131" s="1" t="str">
        <f>_xlfn.XLOOKUP(operacje[[#This Row],[Kategoria]],kategorie[Kategoria],kategorie[Typ],"",0)</f>
        <v>Transfer</v>
      </c>
      <c r="F131" s="3">
        <v>45519</v>
      </c>
      <c r="G131" s="1">
        <f>IF(ISBLANK(operacje[[#This Row],[Data]]),,MONTH(operacje[[#This Row],[Data]]))</f>
        <v>8</v>
      </c>
    </row>
    <row r="132" spans="1:7" x14ac:dyDescent="0.25">
      <c r="A132" s="2">
        <v>-400</v>
      </c>
      <c r="B132" s="1" t="s">
        <v>7</v>
      </c>
      <c r="C132" s="1" t="s">
        <v>8</v>
      </c>
      <c r="D132" s="1" t="s">
        <v>30</v>
      </c>
      <c r="E132" s="1" t="str">
        <f>_xlfn.XLOOKUP(operacje[[#This Row],[Kategoria]],kategorie[Kategoria],kategorie[Typ],"",0)</f>
        <v>Wydatki</v>
      </c>
      <c r="F132" s="3">
        <v>45520</v>
      </c>
      <c r="G132" s="1">
        <f>IF(ISBLANK(operacje[[#This Row],[Data]]),,MONTH(operacje[[#This Row],[Data]]))</f>
        <v>8</v>
      </c>
    </row>
    <row r="133" spans="1:7" x14ac:dyDescent="0.25">
      <c r="A133" s="2">
        <v>-32</v>
      </c>
      <c r="B133" s="1" t="s">
        <v>7</v>
      </c>
      <c r="C133" s="1" t="s">
        <v>15</v>
      </c>
      <c r="D133" s="1" t="s">
        <v>9</v>
      </c>
      <c r="E133" s="1" t="str">
        <f>_xlfn.XLOOKUP(operacje[[#This Row],[Kategoria]],kategorie[Kategoria],kategorie[Typ],"",0)</f>
        <v>Wydatki</v>
      </c>
      <c r="F133" s="3">
        <v>45522</v>
      </c>
      <c r="G133" s="1">
        <f>IF(ISBLANK(operacje[[#This Row],[Data]]),,MONTH(operacje[[#This Row],[Data]]))</f>
        <v>8</v>
      </c>
    </row>
    <row r="134" spans="1:7" x14ac:dyDescent="0.25">
      <c r="A134" s="2">
        <v>200</v>
      </c>
      <c r="B134" s="1" t="s">
        <v>26</v>
      </c>
      <c r="C134" s="1" t="s">
        <v>28</v>
      </c>
      <c r="D134" s="1" t="s">
        <v>32</v>
      </c>
      <c r="E134" s="1" t="str">
        <f>_xlfn.XLOOKUP(operacje[[#This Row],[Kategoria]],kategorie[Kategoria],kategorie[Typ],"",0)</f>
        <v>Wpływy</v>
      </c>
      <c r="F134" s="3">
        <v>45524</v>
      </c>
      <c r="G134" s="1">
        <f>IF(ISBLANK(operacje[[#This Row],[Data]]),,MONTH(operacje[[#This Row],[Data]]))</f>
        <v>8</v>
      </c>
    </row>
    <row r="135" spans="1:7" x14ac:dyDescent="0.25">
      <c r="A135" s="2">
        <v>-150</v>
      </c>
      <c r="B135" s="1" t="s">
        <v>26</v>
      </c>
      <c r="C135" s="1" t="s">
        <v>28</v>
      </c>
      <c r="D135" s="1" t="s">
        <v>22</v>
      </c>
      <c r="E135" s="1" t="str">
        <f>_xlfn.XLOOKUP(operacje[[#This Row],[Kategoria]],kategorie[Kategoria],kategorie[Typ],"",0)</f>
        <v>Wydatki</v>
      </c>
      <c r="F135" s="3">
        <v>45526</v>
      </c>
      <c r="G135" s="1">
        <f>IF(ISBLANK(operacje[[#This Row],[Data]]),,MONTH(operacje[[#This Row],[Data]]))</f>
        <v>8</v>
      </c>
    </row>
    <row r="136" spans="1:7" x14ac:dyDescent="0.25">
      <c r="A136" s="2">
        <v>-47.5</v>
      </c>
      <c r="B136" s="1" t="s">
        <v>26</v>
      </c>
      <c r="C136" s="1" t="s">
        <v>28</v>
      </c>
      <c r="D136" s="1" t="s">
        <v>9</v>
      </c>
      <c r="E136" s="1" t="str">
        <f>_xlfn.XLOOKUP(operacje[[#This Row],[Kategoria]],kategorie[Kategoria],kategorie[Typ],"",0)</f>
        <v>Wydatki</v>
      </c>
      <c r="F136" s="3">
        <v>45527</v>
      </c>
      <c r="G136" s="1">
        <f>IF(ISBLANK(operacje[[#This Row],[Data]]),,MONTH(operacje[[#This Row],[Data]]))</f>
        <v>8</v>
      </c>
    </row>
    <row r="137" spans="1:7" x14ac:dyDescent="0.25">
      <c r="A137" s="2">
        <v>-90</v>
      </c>
      <c r="B137" s="1" t="s">
        <v>7</v>
      </c>
      <c r="C137" s="1" t="s">
        <v>8</v>
      </c>
      <c r="D137" s="1" t="s">
        <v>23</v>
      </c>
      <c r="E137" s="1" t="str">
        <f>_xlfn.XLOOKUP(operacje[[#This Row],[Kategoria]],kategorie[Kategoria],kategorie[Typ],"",0)</f>
        <v>Wydatki</v>
      </c>
      <c r="F137" s="3">
        <v>45528</v>
      </c>
      <c r="G137" s="1">
        <f>IF(ISBLANK(operacje[[#This Row],[Data]]),,MONTH(operacje[[#This Row],[Data]]))</f>
        <v>8</v>
      </c>
    </row>
    <row r="138" spans="1:7" x14ac:dyDescent="0.25">
      <c r="A138" s="2">
        <v>-300</v>
      </c>
      <c r="B138" s="1" t="s">
        <v>14</v>
      </c>
      <c r="C138" s="1" t="s">
        <v>20</v>
      </c>
      <c r="D138" s="1" t="s">
        <v>24</v>
      </c>
      <c r="E138" s="1" t="str">
        <f>_xlfn.XLOOKUP(operacje[[#This Row],[Kategoria]],kategorie[Kategoria],kategorie[Typ],"",0)</f>
        <v>Wydatki</v>
      </c>
      <c r="F138" s="3">
        <v>45531</v>
      </c>
      <c r="G138" s="1">
        <f>IF(ISBLANK(operacje[[#This Row],[Data]]),,MONTH(operacje[[#This Row],[Data]]))</f>
        <v>8</v>
      </c>
    </row>
    <row r="139" spans="1:7" x14ac:dyDescent="0.25">
      <c r="A139" s="2">
        <v>500</v>
      </c>
      <c r="B139" s="1" t="s">
        <v>14</v>
      </c>
      <c r="C139" s="1" t="s">
        <v>8</v>
      </c>
      <c r="D139" s="1" t="s">
        <v>33</v>
      </c>
      <c r="E139" s="1" t="str">
        <f>_xlfn.XLOOKUP(operacje[[#This Row],[Kategoria]],kategorie[Kategoria],kategorie[Typ],"",0)</f>
        <v>Wpływy</v>
      </c>
      <c r="F139" s="3">
        <v>45534</v>
      </c>
      <c r="G139" s="1">
        <f>IF(ISBLANK(operacje[[#This Row],[Data]]),,MONTH(operacje[[#This Row],[Data]]))</f>
        <v>8</v>
      </c>
    </row>
    <row r="140" spans="1:7" x14ac:dyDescent="0.25">
      <c r="A140" s="2">
        <v>200</v>
      </c>
      <c r="B140" s="1" t="s">
        <v>7</v>
      </c>
      <c r="C140" s="1" t="s">
        <v>8</v>
      </c>
      <c r="D140" s="1" t="s">
        <v>32</v>
      </c>
      <c r="E140" s="1" t="str">
        <f>_xlfn.XLOOKUP(operacje[[#This Row],[Kategoria]],kategorie[Kategoria],kategorie[Typ],"",0)</f>
        <v>Wpływy</v>
      </c>
      <c r="F140" s="3">
        <v>45535</v>
      </c>
      <c r="G140" s="1">
        <f>IF(ISBLANK(operacje[[#This Row],[Data]]),,MONTH(operacje[[#This Row],[Data]]))</f>
        <v>8</v>
      </c>
    </row>
    <row r="141" spans="1:7" x14ac:dyDescent="0.25">
      <c r="A141" s="2">
        <v>-150</v>
      </c>
      <c r="B141" s="1" t="s">
        <v>7</v>
      </c>
      <c r="C141" s="1" t="s">
        <v>8</v>
      </c>
      <c r="D141" s="1" t="s">
        <v>23</v>
      </c>
      <c r="E141" s="1" t="str">
        <f>_xlfn.XLOOKUP(operacje[[#This Row],[Kategoria]],kategorie[Kategoria],kategorie[Typ],"",0)</f>
        <v>Wydatki</v>
      </c>
      <c r="F141" s="3">
        <v>45536</v>
      </c>
      <c r="G141" s="1">
        <f>IF(ISBLANK(operacje[[#This Row],[Data]]),,MONTH(operacje[[#This Row],[Data]]))</f>
        <v>9</v>
      </c>
    </row>
    <row r="142" spans="1:7" x14ac:dyDescent="0.25">
      <c r="A142" s="2">
        <v>-20</v>
      </c>
      <c r="B142" s="1" t="s">
        <v>14</v>
      </c>
      <c r="C142" s="1" t="s">
        <v>8</v>
      </c>
      <c r="D142" s="1" t="s">
        <v>9</v>
      </c>
      <c r="E142" s="1" t="str">
        <f>_xlfn.XLOOKUP(operacje[[#This Row],[Kategoria]],kategorie[Kategoria],kategorie[Typ],"",0)</f>
        <v>Wydatki</v>
      </c>
      <c r="F142" s="3">
        <v>45539</v>
      </c>
      <c r="G142" s="1">
        <f>IF(ISBLANK(operacje[[#This Row],[Data]]),,MONTH(operacje[[#This Row],[Data]]))</f>
        <v>9</v>
      </c>
    </row>
    <row r="143" spans="1:7" x14ac:dyDescent="0.25">
      <c r="A143" s="2">
        <v>-40</v>
      </c>
      <c r="B143" s="1" t="s">
        <v>7</v>
      </c>
      <c r="C143" s="1" t="s">
        <v>8</v>
      </c>
      <c r="D143" s="1" t="s">
        <v>16</v>
      </c>
      <c r="E143" s="1" t="str">
        <f>_xlfn.XLOOKUP(operacje[[#This Row],[Kategoria]],kategorie[Kategoria],kategorie[Typ],"",0)</f>
        <v>Wydatki</v>
      </c>
      <c r="F143" s="3">
        <v>45542</v>
      </c>
      <c r="G143" s="1">
        <f>IF(ISBLANK(operacje[[#This Row],[Data]]),,MONTH(operacje[[#This Row],[Data]]))</f>
        <v>9</v>
      </c>
    </row>
    <row r="144" spans="1:7" x14ac:dyDescent="0.25">
      <c r="A144" s="2">
        <v>-500</v>
      </c>
      <c r="B144" s="1" t="s">
        <v>7</v>
      </c>
      <c r="C144" s="1" t="s">
        <v>8</v>
      </c>
      <c r="D144" s="1" t="s">
        <v>9</v>
      </c>
      <c r="E144" s="1" t="str">
        <f>_xlfn.XLOOKUP(operacje[[#This Row],[Kategoria]],kategorie[Kategoria],kategorie[Typ],"",0)</f>
        <v>Wydatki</v>
      </c>
      <c r="F144" s="3">
        <v>45543</v>
      </c>
      <c r="G144" s="1">
        <f>IF(ISBLANK(operacje[[#This Row],[Data]]),,MONTH(operacje[[#This Row],[Data]]))</f>
        <v>9</v>
      </c>
    </row>
    <row r="145" spans="1:7" x14ac:dyDescent="0.25">
      <c r="A145" s="2">
        <v>4500</v>
      </c>
      <c r="B145" s="1" t="s">
        <v>7</v>
      </c>
      <c r="C145" s="1" t="s">
        <v>8</v>
      </c>
      <c r="D145" s="1" t="s">
        <v>11</v>
      </c>
      <c r="E145" s="1" t="str">
        <f>_xlfn.XLOOKUP(operacje[[#This Row],[Kategoria]],kategorie[Kategoria],kategorie[Typ],"",0)</f>
        <v>Wpływy</v>
      </c>
      <c r="F145" s="3">
        <v>45545</v>
      </c>
      <c r="G145" s="1">
        <f>IF(ISBLANK(operacje[[#This Row],[Data]]),,MONTH(operacje[[#This Row],[Data]]))</f>
        <v>9</v>
      </c>
    </row>
    <row r="146" spans="1:7" x14ac:dyDescent="0.25">
      <c r="A146" s="2">
        <v>-20</v>
      </c>
      <c r="B146" s="1" t="s">
        <v>7</v>
      </c>
      <c r="C146" s="1" t="s">
        <v>15</v>
      </c>
      <c r="D146" s="1" t="s">
        <v>22</v>
      </c>
      <c r="E146" s="1" t="str">
        <f>_xlfn.XLOOKUP(operacje[[#This Row],[Kategoria]],kategorie[Kategoria],kategorie[Typ],"",0)</f>
        <v>Wydatki</v>
      </c>
      <c r="F146" s="3">
        <v>45546</v>
      </c>
      <c r="G146" s="1">
        <f>IF(ISBLANK(operacje[[#This Row],[Data]]),,MONTH(operacje[[#This Row],[Data]]))</f>
        <v>9</v>
      </c>
    </row>
    <row r="147" spans="1:7" x14ac:dyDescent="0.25">
      <c r="A147" s="2">
        <v>-2000</v>
      </c>
      <c r="B147" s="1" t="s">
        <v>7</v>
      </c>
      <c r="C147" s="1" t="s">
        <v>8</v>
      </c>
      <c r="D147" s="1" t="s">
        <v>13</v>
      </c>
      <c r="E147" s="1" t="str">
        <f>_xlfn.XLOOKUP(operacje[[#This Row],[Kategoria]],kategorie[Kategoria],kategorie[Typ],"",0)</f>
        <v>Wydatki</v>
      </c>
      <c r="F147" s="3">
        <v>45546</v>
      </c>
      <c r="G147" s="1">
        <f>IF(ISBLANK(operacje[[#This Row],[Data]]),,MONTH(operacje[[#This Row],[Data]]))</f>
        <v>9</v>
      </c>
    </row>
    <row r="148" spans="1:7" x14ac:dyDescent="0.25">
      <c r="A148" s="2">
        <v>102</v>
      </c>
      <c r="B148" s="1" t="s">
        <v>7</v>
      </c>
      <c r="C148" s="1" t="s">
        <v>15</v>
      </c>
      <c r="D148" s="1" t="s">
        <v>31</v>
      </c>
      <c r="E148" s="1" t="str">
        <f>_xlfn.XLOOKUP(operacje[[#This Row],[Kategoria]],kategorie[Kategoria],kategorie[Typ],"",0)</f>
        <v>Transfer</v>
      </c>
      <c r="F148" s="3">
        <v>45550</v>
      </c>
      <c r="G148" s="1">
        <f>IF(ISBLANK(operacje[[#This Row],[Data]]),,MONTH(operacje[[#This Row],[Data]]))</f>
        <v>9</v>
      </c>
    </row>
    <row r="149" spans="1:7" x14ac:dyDescent="0.25">
      <c r="A149" s="2">
        <v>-102</v>
      </c>
      <c r="B149" s="1" t="s">
        <v>7</v>
      </c>
      <c r="C149" s="1" t="s">
        <v>8</v>
      </c>
      <c r="D149" s="1" t="s">
        <v>31</v>
      </c>
      <c r="E149" s="1" t="str">
        <f>_xlfn.XLOOKUP(operacje[[#This Row],[Kategoria]],kategorie[Kategoria],kategorie[Typ],"",0)</f>
        <v>Transfer</v>
      </c>
      <c r="F149" s="3">
        <v>45550</v>
      </c>
      <c r="G149" s="1">
        <f>IF(ISBLANK(operacje[[#This Row],[Data]]),,MONTH(operacje[[#This Row],[Data]]))</f>
        <v>9</v>
      </c>
    </row>
    <row r="150" spans="1:7" x14ac:dyDescent="0.25">
      <c r="A150" s="2">
        <v>-18.5</v>
      </c>
      <c r="B150" s="1" t="s">
        <v>7</v>
      </c>
      <c r="C150" s="1" t="s">
        <v>8</v>
      </c>
      <c r="D150" s="1" t="s">
        <v>9</v>
      </c>
      <c r="E150" s="1" t="str">
        <f>_xlfn.XLOOKUP(operacje[[#This Row],[Kategoria]],kategorie[Kategoria],kategorie[Typ],"",0)</f>
        <v>Wydatki</v>
      </c>
      <c r="F150" s="3">
        <v>45553</v>
      </c>
      <c r="G150" s="1">
        <f>IF(ISBLANK(operacje[[#This Row],[Data]]),,MONTH(operacje[[#This Row],[Data]]))</f>
        <v>9</v>
      </c>
    </row>
    <row r="151" spans="1:7" x14ac:dyDescent="0.25">
      <c r="A151" s="2">
        <v>-150</v>
      </c>
      <c r="B151" s="1" t="s">
        <v>7</v>
      </c>
      <c r="C151" s="1" t="s">
        <v>8</v>
      </c>
      <c r="D151" s="1" t="s">
        <v>23</v>
      </c>
      <c r="E151" s="1" t="str">
        <f>_xlfn.XLOOKUP(operacje[[#This Row],[Kategoria]],kategorie[Kategoria],kategorie[Typ],"",0)</f>
        <v>Wydatki</v>
      </c>
      <c r="F151" s="3">
        <v>45566</v>
      </c>
      <c r="G151" s="1">
        <f>IF(ISBLANK(operacje[[#This Row],[Data]]),,MONTH(operacje[[#This Row],[Data]]))</f>
        <v>10</v>
      </c>
    </row>
    <row r="152" spans="1:7" x14ac:dyDescent="0.25">
      <c r="A152" s="2">
        <v>-40</v>
      </c>
      <c r="B152" s="1" t="s">
        <v>7</v>
      </c>
      <c r="C152" s="1" t="s">
        <v>8</v>
      </c>
      <c r="D152" s="1" t="s">
        <v>16</v>
      </c>
      <c r="E152" s="1" t="str">
        <f>_xlfn.XLOOKUP(operacje[[#This Row],[Kategoria]],kategorie[Kategoria],kategorie[Typ],"",0)</f>
        <v>Wydatki</v>
      </c>
      <c r="F152" s="3">
        <v>45572</v>
      </c>
      <c r="G152" s="1">
        <f>IF(ISBLANK(operacje[[#This Row],[Data]]),,MONTH(operacje[[#This Row],[Data]]))</f>
        <v>10</v>
      </c>
    </row>
    <row r="153" spans="1:7" x14ac:dyDescent="0.25">
      <c r="A153" s="2">
        <v>-600</v>
      </c>
      <c r="B153" s="1" t="s">
        <v>7</v>
      </c>
      <c r="C153" s="1" t="s">
        <v>8</v>
      </c>
      <c r="D153" s="1" t="s">
        <v>9</v>
      </c>
      <c r="E153" s="1" t="str">
        <f>_xlfn.XLOOKUP(operacje[[#This Row],[Kategoria]],kategorie[Kategoria],kategorie[Typ],"",0)</f>
        <v>Wydatki</v>
      </c>
      <c r="F153" s="3">
        <v>45573</v>
      </c>
      <c r="G153" s="1">
        <f>IF(ISBLANK(operacje[[#This Row],[Data]]),,MONTH(operacje[[#This Row],[Data]]))</f>
        <v>10</v>
      </c>
    </row>
    <row r="154" spans="1:7" x14ac:dyDescent="0.25">
      <c r="A154" s="2">
        <v>4500</v>
      </c>
      <c r="B154" s="1" t="s">
        <v>7</v>
      </c>
      <c r="C154" s="1" t="s">
        <v>8</v>
      </c>
      <c r="D154" s="1" t="s">
        <v>11</v>
      </c>
      <c r="E154" s="1" t="str">
        <f>_xlfn.XLOOKUP(operacje[[#This Row],[Kategoria]],kategorie[Kategoria],kategorie[Typ],"",0)</f>
        <v>Wpływy</v>
      </c>
      <c r="F154" s="3">
        <v>45575</v>
      </c>
      <c r="G154" s="1">
        <f>IF(ISBLANK(operacje[[#This Row],[Data]]),,MONTH(operacje[[#This Row],[Data]]))</f>
        <v>10</v>
      </c>
    </row>
    <row r="155" spans="1:7" x14ac:dyDescent="0.25">
      <c r="A155" s="2">
        <v>-40</v>
      </c>
      <c r="B155" s="1" t="s">
        <v>7</v>
      </c>
      <c r="C155" s="1" t="s">
        <v>15</v>
      </c>
      <c r="D155" s="1" t="s">
        <v>22</v>
      </c>
      <c r="E155" s="1" t="str">
        <f>_xlfn.XLOOKUP(operacje[[#This Row],[Kategoria]],kategorie[Kategoria],kategorie[Typ],"",0)</f>
        <v>Wydatki</v>
      </c>
      <c r="F155" s="3">
        <v>45576</v>
      </c>
      <c r="G155" s="1">
        <f>IF(ISBLANK(operacje[[#This Row],[Data]]),,MONTH(operacje[[#This Row],[Data]]))</f>
        <v>10</v>
      </c>
    </row>
    <row r="156" spans="1:7" x14ac:dyDescent="0.25">
      <c r="A156" s="2">
        <v>-2000</v>
      </c>
      <c r="B156" s="1" t="s">
        <v>7</v>
      </c>
      <c r="C156" s="1" t="s">
        <v>8</v>
      </c>
      <c r="D156" s="1" t="s">
        <v>13</v>
      </c>
      <c r="E156" s="1" t="str">
        <f>_xlfn.XLOOKUP(operacje[[#This Row],[Kategoria]],kategorie[Kategoria],kategorie[Typ],"",0)</f>
        <v>Wydatki</v>
      </c>
      <c r="F156" s="3">
        <v>45576</v>
      </c>
      <c r="G156" s="1">
        <f>IF(ISBLANK(operacje[[#This Row],[Data]]),,MONTH(operacje[[#This Row],[Data]]))</f>
        <v>10</v>
      </c>
    </row>
    <row r="157" spans="1:7" x14ac:dyDescent="0.25">
      <c r="A157" s="2">
        <v>20</v>
      </c>
      <c r="B157" s="1" t="s">
        <v>7</v>
      </c>
      <c r="C157" s="1" t="s">
        <v>15</v>
      </c>
      <c r="D157" s="1" t="s">
        <v>31</v>
      </c>
      <c r="E157" s="1" t="str">
        <f>_xlfn.XLOOKUP(operacje[[#This Row],[Kategoria]],kategorie[Kategoria],kategorie[Typ],"",0)</f>
        <v>Transfer</v>
      </c>
      <c r="F157" s="3">
        <v>45580</v>
      </c>
      <c r="G157" s="1">
        <f>IF(ISBLANK(operacje[[#This Row],[Data]]),,MONTH(operacje[[#This Row],[Data]]))</f>
        <v>10</v>
      </c>
    </row>
    <row r="158" spans="1:7" x14ac:dyDescent="0.25">
      <c r="A158" s="2">
        <v>-20</v>
      </c>
      <c r="B158" s="1" t="s">
        <v>7</v>
      </c>
      <c r="C158" s="1" t="s">
        <v>8</v>
      </c>
      <c r="D158" s="1" t="s">
        <v>31</v>
      </c>
      <c r="E158" s="1" t="str">
        <f>_xlfn.XLOOKUP(operacje[[#This Row],[Kategoria]],kategorie[Kategoria],kategorie[Typ],"",0)</f>
        <v>Transfer</v>
      </c>
      <c r="F158" s="3">
        <v>45580</v>
      </c>
      <c r="G158" s="1">
        <f>IF(ISBLANK(operacje[[#This Row],[Data]]),,MONTH(operacje[[#This Row],[Data]]))</f>
        <v>10</v>
      </c>
    </row>
    <row r="159" spans="1:7" x14ac:dyDescent="0.25">
      <c r="A159" s="2">
        <v>4500</v>
      </c>
      <c r="B159" s="1" t="s">
        <v>7</v>
      </c>
      <c r="C159" s="1" t="s">
        <v>8</v>
      </c>
      <c r="D159" s="1" t="s">
        <v>11</v>
      </c>
      <c r="E159" s="1" t="str">
        <f>_xlfn.XLOOKUP(operacje[[#This Row],[Kategoria]],kategorie[Kategoria],kategorie[Typ],"",0)</f>
        <v>Wpływy</v>
      </c>
      <c r="F159" s="3">
        <v>45606</v>
      </c>
      <c r="G159" s="1">
        <f>IF(ISBLANK(operacje[[#This Row],[Data]]),,MONTH(operacje[[#This Row],[Data]]))</f>
        <v>11</v>
      </c>
    </row>
    <row r="160" spans="1:7" x14ac:dyDescent="0.25">
      <c r="A160" s="2">
        <v>-2000</v>
      </c>
      <c r="B160" s="1" t="s">
        <v>7</v>
      </c>
      <c r="C160" s="1" t="s">
        <v>8</v>
      </c>
      <c r="D160" s="1" t="s">
        <v>13</v>
      </c>
      <c r="E160" s="1" t="str">
        <f>_xlfn.XLOOKUP(operacje[[#This Row],[Kategoria]],kategorie[Kategoria],kategorie[Typ],"",0)</f>
        <v>Wydatki</v>
      </c>
      <c r="F160" s="3">
        <v>45607</v>
      </c>
      <c r="G160" s="1">
        <f>IF(ISBLANK(operacje[[#This Row],[Data]]),,MONTH(operacje[[#This Row],[Data]]))</f>
        <v>11</v>
      </c>
    </row>
    <row r="161" spans="1:7" x14ac:dyDescent="0.25">
      <c r="A161" s="2">
        <v>-82</v>
      </c>
      <c r="B161" s="1" t="s">
        <v>7</v>
      </c>
      <c r="C161" s="1" t="s">
        <v>8</v>
      </c>
      <c r="D161" s="1" t="s">
        <v>23</v>
      </c>
      <c r="E161" s="1" t="str">
        <f>_xlfn.XLOOKUP(operacje[[#This Row],[Kategoria]],kategorie[Kategoria],kategorie[Typ],"",0)</f>
        <v>Wydatki</v>
      </c>
      <c r="F161" s="3">
        <v>45607</v>
      </c>
      <c r="G161" s="1">
        <f>IF(ISBLANK(operacje[[#This Row],[Data]]),,MONTH(operacje[[#This Row],[Data]]))</f>
        <v>11</v>
      </c>
    </row>
    <row r="162" spans="1:7" x14ac:dyDescent="0.25">
      <c r="A162" s="2">
        <v>-200</v>
      </c>
      <c r="B162" s="1" t="s">
        <v>7</v>
      </c>
      <c r="C162" s="1" t="s">
        <v>8</v>
      </c>
      <c r="D162" s="1" t="s">
        <v>9</v>
      </c>
      <c r="E162" s="1" t="str">
        <f>_xlfn.XLOOKUP(operacje[[#This Row],[Kategoria]],kategorie[Kategoria],kategorie[Typ],"",0)</f>
        <v>Wydatki</v>
      </c>
      <c r="F162" s="3">
        <v>45607</v>
      </c>
      <c r="G162" s="1">
        <f>IF(ISBLANK(operacje[[#This Row],[Data]]),,MONTH(operacje[[#This Row],[Data]]))</f>
        <v>11</v>
      </c>
    </row>
    <row r="163" spans="1:7" x14ac:dyDescent="0.25">
      <c r="A163" s="2">
        <v>-12</v>
      </c>
      <c r="B163" s="1" t="s">
        <v>7</v>
      </c>
      <c r="C163" s="1" t="s">
        <v>8</v>
      </c>
      <c r="D163" s="1" t="s">
        <v>16</v>
      </c>
      <c r="E163" s="1" t="str">
        <f>_xlfn.XLOOKUP(operacje[[#This Row],[Kategoria]],kategorie[Kategoria],kategorie[Typ],"",0)</f>
        <v>Wydatki</v>
      </c>
      <c r="F163" s="3">
        <v>45608</v>
      </c>
      <c r="G163" s="1">
        <f>IF(ISBLANK(operacje[[#This Row],[Data]]),,MONTH(operacje[[#This Row],[Data]]))</f>
        <v>11</v>
      </c>
    </row>
    <row r="164" spans="1:7" x14ac:dyDescent="0.25">
      <c r="A164" s="2">
        <v>-90</v>
      </c>
      <c r="B164" s="1" t="s">
        <v>7</v>
      </c>
      <c r="C164" s="1" t="s">
        <v>8</v>
      </c>
      <c r="D164" s="1" t="s">
        <v>22</v>
      </c>
      <c r="E164" s="1" t="str">
        <f>_xlfn.XLOOKUP(operacje[[#This Row],[Kategoria]],kategorie[Kategoria],kategorie[Typ],"",0)</f>
        <v>Wydatki</v>
      </c>
      <c r="F164" s="3">
        <v>45610</v>
      </c>
      <c r="G164" s="1">
        <f>IF(ISBLANK(operacje[[#This Row],[Data]]),,MONTH(operacje[[#This Row],[Data]]))</f>
        <v>11</v>
      </c>
    </row>
    <row r="165" spans="1:7" x14ac:dyDescent="0.25">
      <c r="A165" s="2">
        <v>40</v>
      </c>
      <c r="B165" s="1" t="s">
        <v>7</v>
      </c>
      <c r="C165" s="1" t="s">
        <v>15</v>
      </c>
      <c r="D165" s="1" t="s">
        <v>31</v>
      </c>
      <c r="E165" s="1" t="str">
        <f>_xlfn.XLOOKUP(operacje[[#This Row],[Kategoria]],kategorie[Kategoria],kategorie[Typ],"",0)</f>
        <v>Transfer</v>
      </c>
      <c r="F165" s="3">
        <v>45611</v>
      </c>
      <c r="G165" s="1">
        <f>IF(ISBLANK(operacje[[#This Row],[Data]]),,MONTH(operacje[[#This Row],[Data]]))</f>
        <v>11</v>
      </c>
    </row>
    <row r="166" spans="1:7" x14ac:dyDescent="0.25">
      <c r="A166" s="2">
        <v>-40</v>
      </c>
      <c r="B166" s="1" t="s">
        <v>7</v>
      </c>
      <c r="C166" s="1" t="s">
        <v>8</v>
      </c>
      <c r="D166" s="1" t="s">
        <v>31</v>
      </c>
      <c r="E166" s="1" t="str">
        <f>_xlfn.XLOOKUP(operacje[[#This Row],[Kategoria]],kategorie[Kategoria],kategorie[Typ],"",0)</f>
        <v>Transfer</v>
      </c>
      <c r="F166" s="3">
        <v>45611</v>
      </c>
      <c r="G166" s="1">
        <f>IF(ISBLANK(operacje[[#This Row],[Data]]),,MONTH(operacje[[#This Row],[Data]]))</f>
        <v>11</v>
      </c>
    </row>
    <row r="167" spans="1:7" x14ac:dyDescent="0.25">
      <c r="A167" s="2">
        <v>-28</v>
      </c>
      <c r="B167" s="1" t="s">
        <v>7</v>
      </c>
      <c r="C167" s="1" t="s">
        <v>8</v>
      </c>
      <c r="D167" s="1" t="s">
        <v>9</v>
      </c>
      <c r="E167" s="1" t="str">
        <f>_xlfn.XLOOKUP(operacje[[#This Row],[Kategoria]],kategorie[Kategoria],kategorie[Typ],"",0)</f>
        <v>Wydatki</v>
      </c>
      <c r="F167" s="3">
        <v>45612</v>
      </c>
      <c r="G167" s="1">
        <f>IF(ISBLANK(operacje[[#This Row],[Data]]),,MONTH(operacje[[#This Row],[Data]]))</f>
        <v>11</v>
      </c>
    </row>
    <row r="168" spans="1:7" x14ac:dyDescent="0.25">
      <c r="A168" s="2">
        <v>-63</v>
      </c>
      <c r="B168" s="1" t="s">
        <v>7</v>
      </c>
      <c r="C168" s="1" t="s">
        <v>8</v>
      </c>
      <c r="D168" s="1" t="s">
        <v>30</v>
      </c>
      <c r="E168" s="1" t="str">
        <f>_xlfn.XLOOKUP(operacje[[#This Row],[Kategoria]],kategorie[Kategoria],kategorie[Typ],"",0)</f>
        <v>Wydatki</v>
      </c>
      <c r="F168" s="3">
        <v>45613</v>
      </c>
      <c r="G168" s="1">
        <f>IF(ISBLANK(operacje[[#This Row],[Data]]),,MONTH(operacje[[#This Row],[Data]]))</f>
        <v>11</v>
      </c>
    </row>
    <row r="169" spans="1:7" x14ac:dyDescent="0.25">
      <c r="A169" s="2">
        <v>-15</v>
      </c>
      <c r="B169" s="1" t="s">
        <v>7</v>
      </c>
      <c r="C169" s="1" t="s">
        <v>8</v>
      </c>
      <c r="D169" s="1" t="s">
        <v>23</v>
      </c>
      <c r="E169" s="1" t="str">
        <f>_xlfn.XLOOKUP(operacje[[#This Row],[Kategoria]],kategorie[Kategoria],kategorie[Typ],"",0)</f>
        <v>Wydatki</v>
      </c>
      <c r="F169" s="3">
        <v>45613</v>
      </c>
      <c r="G169" s="1">
        <f>IF(ISBLANK(operacje[[#This Row],[Data]]),,MONTH(operacje[[#This Row],[Data]]))</f>
        <v>11</v>
      </c>
    </row>
    <row r="170" spans="1:7" x14ac:dyDescent="0.25">
      <c r="A170" s="2">
        <v>-44</v>
      </c>
      <c r="B170" s="1" t="s">
        <v>7</v>
      </c>
      <c r="C170" s="1" t="s">
        <v>8</v>
      </c>
      <c r="D170" s="1" t="s">
        <v>9</v>
      </c>
      <c r="E170" s="1" t="str">
        <f>_xlfn.XLOOKUP(operacje[[#This Row],[Kategoria]],kategorie[Kategoria],kategorie[Typ],"",0)</f>
        <v>Wydatki</v>
      </c>
      <c r="F170" s="3">
        <v>45615</v>
      </c>
      <c r="G170" s="1">
        <f>IF(ISBLANK(operacje[[#This Row],[Data]]),,MONTH(operacje[[#This Row],[Data]]))</f>
        <v>11</v>
      </c>
    </row>
    <row r="171" spans="1:7" x14ac:dyDescent="0.25">
      <c r="A171" s="2">
        <v>-107</v>
      </c>
      <c r="B171" s="1" t="s">
        <v>7</v>
      </c>
      <c r="C171" s="1" t="s">
        <v>8</v>
      </c>
      <c r="D171" s="1" t="s">
        <v>24</v>
      </c>
      <c r="E171" s="1" t="str">
        <f>_xlfn.XLOOKUP(operacje[[#This Row],[Kategoria]],kategorie[Kategoria],kategorie[Typ],"",0)</f>
        <v>Wydatki</v>
      </c>
      <c r="F171" s="3">
        <v>45616</v>
      </c>
      <c r="G171" s="1">
        <f>IF(ISBLANK(operacje[[#This Row],[Data]]),,MONTH(operacje[[#This Row],[Data]]))</f>
        <v>11</v>
      </c>
    </row>
    <row r="172" spans="1:7" x14ac:dyDescent="0.25">
      <c r="A172" s="2">
        <v>-169</v>
      </c>
      <c r="B172" s="1" t="s">
        <v>7</v>
      </c>
      <c r="C172" s="1" t="s">
        <v>8</v>
      </c>
      <c r="D172" s="1" t="s">
        <v>19</v>
      </c>
      <c r="E172" s="1" t="str">
        <f>_xlfn.XLOOKUP(operacje[[#This Row],[Kategoria]],kategorie[Kategoria],kategorie[Typ],"",0)</f>
        <v>Wydatki</v>
      </c>
      <c r="F172" s="3">
        <v>45617</v>
      </c>
      <c r="G172" s="1">
        <f>IF(ISBLANK(operacje[[#This Row],[Data]]),,MONTH(operacje[[#This Row],[Data]]))</f>
        <v>11</v>
      </c>
    </row>
    <row r="173" spans="1:7" x14ac:dyDescent="0.25">
      <c r="A173" s="2">
        <v>-51</v>
      </c>
      <c r="B173" s="1" t="s">
        <v>7</v>
      </c>
      <c r="C173" s="1" t="s">
        <v>8</v>
      </c>
      <c r="D173" s="1" t="s">
        <v>24</v>
      </c>
      <c r="E173" s="1" t="str">
        <f>_xlfn.XLOOKUP(operacje[[#This Row],[Kategoria]],kategorie[Kategoria],kategorie[Typ],"",0)</f>
        <v>Wydatki</v>
      </c>
      <c r="F173" s="3">
        <v>45618</v>
      </c>
      <c r="G173" s="1">
        <f>IF(ISBLANK(operacje[[#This Row],[Data]]),,MONTH(operacje[[#This Row],[Data]]))</f>
        <v>11</v>
      </c>
    </row>
    <row r="174" spans="1:7" x14ac:dyDescent="0.25">
      <c r="A174" s="2">
        <v>-80</v>
      </c>
      <c r="B174" s="1" t="s">
        <v>7</v>
      </c>
      <c r="C174" s="1" t="s">
        <v>8</v>
      </c>
      <c r="D174" s="1" t="s">
        <v>9</v>
      </c>
      <c r="E174" s="1" t="str">
        <f>_xlfn.XLOOKUP(operacje[[#This Row],[Kategoria]],kategorie[Kategoria],kategorie[Typ],"",0)</f>
        <v>Wydatki</v>
      </c>
      <c r="F174" s="3">
        <v>45618</v>
      </c>
      <c r="G174" s="1">
        <f>IF(ISBLANK(operacje[[#This Row],[Data]]),,MONTH(operacje[[#This Row],[Data]]))</f>
        <v>11</v>
      </c>
    </row>
    <row r="175" spans="1:7" x14ac:dyDescent="0.25">
      <c r="A175" s="2">
        <v>-70</v>
      </c>
      <c r="B175" s="1" t="s">
        <v>7</v>
      </c>
      <c r="C175" s="1" t="s">
        <v>8</v>
      </c>
      <c r="D175" s="1" t="s">
        <v>30</v>
      </c>
      <c r="E175" s="1" t="str">
        <f>_xlfn.XLOOKUP(operacje[[#This Row],[Kategoria]],kategorie[Kategoria],kategorie[Typ],"",0)</f>
        <v>Wydatki</v>
      </c>
      <c r="F175" s="3">
        <v>45618</v>
      </c>
      <c r="G175" s="1">
        <f>IF(ISBLANK(operacje[[#This Row],[Data]]),,MONTH(operacje[[#This Row],[Data]]))</f>
        <v>11</v>
      </c>
    </row>
    <row r="176" spans="1:7" x14ac:dyDescent="0.25">
      <c r="A176" s="2">
        <v>-35</v>
      </c>
      <c r="B176" s="1" t="s">
        <v>7</v>
      </c>
      <c r="C176" s="1" t="s">
        <v>8</v>
      </c>
      <c r="D176" s="1" t="s">
        <v>16</v>
      </c>
      <c r="E176" s="1" t="str">
        <f>_xlfn.XLOOKUP(operacje[[#This Row],[Kategoria]],kategorie[Kategoria],kategorie[Typ],"",0)</f>
        <v>Wydatki</v>
      </c>
      <c r="F176" s="3">
        <v>45619</v>
      </c>
      <c r="G176" s="1">
        <f>IF(ISBLANK(operacje[[#This Row],[Data]]),,MONTH(operacje[[#This Row],[Data]]))</f>
        <v>11</v>
      </c>
    </row>
    <row r="177" spans="1:7" x14ac:dyDescent="0.25">
      <c r="A177" s="2">
        <v>-11</v>
      </c>
      <c r="B177" s="1" t="s">
        <v>7</v>
      </c>
      <c r="C177" s="1" t="s">
        <v>8</v>
      </c>
      <c r="D177" s="1" t="s">
        <v>23</v>
      </c>
      <c r="E177" s="1" t="str">
        <f>_xlfn.XLOOKUP(operacje[[#This Row],[Kategoria]],kategorie[Kategoria],kategorie[Typ],"",0)</f>
        <v>Wydatki</v>
      </c>
      <c r="F177" s="3">
        <v>45619</v>
      </c>
      <c r="G177" s="1">
        <f>IF(ISBLANK(operacje[[#This Row],[Data]]),,MONTH(operacje[[#This Row],[Data]]))</f>
        <v>11</v>
      </c>
    </row>
    <row r="178" spans="1:7" x14ac:dyDescent="0.25">
      <c r="A178" s="2">
        <v>-80</v>
      </c>
      <c r="B178" s="1" t="s">
        <v>7</v>
      </c>
      <c r="C178" s="1" t="s">
        <v>8</v>
      </c>
      <c r="D178" s="1" t="s">
        <v>22</v>
      </c>
      <c r="E178" s="1" t="str">
        <f>_xlfn.XLOOKUP(operacje[[#This Row],[Kategoria]],kategorie[Kategoria],kategorie[Typ],"",0)</f>
        <v>Wydatki</v>
      </c>
      <c r="F178" s="3">
        <v>45621</v>
      </c>
      <c r="G178" s="1">
        <f>IF(ISBLANK(operacje[[#This Row],[Data]]),,MONTH(operacje[[#This Row],[Data]]))</f>
        <v>11</v>
      </c>
    </row>
    <row r="179" spans="1:7" x14ac:dyDescent="0.25">
      <c r="A179" s="2">
        <v>-58</v>
      </c>
      <c r="B179" s="1" t="s">
        <v>7</v>
      </c>
      <c r="C179" s="1" t="s">
        <v>8</v>
      </c>
      <c r="D179" s="1" t="s">
        <v>9</v>
      </c>
      <c r="E179" s="1" t="str">
        <f>_xlfn.XLOOKUP(operacje[[#This Row],[Kategoria]],kategorie[Kategoria],kategorie[Typ],"",0)</f>
        <v>Wydatki</v>
      </c>
      <c r="F179" s="3">
        <v>45622</v>
      </c>
      <c r="G179" s="1">
        <f>IF(ISBLANK(operacje[[#This Row],[Data]]),,MONTH(operacje[[#This Row],[Data]]))</f>
        <v>11</v>
      </c>
    </row>
    <row r="180" spans="1:7" x14ac:dyDescent="0.25">
      <c r="A180" s="2">
        <v>-52</v>
      </c>
      <c r="B180" s="1" t="s">
        <v>7</v>
      </c>
      <c r="C180" s="1" t="s">
        <v>8</v>
      </c>
      <c r="D180" s="1" t="s">
        <v>23</v>
      </c>
      <c r="E180" s="1" t="str">
        <f>_xlfn.XLOOKUP(operacje[[#This Row],[Kategoria]],kategorie[Kategoria],kategorie[Typ],"",0)</f>
        <v>Wydatki</v>
      </c>
      <c r="F180" s="3">
        <v>45623</v>
      </c>
      <c r="G180" s="1">
        <f>IF(ISBLANK(operacje[[#This Row],[Data]]),,MONTH(operacje[[#This Row],[Data]]))</f>
        <v>11</v>
      </c>
    </row>
    <row r="181" spans="1:7" x14ac:dyDescent="0.25">
      <c r="A181" s="2">
        <v>-44</v>
      </c>
      <c r="B181" s="1" t="s">
        <v>7</v>
      </c>
      <c r="C181" s="1" t="s">
        <v>8</v>
      </c>
      <c r="D181" s="1" t="s">
        <v>22</v>
      </c>
      <c r="E181" s="1" t="str">
        <f>_xlfn.XLOOKUP(operacje[[#This Row],[Kategoria]],kategorie[Kategoria],kategorie[Typ],"",0)</f>
        <v>Wydatki</v>
      </c>
      <c r="F181" s="3">
        <v>45623</v>
      </c>
      <c r="G181" s="1">
        <f>IF(ISBLANK(operacje[[#This Row],[Data]]),,MONTH(operacje[[#This Row],[Data]]))</f>
        <v>11</v>
      </c>
    </row>
    <row r="182" spans="1:7" x14ac:dyDescent="0.25">
      <c r="A182" s="2">
        <v>-48</v>
      </c>
      <c r="B182" s="1" t="s">
        <v>7</v>
      </c>
      <c r="C182" s="1" t="s">
        <v>8</v>
      </c>
      <c r="D182" s="1" t="s">
        <v>23</v>
      </c>
      <c r="E182" s="1" t="str">
        <f>_xlfn.XLOOKUP(operacje[[#This Row],[Kategoria]],kategorie[Kategoria],kategorie[Typ],"",0)</f>
        <v>Wydatki</v>
      </c>
      <c r="F182" s="3">
        <v>45623</v>
      </c>
      <c r="G182" s="1">
        <f>IF(ISBLANK(operacje[[#This Row],[Data]]),,MONTH(operacje[[#This Row],[Data]]))</f>
        <v>11</v>
      </c>
    </row>
    <row r="183" spans="1:7" x14ac:dyDescent="0.25">
      <c r="A183" s="2">
        <v>-65</v>
      </c>
      <c r="B183" s="1" t="s">
        <v>7</v>
      </c>
      <c r="C183" s="1" t="s">
        <v>8</v>
      </c>
      <c r="D183" s="1" t="s">
        <v>19</v>
      </c>
      <c r="E183" s="1" t="str">
        <f>_xlfn.XLOOKUP(operacje[[#This Row],[Kategoria]],kategorie[Kategoria],kategorie[Typ],"",0)</f>
        <v>Wydatki</v>
      </c>
      <c r="F183" s="3">
        <v>45624</v>
      </c>
      <c r="G183" s="1">
        <f>IF(ISBLANK(operacje[[#This Row],[Data]]),,MONTH(operacje[[#This Row],[Data]]))</f>
        <v>11</v>
      </c>
    </row>
    <row r="184" spans="1:7" x14ac:dyDescent="0.25">
      <c r="A184" s="2">
        <v>400</v>
      </c>
      <c r="B184" s="1" t="s">
        <v>26</v>
      </c>
      <c r="C184" s="1" t="s">
        <v>28</v>
      </c>
      <c r="D184" s="1" t="s">
        <v>32</v>
      </c>
      <c r="E184" s="1" t="str">
        <f>_xlfn.XLOOKUP(operacje[[#This Row],[Kategoria]],kategorie[Kategoria],kategorie[Typ],"",0)</f>
        <v>Wpływy</v>
      </c>
      <c r="F184" s="3">
        <v>45625</v>
      </c>
      <c r="G184" s="1">
        <f>IF(ISBLANK(operacje[[#This Row],[Data]]),,MONTH(operacje[[#This Row],[Data]]))</f>
        <v>11</v>
      </c>
    </row>
    <row r="185" spans="1:7" x14ac:dyDescent="0.25">
      <c r="A185" s="2">
        <v>-96</v>
      </c>
      <c r="B185" s="1" t="s">
        <v>7</v>
      </c>
      <c r="C185" s="1" t="s">
        <v>8</v>
      </c>
      <c r="D185" s="1" t="s">
        <v>9</v>
      </c>
      <c r="E185" s="1" t="str">
        <f>_xlfn.XLOOKUP(operacje[[#This Row],[Kategoria]],kategorie[Kategoria],kategorie[Typ],"",0)</f>
        <v>Wydatki</v>
      </c>
      <c r="F185" s="3">
        <v>45626</v>
      </c>
      <c r="G185" s="1">
        <f>IF(ISBLANK(operacje[[#This Row],[Data]]),,MONTH(operacje[[#This Row],[Data]]))</f>
        <v>11</v>
      </c>
    </row>
    <row r="186" spans="1:7" x14ac:dyDescent="0.25">
      <c r="A186" s="2">
        <v>-50</v>
      </c>
      <c r="B186" s="1" t="s">
        <v>7</v>
      </c>
      <c r="C186" s="1" t="s">
        <v>8</v>
      </c>
      <c r="D186" s="1" t="s">
        <v>9</v>
      </c>
      <c r="E186" s="1" t="str">
        <f>_xlfn.XLOOKUP(operacje[[#This Row],[Kategoria]],kategorie[Kategoria],kategorie[Typ],"",0)</f>
        <v>Wydatki</v>
      </c>
      <c r="F186" s="3">
        <v>45627</v>
      </c>
      <c r="G186" s="1">
        <f>IF(ISBLANK(operacje[[#This Row],[Data]]),,MONTH(operacje[[#This Row],[Data]]))</f>
        <v>12</v>
      </c>
    </row>
    <row r="187" spans="1:7" x14ac:dyDescent="0.25">
      <c r="A187" s="2">
        <v>-50</v>
      </c>
      <c r="B187" s="1" t="s">
        <v>7</v>
      </c>
      <c r="C187" s="1" t="s">
        <v>8</v>
      </c>
      <c r="D187" s="1" t="s">
        <v>9</v>
      </c>
      <c r="E187" s="1" t="str">
        <f>_xlfn.XLOOKUP(operacje[[#This Row],[Kategoria]],kategorie[Kategoria],kategorie[Typ],"",0)</f>
        <v>Wydatki</v>
      </c>
      <c r="F187" s="3">
        <v>45627</v>
      </c>
      <c r="G187" s="1">
        <f>IF(ISBLANK(operacje[[#This Row],[Data]]),,MONTH(operacje[[#This Row],[Data]]))</f>
        <v>12</v>
      </c>
    </row>
    <row r="188" spans="1:7" x14ac:dyDescent="0.25">
      <c r="A188" s="2">
        <v>-5</v>
      </c>
      <c r="B188" s="1" t="s">
        <v>7</v>
      </c>
      <c r="C188" s="1" t="s">
        <v>8</v>
      </c>
      <c r="D188" s="1" t="s">
        <v>30</v>
      </c>
      <c r="E188" s="1" t="str">
        <f>_xlfn.XLOOKUP(operacje[[#This Row],[Kategoria]],kategorie[Kategoria],kategorie[Typ],"",0)</f>
        <v>Wydatki</v>
      </c>
      <c r="F188" s="3">
        <v>45628</v>
      </c>
      <c r="G188" s="1">
        <f>IF(ISBLANK(operacje[[#This Row],[Data]]),,MONTH(operacje[[#This Row],[Data]]))</f>
        <v>12</v>
      </c>
    </row>
    <row r="189" spans="1:7" x14ac:dyDescent="0.25">
      <c r="A189" s="2">
        <v>-100</v>
      </c>
      <c r="B189" s="1" t="s">
        <v>7</v>
      </c>
      <c r="C189" s="1" t="s">
        <v>8</v>
      </c>
      <c r="D189" s="1" t="s">
        <v>19</v>
      </c>
      <c r="E189" s="1" t="str">
        <f>_xlfn.XLOOKUP(operacje[[#This Row],[Kategoria]],kategorie[Kategoria],kategorie[Typ],"",0)</f>
        <v>Wydatki</v>
      </c>
      <c r="F189" s="3">
        <v>45628</v>
      </c>
      <c r="G189" s="1">
        <f>IF(ISBLANK(operacje[[#This Row],[Data]]),,MONTH(operacje[[#This Row],[Data]]))</f>
        <v>12</v>
      </c>
    </row>
    <row r="190" spans="1:7" x14ac:dyDescent="0.25">
      <c r="A190" s="2">
        <v>-60</v>
      </c>
      <c r="B190" s="1" t="s">
        <v>7</v>
      </c>
      <c r="C190" s="1" t="s">
        <v>8</v>
      </c>
      <c r="D190" s="1" t="s">
        <v>24</v>
      </c>
      <c r="E190" s="1" t="str">
        <f>_xlfn.XLOOKUP(operacje[[#This Row],[Kategoria]],kategorie[Kategoria],kategorie[Typ],"",0)</f>
        <v>Wydatki</v>
      </c>
      <c r="F190" s="3">
        <v>45628</v>
      </c>
      <c r="G190" s="1">
        <f>IF(ISBLANK(operacje[[#This Row],[Data]]),,MONTH(operacje[[#This Row],[Data]]))</f>
        <v>12</v>
      </c>
    </row>
    <row r="191" spans="1:7" x14ac:dyDescent="0.25">
      <c r="A191" s="2">
        <v>-5</v>
      </c>
      <c r="B191" s="1" t="s">
        <v>7</v>
      </c>
      <c r="C191" s="1" t="s">
        <v>8</v>
      </c>
      <c r="D191" s="1" t="s">
        <v>30</v>
      </c>
      <c r="E191" s="1" t="str">
        <f>_xlfn.XLOOKUP(operacje[[#This Row],[Kategoria]],kategorie[Kategoria],kategorie[Typ],"",0)</f>
        <v>Wydatki</v>
      </c>
      <c r="F191" s="3">
        <v>45628</v>
      </c>
      <c r="G191" s="1">
        <f>IF(ISBLANK(operacje[[#This Row],[Data]]),,MONTH(operacje[[#This Row],[Data]]))</f>
        <v>12</v>
      </c>
    </row>
    <row r="192" spans="1:7" x14ac:dyDescent="0.25">
      <c r="A192" s="2">
        <v>-100</v>
      </c>
      <c r="B192" s="1" t="s">
        <v>7</v>
      </c>
      <c r="C192" s="1" t="s">
        <v>8</v>
      </c>
      <c r="D192" s="1" t="s">
        <v>19</v>
      </c>
      <c r="E192" s="1" t="str">
        <f>_xlfn.XLOOKUP(operacje[[#This Row],[Kategoria]],kategorie[Kategoria],kategorie[Typ],"",0)</f>
        <v>Wydatki</v>
      </c>
      <c r="F192" s="3">
        <v>45628</v>
      </c>
      <c r="G192" s="1">
        <f>IF(ISBLANK(operacje[[#This Row],[Data]]),,MONTH(operacje[[#This Row],[Data]]))</f>
        <v>12</v>
      </c>
    </row>
    <row r="193" spans="1:7" x14ac:dyDescent="0.25">
      <c r="A193" s="2">
        <v>-60</v>
      </c>
      <c r="B193" s="1" t="s">
        <v>7</v>
      </c>
      <c r="C193" s="1" t="s">
        <v>8</v>
      </c>
      <c r="D193" s="1" t="s">
        <v>24</v>
      </c>
      <c r="E193" s="1" t="str">
        <f>_xlfn.XLOOKUP(operacje[[#This Row],[Kategoria]],kategorie[Kategoria],kategorie[Typ],"",0)</f>
        <v>Wydatki</v>
      </c>
      <c r="F193" s="3">
        <v>45628</v>
      </c>
      <c r="G193" s="1">
        <f>IF(ISBLANK(operacje[[#This Row],[Data]]),,MONTH(operacje[[#This Row],[Data]]))</f>
        <v>12</v>
      </c>
    </row>
    <row r="194" spans="1:7" x14ac:dyDescent="0.25">
      <c r="A194" s="2">
        <v>-150</v>
      </c>
      <c r="B194" s="1" t="s">
        <v>7</v>
      </c>
      <c r="C194" s="1" t="s">
        <v>8</v>
      </c>
      <c r="D194" s="1" t="s">
        <v>22</v>
      </c>
      <c r="E194" s="1" t="str">
        <f>_xlfn.XLOOKUP(operacje[[#This Row],[Kategoria]],kategorie[Kategoria],kategorie[Typ],"",0)</f>
        <v>Wydatki</v>
      </c>
      <c r="F194" s="3">
        <v>45629</v>
      </c>
      <c r="G194" s="1">
        <f>IF(ISBLANK(operacje[[#This Row],[Data]]),,MONTH(operacje[[#This Row],[Data]]))</f>
        <v>12</v>
      </c>
    </row>
    <row r="195" spans="1:7" x14ac:dyDescent="0.25">
      <c r="A195" s="2">
        <v>-150</v>
      </c>
      <c r="B195" s="1" t="s">
        <v>7</v>
      </c>
      <c r="C195" s="1" t="s">
        <v>8</v>
      </c>
      <c r="D195" s="1" t="s">
        <v>22</v>
      </c>
      <c r="E195" s="1" t="str">
        <f>_xlfn.XLOOKUP(operacje[[#This Row],[Kategoria]],kategorie[Kategoria],kategorie[Typ],"",0)</f>
        <v>Wydatki</v>
      </c>
      <c r="F195" s="3">
        <v>45629</v>
      </c>
      <c r="G195" s="1">
        <f>IF(ISBLANK(operacje[[#This Row],[Data]]),,MONTH(operacje[[#This Row],[Data]]))</f>
        <v>12</v>
      </c>
    </row>
    <row r="196" spans="1:7" x14ac:dyDescent="0.25">
      <c r="A196" s="2">
        <v>-100</v>
      </c>
      <c r="B196" s="1" t="s">
        <v>7</v>
      </c>
      <c r="C196" s="1" t="s">
        <v>8</v>
      </c>
      <c r="D196" s="1" t="s">
        <v>9</v>
      </c>
      <c r="E196" s="1" t="str">
        <f>_xlfn.XLOOKUP(operacje[[#This Row],[Kategoria]],kategorie[Kategoria],kategorie[Typ],"",0)</f>
        <v>Wydatki</v>
      </c>
      <c r="F196" s="3">
        <v>45632</v>
      </c>
      <c r="G196" s="1">
        <f>IF(ISBLANK(operacje[[#This Row],[Data]]),,MONTH(operacje[[#This Row],[Data]]))</f>
        <v>12</v>
      </c>
    </row>
    <row r="197" spans="1:7" x14ac:dyDescent="0.25">
      <c r="A197" s="2">
        <v>-100</v>
      </c>
      <c r="B197" s="1" t="s">
        <v>7</v>
      </c>
      <c r="C197" s="1" t="s">
        <v>8</v>
      </c>
      <c r="D197" s="1" t="s">
        <v>9</v>
      </c>
      <c r="E197" s="1" t="str">
        <f>_xlfn.XLOOKUP(operacje[[#This Row],[Kategoria]],kategorie[Kategoria],kategorie[Typ],"",0)</f>
        <v>Wydatki</v>
      </c>
      <c r="F197" s="3">
        <v>45632</v>
      </c>
      <c r="G197" s="1">
        <f>IF(ISBLANK(operacje[[#This Row],[Data]]),,MONTH(operacje[[#This Row],[Data]]))</f>
        <v>12</v>
      </c>
    </row>
    <row r="198" spans="1:7" x14ac:dyDescent="0.25">
      <c r="A198" s="2">
        <v>4500</v>
      </c>
      <c r="B198" s="1" t="s">
        <v>7</v>
      </c>
      <c r="C198" s="1" t="s">
        <v>8</v>
      </c>
      <c r="D198" s="1" t="s">
        <v>11</v>
      </c>
      <c r="E198" s="1" t="str">
        <f>_xlfn.XLOOKUP(operacje[[#This Row],[Kategoria]],kategorie[Kategoria],kategorie[Typ],"",0)</f>
        <v>Wpływy</v>
      </c>
      <c r="F198" s="3">
        <v>45636</v>
      </c>
      <c r="G198" s="1">
        <f>IF(ISBLANK(operacje[[#This Row],[Data]]),,MONTH(operacje[[#This Row],[Data]]))</f>
        <v>12</v>
      </c>
    </row>
    <row r="199" spans="1:7" x14ac:dyDescent="0.25">
      <c r="A199" s="2">
        <v>-2000</v>
      </c>
      <c r="B199" s="1" t="s">
        <v>7</v>
      </c>
      <c r="C199" s="1" t="s">
        <v>8</v>
      </c>
      <c r="D199" s="1" t="s">
        <v>13</v>
      </c>
      <c r="E199" s="1" t="str">
        <f>_xlfn.XLOOKUP(operacje[[#This Row],[Kategoria]],kategorie[Kategoria],kategorie[Typ],"",0)</f>
        <v>Wydatki</v>
      </c>
      <c r="F199" s="3">
        <v>45637</v>
      </c>
      <c r="G199" s="1">
        <f>IF(ISBLANK(operacje[[#This Row],[Data]]),,MONTH(operacje[[#This Row],[Data]]))</f>
        <v>12</v>
      </c>
    </row>
    <row r="200" spans="1:7" x14ac:dyDescent="0.25">
      <c r="A200" s="2">
        <v>-50</v>
      </c>
      <c r="B200" s="1" t="s">
        <v>7</v>
      </c>
      <c r="C200" s="1" t="s">
        <v>8</v>
      </c>
      <c r="D200" s="1" t="s">
        <v>22</v>
      </c>
      <c r="E200" s="1" t="str">
        <f>_xlfn.XLOOKUP(operacje[[#This Row],[Kategoria]],kategorie[Kategoria],kategorie[Typ],"",0)</f>
        <v>Wydatki</v>
      </c>
      <c r="F200" s="3">
        <v>45640</v>
      </c>
      <c r="G200" s="1">
        <f>IF(ISBLANK(operacje[[#This Row],[Data]]),,MONTH(operacje[[#This Row],[Data]]))</f>
        <v>12</v>
      </c>
    </row>
    <row r="201" spans="1:7" x14ac:dyDescent="0.25">
      <c r="A201" s="2">
        <v>-100</v>
      </c>
      <c r="B201" s="1" t="s">
        <v>7</v>
      </c>
      <c r="C201" s="1" t="s">
        <v>8</v>
      </c>
      <c r="D201" s="1" t="s">
        <v>25</v>
      </c>
      <c r="E201" s="1" t="str">
        <f>_xlfn.XLOOKUP(operacje[[#This Row],[Kategoria]],kategorie[Kategoria],kategorie[Typ],"",0)</f>
        <v>Wydatki</v>
      </c>
      <c r="F201" s="3">
        <v>45641</v>
      </c>
      <c r="G201" s="1">
        <f>IF(ISBLANK(operacje[[#This Row],[Data]]),,MONTH(operacje[[#This Row],[Data]]))</f>
        <v>12</v>
      </c>
    </row>
    <row r="202" spans="1:7" x14ac:dyDescent="0.25">
      <c r="A202" s="2">
        <v>-100</v>
      </c>
      <c r="B202" s="1" t="s">
        <v>7</v>
      </c>
      <c r="C202" s="1" t="s">
        <v>8</v>
      </c>
      <c r="D202" s="1" t="s">
        <v>9</v>
      </c>
      <c r="E202" s="1" t="str">
        <f>_xlfn.XLOOKUP(operacje[[#This Row],[Kategoria]],kategorie[Kategoria],kategorie[Typ],"",0)</f>
        <v>Wydatki</v>
      </c>
      <c r="F202" s="3">
        <v>45644</v>
      </c>
      <c r="G202" s="1">
        <f>IF(ISBLANK(operacje[[#This Row],[Data]]),,MONTH(operacje[[#This Row],[Data]]))</f>
        <v>12</v>
      </c>
    </row>
    <row r="203" spans="1:7" x14ac:dyDescent="0.25">
      <c r="A203" s="2">
        <v>500</v>
      </c>
      <c r="B203" s="1" t="s">
        <v>26</v>
      </c>
      <c r="C203" s="1" t="s">
        <v>28</v>
      </c>
      <c r="D203" s="1" t="s">
        <v>32</v>
      </c>
      <c r="E203" s="1" t="str">
        <f>_xlfn.XLOOKUP(operacje[[#This Row],[Kategoria]],kategorie[Kategoria],kategorie[Typ],"",0)</f>
        <v>Wpływy</v>
      </c>
      <c r="F203" s="3">
        <v>45648</v>
      </c>
      <c r="G203" s="1">
        <f>IF(ISBLANK(operacje[[#This Row],[Data]]),,MONTH(operacje[[#This Row],[Data]]))</f>
        <v>12</v>
      </c>
    </row>
    <row r="204" spans="1:7" x14ac:dyDescent="0.25">
      <c r="A204" s="2">
        <v>-100</v>
      </c>
      <c r="B204" s="1" t="s">
        <v>26</v>
      </c>
      <c r="C204" s="1" t="s">
        <v>28</v>
      </c>
      <c r="D204" s="1" t="s">
        <v>22</v>
      </c>
      <c r="E204" s="1" t="str">
        <f>_xlfn.XLOOKUP(operacje[[#This Row],[Kategoria]],kategorie[Kategoria],kategorie[Typ],"",0)</f>
        <v>Wydatki</v>
      </c>
      <c r="F204" s="3">
        <v>45649</v>
      </c>
      <c r="G204" s="1">
        <f>IF(ISBLANK(operacje[[#This Row],[Data]]),,MONTH(operacje[[#This Row],[Data]]))</f>
        <v>12</v>
      </c>
    </row>
    <row r="205" spans="1:7" x14ac:dyDescent="0.25">
      <c r="A205" s="2">
        <v>1500</v>
      </c>
      <c r="B205" s="1" t="s">
        <v>26</v>
      </c>
      <c r="C205" s="1" t="s">
        <v>28</v>
      </c>
      <c r="D205" s="1" t="s">
        <v>32</v>
      </c>
      <c r="E205" s="1" t="str">
        <f>_xlfn.XLOOKUP(operacje[[#This Row],[Kategoria]],kategorie[Kategoria],kategorie[Typ],"",0)</f>
        <v>Wpływy</v>
      </c>
      <c r="F205" s="3">
        <v>45650</v>
      </c>
      <c r="G205" s="1">
        <f>IF(ISBLANK(operacje[[#This Row],[Data]]),,MONTH(operacje[[#This Row],[Data]]))</f>
        <v>12</v>
      </c>
    </row>
    <row r="206" spans="1:7" x14ac:dyDescent="0.25">
      <c r="A206" s="2">
        <v>-500</v>
      </c>
      <c r="B206" s="1" t="s">
        <v>26</v>
      </c>
      <c r="C206" s="1" t="s">
        <v>28</v>
      </c>
      <c r="D206" s="1" t="s">
        <v>19</v>
      </c>
      <c r="E206" s="1" t="str">
        <f>_xlfn.XLOOKUP(operacje[[#This Row],[Kategoria]],kategorie[Kategoria],kategorie[Typ],"",0)</f>
        <v>Wydatki</v>
      </c>
      <c r="F206" s="3">
        <v>45654</v>
      </c>
      <c r="G206" s="1">
        <f>IF(ISBLANK(operacje[[#This Row],[Data]]),,MONTH(operacje[[#This Row],[Data]]))</f>
        <v>12</v>
      </c>
    </row>
    <row r="207" spans="1:7" x14ac:dyDescent="0.25">
      <c r="A207" s="2">
        <v>-300</v>
      </c>
      <c r="B207" s="1" t="s">
        <v>26</v>
      </c>
      <c r="C207" s="1" t="s">
        <v>28</v>
      </c>
      <c r="D207" s="1" t="s">
        <v>9</v>
      </c>
      <c r="E207" s="1" t="str">
        <f>_xlfn.XLOOKUP(operacje[[#This Row],[Kategoria]],kategorie[Kategoria],kategorie[Typ],"",0)</f>
        <v>Wydatki</v>
      </c>
      <c r="F207" s="3">
        <v>45656</v>
      </c>
      <c r="G207" s="1">
        <f>IF(ISBLANK(operacje[[#This Row],[Data]]),,MONTH(operacje[[#This Row],[Data]]))</f>
        <v>12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C862819-E38E-48AC-B3E0-882E782A1FC1}">
          <x14:formula1>
            <xm:f>kategorie!$A$2:$A$17</xm:f>
          </x14:formula1>
          <xm:sqref>D2:D1048576</xm:sqref>
        </x14:dataValidation>
        <x14:dataValidation type="list" allowBlank="1" showInputMessage="1" showErrorMessage="1" xr:uid="{F155137E-E46B-430C-A92E-D268FBD01785}">
          <x14:formula1>
            <xm:f>kategorie!$E$1:$G$1</xm:f>
          </x14:formula1>
          <xm:sqref>B2:B1048576</xm:sqref>
        </x14:dataValidation>
        <x14:dataValidation type="list" allowBlank="1" showInputMessage="1" showErrorMessage="1" xr:uid="{CE8265E8-03F4-4A02-9331-B4A508C2A6CB}">
          <x14:formula1>
            <xm:f>CHOOSE(MATCH(B2,kategorie!$E$1:$G$1,0),kategorie!$E$2:$E$4,kategorie!$F$2:$F$3,kategorie!$G$2:$G$3)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623E7-9D26-43FC-8264-9C82CAC74CDD}">
  <dimension ref="A1:M17"/>
  <sheetViews>
    <sheetView workbookViewId="0">
      <selection activeCell="P8" sqref="P8"/>
    </sheetView>
  </sheetViews>
  <sheetFormatPr defaultRowHeight="15" x14ac:dyDescent="0.25"/>
  <cols>
    <col min="1" max="1" width="18.85546875" customWidth="1"/>
    <col min="10" max="10" width="10.140625" customWidth="1"/>
  </cols>
  <sheetData>
    <row r="1" spans="1:13" x14ac:dyDescent="0.25">
      <c r="A1" t="s">
        <v>3</v>
      </c>
      <c r="B1" t="s">
        <v>4</v>
      </c>
      <c r="E1" t="s">
        <v>7</v>
      </c>
      <c r="F1" t="s">
        <v>14</v>
      </c>
      <c r="G1" t="s">
        <v>26</v>
      </c>
      <c r="I1" s="9" t="s">
        <v>1</v>
      </c>
      <c r="J1" s="9" t="s">
        <v>2</v>
      </c>
      <c r="L1" t="s">
        <v>43</v>
      </c>
      <c r="M1">
        <v>1</v>
      </c>
    </row>
    <row r="2" spans="1:13" x14ac:dyDescent="0.25">
      <c r="A2" t="s">
        <v>31</v>
      </c>
      <c r="B2" t="s">
        <v>34</v>
      </c>
      <c r="E2" t="s">
        <v>8</v>
      </c>
      <c r="F2" t="s">
        <v>8</v>
      </c>
      <c r="G2" t="s">
        <v>28</v>
      </c>
      <c r="I2" s="7" t="s">
        <v>7</v>
      </c>
      <c r="J2" s="7" t="s">
        <v>15</v>
      </c>
      <c r="L2" t="s">
        <v>44</v>
      </c>
      <c r="M2">
        <v>2</v>
      </c>
    </row>
    <row r="3" spans="1:13" x14ac:dyDescent="0.25">
      <c r="A3" t="s">
        <v>32</v>
      </c>
      <c r="B3" t="s">
        <v>12</v>
      </c>
      <c r="E3" t="s">
        <v>15</v>
      </c>
      <c r="F3" t="s">
        <v>20</v>
      </c>
      <c r="G3" t="s">
        <v>27</v>
      </c>
      <c r="I3" s="7" t="s">
        <v>7</v>
      </c>
      <c r="J3" s="7" t="s">
        <v>8</v>
      </c>
      <c r="L3" t="s">
        <v>45</v>
      </c>
      <c r="M3">
        <v>3</v>
      </c>
    </row>
    <row r="4" spans="1:13" x14ac:dyDescent="0.25">
      <c r="A4" t="s">
        <v>29</v>
      </c>
      <c r="B4" t="s">
        <v>12</v>
      </c>
      <c r="E4" t="s">
        <v>18</v>
      </c>
      <c r="I4" s="8" t="s">
        <v>7</v>
      </c>
      <c r="J4" s="8" t="s">
        <v>18</v>
      </c>
      <c r="L4" t="s">
        <v>46</v>
      </c>
      <c r="M4">
        <v>4</v>
      </c>
    </row>
    <row r="5" spans="1:13" x14ac:dyDescent="0.25">
      <c r="A5" t="s">
        <v>21</v>
      </c>
      <c r="B5" t="s">
        <v>12</v>
      </c>
      <c r="I5" s="8" t="s">
        <v>14</v>
      </c>
      <c r="J5" s="8" t="s">
        <v>8</v>
      </c>
      <c r="L5" t="s">
        <v>47</v>
      </c>
      <c r="M5">
        <v>5</v>
      </c>
    </row>
    <row r="6" spans="1:13" x14ac:dyDescent="0.25">
      <c r="A6" t="s">
        <v>17</v>
      </c>
      <c r="B6" t="s">
        <v>12</v>
      </c>
      <c r="I6" s="7" t="s">
        <v>14</v>
      </c>
      <c r="J6" s="7" t="s">
        <v>20</v>
      </c>
      <c r="L6" t="s">
        <v>48</v>
      </c>
      <c r="M6">
        <v>6</v>
      </c>
    </row>
    <row r="7" spans="1:13" x14ac:dyDescent="0.25">
      <c r="A7" t="s">
        <v>33</v>
      </c>
      <c r="B7" t="s">
        <v>12</v>
      </c>
      <c r="I7" s="8" t="s">
        <v>26</v>
      </c>
      <c r="J7" s="8" t="s">
        <v>27</v>
      </c>
      <c r="L7" t="s">
        <v>49</v>
      </c>
      <c r="M7">
        <v>7</v>
      </c>
    </row>
    <row r="8" spans="1:13" x14ac:dyDescent="0.25">
      <c r="A8" t="s">
        <v>11</v>
      </c>
      <c r="B8" t="s">
        <v>12</v>
      </c>
      <c r="I8" s="10" t="s">
        <v>26</v>
      </c>
      <c r="J8" s="10" t="s">
        <v>28</v>
      </c>
      <c r="L8" t="s">
        <v>50</v>
      </c>
      <c r="M8">
        <v>8</v>
      </c>
    </row>
    <row r="9" spans="1:13" x14ac:dyDescent="0.25">
      <c r="A9" t="s">
        <v>9</v>
      </c>
      <c r="B9" t="s">
        <v>10</v>
      </c>
      <c r="L9" t="s">
        <v>51</v>
      </c>
      <c r="M9">
        <v>9</v>
      </c>
    </row>
    <row r="10" spans="1:13" x14ac:dyDescent="0.25">
      <c r="A10" t="s">
        <v>13</v>
      </c>
      <c r="B10" t="s">
        <v>10</v>
      </c>
      <c r="L10" t="s">
        <v>52</v>
      </c>
      <c r="M10">
        <v>10</v>
      </c>
    </row>
    <row r="11" spans="1:13" x14ac:dyDescent="0.25">
      <c r="A11" t="s">
        <v>24</v>
      </c>
      <c r="B11" t="s">
        <v>10</v>
      </c>
      <c r="L11" t="s">
        <v>53</v>
      </c>
      <c r="M11">
        <v>11</v>
      </c>
    </row>
    <row r="12" spans="1:13" x14ac:dyDescent="0.25">
      <c r="A12" t="s">
        <v>19</v>
      </c>
      <c r="B12" t="s">
        <v>10</v>
      </c>
      <c r="L12" t="s">
        <v>54</v>
      </c>
      <c r="M12">
        <v>12</v>
      </c>
    </row>
    <row r="13" spans="1:13" x14ac:dyDescent="0.25">
      <c r="A13" t="s">
        <v>22</v>
      </c>
      <c r="B13" t="s">
        <v>10</v>
      </c>
    </row>
    <row r="14" spans="1:13" x14ac:dyDescent="0.25">
      <c r="A14" t="s">
        <v>25</v>
      </c>
      <c r="B14" t="s">
        <v>10</v>
      </c>
    </row>
    <row r="15" spans="1:13" x14ac:dyDescent="0.25">
      <c r="A15" t="s">
        <v>16</v>
      </c>
      <c r="B15" t="s">
        <v>10</v>
      </c>
    </row>
    <row r="16" spans="1:13" x14ac:dyDescent="0.25">
      <c r="A16" t="s">
        <v>23</v>
      </c>
      <c r="B16" t="s">
        <v>10</v>
      </c>
    </row>
    <row r="17" spans="1:2" x14ac:dyDescent="0.25">
      <c r="A17" t="s">
        <v>30</v>
      </c>
      <c r="B17" t="s">
        <v>10</v>
      </c>
    </row>
  </sheetData>
  <sortState xmlns:xlrd2="http://schemas.microsoft.com/office/spreadsheetml/2017/richdata2" ref="A2:B17">
    <sortCondition ref="B2:B17"/>
    <sortCondition ref="A2:A17"/>
  </sortState>
  <phoneticPr fontId="4" type="noConversion"/>
  <dataValidations count="2">
    <dataValidation type="list" allowBlank="1" showInputMessage="1" showErrorMessage="1" sqref="J2:J8" xr:uid="{5AA30376-2039-4AE7-BC22-8070A08F7D5D}">
      <formula1>CHOOSE(MATCH(I2,$E$1:$G$1,0),$E$2:$E$4,$F$2:$F$3,$G$2:$G$3)</formula1>
    </dataValidation>
    <dataValidation type="list" allowBlank="1" showInputMessage="1" showErrorMessage="1" sqref="I2:I8" xr:uid="{61EF3443-A121-4BEB-BE6C-2F909FDE9968}">
      <formula1>$E$1:$G$1</formula1>
    </dataValidation>
  </dataValidations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FC288-87C7-4DF7-8536-D679AFD5B8C6}">
  <dimension ref="A1:E33"/>
  <sheetViews>
    <sheetView workbookViewId="0">
      <selection activeCell="C2" sqref="C2"/>
    </sheetView>
  </sheetViews>
  <sheetFormatPr defaultRowHeight="15" outlineLevelRow="2" x14ac:dyDescent="0.25"/>
  <cols>
    <col min="1" max="1" width="17.7109375" customWidth="1"/>
    <col min="2" max="2" width="21.7109375" customWidth="1"/>
    <col min="3" max="3" width="19" customWidth="1"/>
    <col min="4" max="4" width="11.140625" customWidth="1"/>
    <col min="5" max="5" width="16.42578125" customWidth="1"/>
    <col min="7" max="7" width="17.28515625" bestFit="1" customWidth="1"/>
  </cols>
  <sheetData>
    <row r="1" spans="1:5" x14ac:dyDescent="0.25">
      <c r="A1" t="s">
        <v>1</v>
      </c>
      <c r="B1" t="s">
        <v>2</v>
      </c>
      <c r="C1" t="s">
        <v>35</v>
      </c>
      <c r="D1" t="s">
        <v>36</v>
      </c>
      <c r="E1" t="s">
        <v>37</v>
      </c>
    </row>
    <row r="2" spans="1:5" x14ac:dyDescent="0.25">
      <c r="A2" s="11" t="s">
        <v>7</v>
      </c>
      <c r="B2" s="12" t="s">
        <v>15</v>
      </c>
      <c r="C2" s="17">
        <v>0</v>
      </c>
      <c r="D2" s="17">
        <f>SUMIFS(operacje[Kwota],operacje[Bank],styczeń_saldo[[#This Row],[Bank]],operacje[Produkt],styczeń_saldo[[#This Row],[Produkt]],operacje[Miesiąc],$B$11)</f>
        <v>-175</v>
      </c>
      <c r="E2" s="17">
        <f>styczeń_saldo[[#This Row],[Saldo początkowe]]+styczeń_saldo[[#This Row],[Operacje]]</f>
        <v>-175</v>
      </c>
    </row>
    <row r="3" spans="1:5" x14ac:dyDescent="0.25">
      <c r="A3" s="11" t="s">
        <v>7</v>
      </c>
      <c r="B3" s="12" t="s">
        <v>8</v>
      </c>
      <c r="C3" s="17">
        <v>600</v>
      </c>
      <c r="D3" s="17">
        <f>SUMIFS(operacje[Kwota],operacje[Bank],styczeń_saldo[[#This Row],[Bank]],operacje[Produkt],styczeń_saldo[[#This Row],[Produkt]],operacje[Miesiąc],$B$11)</f>
        <v>1100</v>
      </c>
      <c r="E3" s="17">
        <f>styczeń_saldo[[#This Row],[Saldo początkowe]]+styczeń_saldo[[#This Row],[Operacje]]</f>
        <v>1700</v>
      </c>
    </row>
    <row r="4" spans="1:5" x14ac:dyDescent="0.25">
      <c r="A4" s="13" t="s">
        <v>7</v>
      </c>
      <c r="B4" s="14" t="s">
        <v>18</v>
      </c>
      <c r="C4" s="17">
        <v>2000</v>
      </c>
      <c r="D4" s="17">
        <f>SUMIFS(operacje[Kwota],operacje[Bank],styczeń_saldo[[#This Row],[Bank]],operacje[Produkt],styczeń_saldo[[#This Row],[Produkt]],operacje[Miesiąc],$B$11)</f>
        <v>-400</v>
      </c>
      <c r="E4" s="17">
        <f>styczeń_saldo[[#This Row],[Saldo początkowe]]+styczeń_saldo[[#This Row],[Operacje]]</f>
        <v>1600</v>
      </c>
    </row>
    <row r="5" spans="1:5" x14ac:dyDescent="0.25">
      <c r="A5" s="15" t="s">
        <v>14</v>
      </c>
      <c r="B5" s="16" t="s">
        <v>8</v>
      </c>
      <c r="C5" s="17">
        <v>100</v>
      </c>
      <c r="D5" s="17">
        <f>SUMIFS(operacje[Kwota],operacje[Bank],styczeń_saldo[[#This Row],[Bank]],operacje[Produkt],styczeń_saldo[[#This Row],[Produkt]],operacje[Miesiąc],$B$11)</f>
        <v>-35</v>
      </c>
      <c r="E5" s="17">
        <f>styczeń_saldo[[#This Row],[Saldo początkowe]]+styczeń_saldo[[#This Row],[Operacje]]</f>
        <v>65</v>
      </c>
    </row>
    <row r="6" spans="1:5" x14ac:dyDescent="0.25">
      <c r="A6" s="11" t="s">
        <v>14</v>
      </c>
      <c r="B6" s="12" t="s">
        <v>20</v>
      </c>
      <c r="C6" s="17">
        <v>10.5</v>
      </c>
      <c r="D6" s="17">
        <f>SUMIFS(operacje[Kwota],operacje[Bank],styczeń_saldo[[#This Row],[Bank]],operacje[Produkt],styczeń_saldo[[#This Row],[Produkt]],operacje[Miesiąc],$B$11)</f>
        <v>255.5</v>
      </c>
      <c r="E6" s="17">
        <f>styczeń_saldo[[#This Row],[Saldo początkowe]]+styczeń_saldo[[#This Row],[Operacje]]</f>
        <v>266</v>
      </c>
    </row>
    <row r="7" spans="1:5" x14ac:dyDescent="0.25">
      <c r="A7" s="15" t="s">
        <v>26</v>
      </c>
      <c r="B7" s="16" t="s">
        <v>27</v>
      </c>
      <c r="C7" s="17">
        <v>200</v>
      </c>
      <c r="D7" s="17">
        <f>SUMIFS(operacje[Kwota],operacje[Bank],styczeń_saldo[[#This Row],[Bank]],operacje[Produkt],styczeń_saldo[[#This Row],[Produkt]],operacje[Miesiąc],$B$11)</f>
        <v>-50</v>
      </c>
      <c r="E7" s="17">
        <f>styczeń_saldo[[#This Row],[Saldo początkowe]]+styczeń_saldo[[#This Row],[Operacje]]</f>
        <v>150</v>
      </c>
    </row>
    <row r="8" spans="1:5" x14ac:dyDescent="0.25">
      <c r="A8" s="11" t="s">
        <v>26</v>
      </c>
      <c r="B8" s="12" t="s">
        <v>28</v>
      </c>
      <c r="C8" s="17">
        <v>30</v>
      </c>
      <c r="D8" s="17">
        <f>SUMIFS(operacje[Kwota],operacje[Bank],styczeń_saldo[[#This Row],[Bank]],operacje[Produkt],styczeń_saldo[[#This Row],[Produkt]],operacje[Miesiąc],$B$11)</f>
        <v>150</v>
      </c>
      <c r="E8" s="17">
        <f>styczeń_saldo[[#This Row],[Saldo początkowe]]+styczeń_saldo[[#This Row],[Operacje]]</f>
        <v>180</v>
      </c>
    </row>
    <row r="9" spans="1:5" x14ac:dyDescent="0.25">
      <c r="A9" t="s">
        <v>38</v>
      </c>
      <c r="C9" s="17">
        <f>SUBTOTAL(109,styczeń_saldo[Saldo początkowe])</f>
        <v>2940.5</v>
      </c>
      <c r="D9" s="17">
        <f>SUBTOTAL(109,styczeń_saldo[Operacje])</f>
        <v>845.5</v>
      </c>
      <c r="E9" s="17">
        <f>SUBTOTAL(109,styczeń_saldo[Saldo końcowe])</f>
        <v>3786</v>
      </c>
    </row>
    <row r="11" spans="1:5" x14ac:dyDescent="0.25">
      <c r="A11" t="s">
        <v>6</v>
      </c>
      <c r="B11">
        <v>1</v>
      </c>
      <c r="C11" t="str">
        <f>TEXT(DATE(2025,B11,1),"mmmm")</f>
        <v>styczeń</v>
      </c>
    </row>
    <row r="13" spans="1:5" x14ac:dyDescent="0.25">
      <c r="A13" t="s">
        <v>3</v>
      </c>
      <c r="B13" t="s">
        <v>4</v>
      </c>
      <c r="C13" t="s">
        <v>38</v>
      </c>
    </row>
    <row r="14" spans="1:5" outlineLevel="2" x14ac:dyDescent="0.25">
      <c r="A14" s="4" t="s">
        <v>31</v>
      </c>
      <c r="B14" s="4" t="s">
        <v>34</v>
      </c>
      <c r="C14">
        <f>SUMIFS(operacje[Kwota],operacje[Kategoria],$A14,operacje[Miesiąc],$B$11)</f>
        <v>0</v>
      </c>
    </row>
    <row r="15" spans="1:5" outlineLevel="1" x14ac:dyDescent="0.25">
      <c r="A15" s="4"/>
      <c r="B15" s="18" t="s">
        <v>39</v>
      </c>
      <c r="C15">
        <f>SUBTOTAL(9,C14:C14)</f>
        <v>0</v>
      </c>
    </row>
    <row r="16" spans="1:5" outlineLevel="2" x14ac:dyDescent="0.25">
      <c r="A16" s="5" t="s">
        <v>32</v>
      </c>
      <c r="B16" s="5" t="s">
        <v>12</v>
      </c>
      <c r="C16">
        <f>SUMIFS(operacje[Kwota],operacje[Kategoria],$A16,operacje[Miesiąc],$B$11)</f>
        <v>0</v>
      </c>
    </row>
    <row r="17" spans="1:3" outlineLevel="2" x14ac:dyDescent="0.25">
      <c r="A17" s="4" t="s">
        <v>29</v>
      </c>
      <c r="B17" s="4" t="s">
        <v>12</v>
      </c>
      <c r="C17">
        <f>SUMIFS(operacje[Kwota],operacje[Kategoria],$A17,operacje[Miesiąc],$B$11)</f>
        <v>105.5</v>
      </c>
    </row>
    <row r="18" spans="1:3" outlineLevel="2" x14ac:dyDescent="0.25">
      <c r="A18" s="5" t="s">
        <v>21</v>
      </c>
      <c r="B18" s="5" t="s">
        <v>12</v>
      </c>
      <c r="C18">
        <f>SUMIFS(operacje[Kwota],operacje[Kategoria],$A18,operacje[Miesiąc],$B$11)</f>
        <v>250</v>
      </c>
    </row>
    <row r="19" spans="1:3" outlineLevel="2" x14ac:dyDescent="0.25">
      <c r="A19" s="4" t="s">
        <v>17</v>
      </c>
      <c r="B19" s="4" t="s">
        <v>12</v>
      </c>
      <c r="C19">
        <f>SUMIFS(operacje[Kwota],operacje[Kategoria],$A19,operacje[Miesiąc],$B$11)</f>
        <v>800</v>
      </c>
    </row>
    <row r="20" spans="1:3" outlineLevel="2" x14ac:dyDescent="0.25">
      <c r="A20" s="5" t="s">
        <v>33</v>
      </c>
      <c r="B20" s="5" t="s">
        <v>12</v>
      </c>
      <c r="C20">
        <f>SUMIFS(operacje[Kwota],operacje[Kategoria],$A20,operacje[Miesiąc],$B$11)</f>
        <v>0</v>
      </c>
    </row>
    <row r="21" spans="1:3" outlineLevel="2" x14ac:dyDescent="0.25">
      <c r="A21" s="4" t="s">
        <v>11</v>
      </c>
      <c r="B21" s="4" t="s">
        <v>12</v>
      </c>
      <c r="C21">
        <f>SUMIFS(operacje[Kwota],operacje[Kategoria],$A21,operacje[Miesiąc],$B$11)</f>
        <v>4500</v>
      </c>
    </row>
    <row r="22" spans="1:3" outlineLevel="1" x14ac:dyDescent="0.25">
      <c r="A22" s="4"/>
      <c r="B22" s="18" t="s">
        <v>40</v>
      </c>
      <c r="C22">
        <f>SUBTOTAL(9,C16:C21)</f>
        <v>5655.5</v>
      </c>
    </row>
    <row r="23" spans="1:3" outlineLevel="2" x14ac:dyDescent="0.25">
      <c r="A23" s="5" t="s">
        <v>9</v>
      </c>
      <c r="B23" s="5" t="s">
        <v>10</v>
      </c>
      <c r="C23">
        <f>SUMIFS(operacje[Kwota],operacje[Kategoria],$A23,operacje[Miesiąc],$B$11)</f>
        <v>-1715</v>
      </c>
    </row>
    <row r="24" spans="1:3" outlineLevel="2" x14ac:dyDescent="0.25">
      <c r="A24" s="4" t="s">
        <v>13</v>
      </c>
      <c r="B24" s="4" t="s">
        <v>10</v>
      </c>
      <c r="C24">
        <f>SUMIFS(operacje[Kwota],operacje[Kategoria],$A24,operacje[Miesiąc],$B$11)</f>
        <v>-2000</v>
      </c>
    </row>
    <row r="25" spans="1:3" outlineLevel="2" x14ac:dyDescent="0.25">
      <c r="A25" s="5" t="s">
        <v>24</v>
      </c>
      <c r="B25" s="5" t="s">
        <v>10</v>
      </c>
      <c r="C25">
        <f>SUMIFS(operacje[Kwota],operacje[Kategoria],$A25,operacje[Miesiąc],$B$11)</f>
        <v>-80</v>
      </c>
    </row>
    <row r="26" spans="1:3" outlineLevel="2" x14ac:dyDescent="0.25">
      <c r="A26" s="4" t="s">
        <v>19</v>
      </c>
      <c r="B26" s="4" t="s">
        <v>10</v>
      </c>
      <c r="C26">
        <f>SUMIFS(operacje[Kwota],operacje[Kategoria],$A26,operacje[Miesiąc],$B$11)</f>
        <v>-500</v>
      </c>
    </row>
    <row r="27" spans="1:3" outlineLevel="2" x14ac:dyDescent="0.25">
      <c r="A27" s="5" t="s">
        <v>22</v>
      </c>
      <c r="B27" s="5" t="s">
        <v>10</v>
      </c>
      <c r="C27">
        <f>SUMIFS(operacje[Kwota],operacje[Kategoria],$A27,operacje[Miesiąc],$B$11)</f>
        <v>-85</v>
      </c>
    </row>
    <row r="28" spans="1:3" outlineLevel="2" x14ac:dyDescent="0.25">
      <c r="A28" s="4" t="s">
        <v>25</v>
      </c>
      <c r="B28" s="4" t="s">
        <v>10</v>
      </c>
      <c r="C28">
        <f>SUMIFS(operacje[Kwota],operacje[Kategoria],$A28,operacje[Miesiąc],$B$11)</f>
        <v>-100</v>
      </c>
    </row>
    <row r="29" spans="1:3" outlineLevel="2" x14ac:dyDescent="0.25">
      <c r="A29" s="5" t="s">
        <v>16</v>
      </c>
      <c r="B29" s="5" t="s">
        <v>10</v>
      </c>
      <c r="C29">
        <f>SUMIFS(operacje[Kwota],operacje[Kategoria],$A29,operacje[Miesiąc],$B$11)</f>
        <v>-150</v>
      </c>
    </row>
    <row r="30" spans="1:3" outlineLevel="2" x14ac:dyDescent="0.25">
      <c r="A30" s="4" t="s">
        <v>23</v>
      </c>
      <c r="B30" s="4" t="s">
        <v>10</v>
      </c>
      <c r="C30">
        <f>SUMIFS(operacje[Kwota],operacje[Kategoria],$A30,operacje[Miesiąc],$B$11)</f>
        <v>-80</v>
      </c>
    </row>
    <row r="31" spans="1:3" ht="15.75" outlineLevel="2" thickBot="1" x14ac:dyDescent="0.3">
      <c r="A31" s="6" t="s">
        <v>30</v>
      </c>
      <c r="B31" s="6" t="s">
        <v>10</v>
      </c>
      <c r="C31">
        <f>SUMIFS(operacje[Kwota],operacje[Kategoria],$A31,operacje[Miesiąc],$B$11)</f>
        <v>-100</v>
      </c>
    </row>
    <row r="32" spans="1:3" outlineLevel="1" x14ac:dyDescent="0.25">
      <c r="A32" s="19"/>
      <c r="B32" s="20" t="s">
        <v>41</v>
      </c>
      <c r="C32">
        <f>SUBTOTAL(9,C23:C31)</f>
        <v>-4810</v>
      </c>
    </row>
    <row r="33" spans="1:3" x14ac:dyDescent="0.25">
      <c r="A33" s="19"/>
      <c r="B33" s="20" t="s">
        <v>42</v>
      </c>
      <c r="C33">
        <f>SUBTOTAL(9,C14:C31)</f>
        <v>845.5</v>
      </c>
    </row>
  </sheetData>
  <dataValidations count="2">
    <dataValidation type="list" allowBlank="1" showInputMessage="1" showErrorMessage="1" sqref="A2:A8" xr:uid="{D337CC68-B453-4552-BE15-111A9B7D23C4}">
      <formula1>$E$1:$G$1</formula1>
    </dataValidation>
    <dataValidation type="list" allowBlank="1" showInputMessage="1" showErrorMessage="1" sqref="B2:B8" xr:uid="{D82F7321-0F93-410A-9A86-F907191FE4BA}">
      <formula1>CHOOSE(MATCH(A2,$E$1:$G$1,0),$E$2:$E$4,$F$2:$F$3,$A$14:$A$16)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50D21-E4DE-46A4-83E7-9B09BE1BF88D}">
  <dimension ref="A1:E33"/>
  <sheetViews>
    <sheetView workbookViewId="0">
      <selection activeCell="C2" sqref="C2"/>
    </sheetView>
  </sheetViews>
  <sheetFormatPr defaultRowHeight="15" outlineLevelRow="2" x14ac:dyDescent="0.25"/>
  <cols>
    <col min="1" max="1" width="17.7109375" customWidth="1"/>
    <col min="2" max="2" width="21.7109375" customWidth="1"/>
    <col min="3" max="3" width="19" customWidth="1"/>
    <col min="4" max="4" width="11.140625" customWidth="1"/>
    <col min="5" max="5" width="16.42578125" customWidth="1"/>
    <col min="7" max="7" width="17.28515625" bestFit="1" customWidth="1"/>
  </cols>
  <sheetData>
    <row r="1" spans="1:5" x14ac:dyDescent="0.25">
      <c r="A1" t="s">
        <v>1</v>
      </c>
      <c r="B1" t="s">
        <v>2</v>
      </c>
      <c r="C1" t="s">
        <v>35</v>
      </c>
      <c r="D1" t="s">
        <v>36</v>
      </c>
      <c r="E1" t="s">
        <v>37</v>
      </c>
    </row>
    <row r="2" spans="1:5" x14ac:dyDescent="0.25">
      <c r="A2" s="11" t="s">
        <v>7</v>
      </c>
      <c r="B2" s="12" t="s">
        <v>15</v>
      </c>
      <c r="C2" s="17" cm="1">
        <f t="array" aca="1" ref="C2" ca="1">INDIRECT(TEXT(DATE(2025,$B$11-1,1),"mmmm")&amp;"_saldo[@[Saldo końcowe]]")</f>
        <v>-175</v>
      </c>
      <c r="D2" s="17">
        <f>SUMIFS(operacje[Kwota],operacje[Bank],luty_saldo[[#This Row],[Bank]],operacje[Produkt],luty_saldo[[#This Row],[Produkt]],operacje[Miesiąc],$B$11)</f>
        <v>175</v>
      </c>
      <c r="E2" s="17">
        <f ca="1">luty_saldo[[#This Row],[Saldo początkowe]]+luty_saldo[[#This Row],[Operacje]]</f>
        <v>0</v>
      </c>
    </row>
    <row r="3" spans="1:5" x14ac:dyDescent="0.25">
      <c r="A3" s="11" t="s">
        <v>7</v>
      </c>
      <c r="B3" s="12" t="s">
        <v>8</v>
      </c>
      <c r="C3" s="17" cm="1">
        <f t="array" aca="1" ref="C3" ca="1">INDIRECT(TEXT(DATE(2025,$B$11-1,1),"mmmm")&amp;"_saldo[@[Saldo końcowe]]")</f>
        <v>1700</v>
      </c>
      <c r="D3" s="17">
        <f>SUMIFS(operacje[Kwota],operacje[Bank],luty_saldo[[#This Row],[Bank]],operacje[Produkt],luty_saldo[[#This Row],[Produkt]],operacje[Miesiąc],$B$11)</f>
        <v>2039.5</v>
      </c>
      <c r="E3" s="17">
        <f ca="1">luty_saldo[[#This Row],[Saldo początkowe]]+luty_saldo[[#This Row],[Operacje]]</f>
        <v>3739.5</v>
      </c>
    </row>
    <row r="4" spans="1:5" x14ac:dyDescent="0.25">
      <c r="A4" s="13" t="s">
        <v>7</v>
      </c>
      <c r="B4" s="14" t="s">
        <v>18</v>
      </c>
      <c r="C4" s="17" cm="1">
        <f t="array" aca="1" ref="C4" ca="1">INDIRECT(TEXT(DATE(2025,$B$11-1,1),"mmmm")&amp;"_saldo[@[Saldo końcowe]]")</f>
        <v>1600</v>
      </c>
      <c r="D4" s="17">
        <f>SUMIFS(operacje[Kwota],operacje[Bank],luty_saldo[[#This Row],[Bank]],operacje[Produkt],luty_saldo[[#This Row],[Produkt]],operacje[Miesiąc],$B$11)</f>
        <v>-400</v>
      </c>
      <c r="E4" s="17">
        <f ca="1">luty_saldo[[#This Row],[Saldo początkowe]]+luty_saldo[[#This Row],[Operacje]]</f>
        <v>1200</v>
      </c>
    </row>
    <row r="5" spans="1:5" x14ac:dyDescent="0.25">
      <c r="A5" s="15" t="s">
        <v>14</v>
      </c>
      <c r="B5" s="16" t="s">
        <v>8</v>
      </c>
      <c r="C5" s="17" cm="1">
        <f t="array" aca="1" ref="C5" ca="1">INDIRECT(TEXT(DATE(2025,$B$11-1,1),"mmmm")&amp;"_saldo[@[Saldo końcowe]]")</f>
        <v>65</v>
      </c>
      <c r="D5" s="17">
        <f>SUMIFS(operacje[Kwota],operacje[Bank],luty_saldo[[#This Row],[Bank]],operacje[Produkt],luty_saldo[[#This Row],[Produkt]],operacje[Miesiąc],$B$11)</f>
        <v>35</v>
      </c>
      <c r="E5" s="17">
        <f ca="1">luty_saldo[[#This Row],[Saldo początkowe]]+luty_saldo[[#This Row],[Operacje]]</f>
        <v>100</v>
      </c>
    </row>
    <row r="6" spans="1:5" x14ac:dyDescent="0.25">
      <c r="A6" s="11" t="s">
        <v>14</v>
      </c>
      <c r="B6" s="12" t="s">
        <v>20</v>
      </c>
      <c r="C6" s="17" cm="1">
        <f t="array" aca="1" ref="C6" ca="1">INDIRECT(TEXT(DATE(2025,$B$11-1,1),"mmmm")&amp;"_saldo[@[Saldo końcowe]]")</f>
        <v>266</v>
      </c>
      <c r="D6" s="17">
        <f>SUMIFS(operacje[Kwota],operacje[Bank],luty_saldo[[#This Row],[Bank]],operacje[Produkt],luty_saldo[[#This Row],[Produkt]],operacje[Miesiąc],$B$11)</f>
        <v>15</v>
      </c>
      <c r="E6" s="17">
        <f ca="1">luty_saldo[[#This Row],[Saldo początkowe]]+luty_saldo[[#This Row],[Operacje]]</f>
        <v>281</v>
      </c>
    </row>
    <row r="7" spans="1:5" x14ac:dyDescent="0.25">
      <c r="A7" s="15" t="s">
        <v>26</v>
      </c>
      <c r="B7" s="16" t="s">
        <v>27</v>
      </c>
      <c r="C7" s="17" cm="1">
        <f t="array" aca="1" ref="C7" ca="1">INDIRECT(TEXT(DATE(2025,$B$11-1,1),"mmmm")&amp;"_saldo[@[Saldo końcowe]]")</f>
        <v>150</v>
      </c>
      <c r="D7" s="17">
        <f>SUMIFS(operacje[Kwota],operacje[Bank],luty_saldo[[#This Row],[Bank]],operacje[Produkt],luty_saldo[[#This Row],[Produkt]],operacje[Miesiąc],$B$11)</f>
        <v>100</v>
      </c>
      <c r="E7" s="17">
        <f ca="1">luty_saldo[[#This Row],[Saldo początkowe]]+luty_saldo[[#This Row],[Operacje]]</f>
        <v>250</v>
      </c>
    </row>
    <row r="8" spans="1:5" x14ac:dyDescent="0.25">
      <c r="A8" s="11" t="s">
        <v>26</v>
      </c>
      <c r="B8" s="12" t="s">
        <v>28</v>
      </c>
      <c r="C8" s="17" cm="1">
        <f t="array" aca="1" ref="C8" ca="1">INDIRECT(TEXT(DATE(2025,$B$11-1,1),"mmmm")&amp;"_saldo[@[Saldo końcowe]]")</f>
        <v>180</v>
      </c>
      <c r="D8" s="17">
        <f>SUMIFS(operacje[Kwota],operacje[Bank],luty_saldo[[#This Row],[Bank]],operacje[Produkt],luty_saldo[[#This Row],[Produkt]],operacje[Miesiąc],$B$11)</f>
        <v>500</v>
      </c>
      <c r="E8" s="17">
        <f ca="1">luty_saldo[[#This Row],[Saldo początkowe]]+luty_saldo[[#This Row],[Operacje]]</f>
        <v>680</v>
      </c>
    </row>
    <row r="9" spans="1:5" x14ac:dyDescent="0.25">
      <c r="A9" t="s">
        <v>38</v>
      </c>
      <c r="C9" s="17">
        <f ca="1">SUBTOTAL(109,luty_saldo[Saldo początkowe])</f>
        <v>3786</v>
      </c>
      <c r="D9" s="17">
        <f>SUBTOTAL(109,luty_saldo[Operacje])</f>
        <v>2464.5</v>
      </c>
      <c r="E9" s="17">
        <f ca="1">SUBTOTAL(109,luty_saldo[Saldo końcowe])</f>
        <v>6250.5</v>
      </c>
    </row>
    <row r="11" spans="1:5" x14ac:dyDescent="0.25">
      <c r="A11" t="s">
        <v>6</v>
      </c>
      <c r="B11">
        <v>2</v>
      </c>
      <c r="C11" t="str">
        <f>TEXT(DATE(2025,B11,1),"mmmm")</f>
        <v>luty</v>
      </c>
    </row>
    <row r="13" spans="1:5" x14ac:dyDescent="0.25">
      <c r="A13" t="s">
        <v>3</v>
      </c>
      <c r="B13" t="s">
        <v>4</v>
      </c>
      <c r="C13" t="s">
        <v>38</v>
      </c>
    </row>
    <row r="14" spans="1:5" outlineLevel="2" x14ac:dyDescent="0.25">
      <c r="A14" s="4" t="s">
        <v>31</v>
      </c>
      <c r="B14" s="4" t="s">
        <v>34</v>
      </c>
      <c r="C14">
        <f>SUMIFS(operacje[Kwota],operacje[Kategoria],$A14,operacje[Miesiąc],$B$11)</f>
        <v>0</v>
      </c>
    </row>
    <row r="15" spans="1:5" outlineLevel="1" x14ac:dyDescent="0.25">
      <c r="A15" s="4"/>
      <c r="B15" s="18" t="s">
        <v>39</v>
      </c>
      <c r="C15">
        <f>SUBTOTAL(9,C14:C14)</f>
        <v>0</v>
      </c>
    </row>
    <row r="16" spans="1:5" outlineLevel="2" x14ac:dyDescent="0.25">
      <c r="A16" s="5" t="s">
        <v>32</v>
      </c>
      <c r="B16" s="5" t="s">
        <v>12</v>
      </c>
      <c r="C16">
        <f>SUMIFS(operacje[Kwota],operacje[Kategoria],$A16,operacje[Miesiąc],$B$11)</f>
        <v>0</v>
      </c>
    </row>
    <row r="17" spans="1:3" outlineLevel="2" x14ac:dyDescent="0.25">
      <c r="A17" s="4" t="s">
        <v>29</v>
      </c>
      <c r="B17" s="4" t="s">
        <v>12</v>
      </c>
      <c r="C17">
        <f>SUMIFS(operacje[Kwota],operacje[Kategoria],$A17,operacje[Miesiąc],$B$11)</f>
        <v>115</v>
      </c>
    </row>
    <row r="18" spans="1:3" outlineLevel="2" x14ac:dyDescent="0.25">
      <c r="A18" s="5" t="s">
        <v>21</v>
      </c>
      <c r="B18" s="5" t="s">
        <v>12</v>
      </c>
      <c r="C18">
        <f>SUMIFS(operacje[Kwota],operacje[Kategoria],$A18,operacje[Miesiąc],$B$11)</f>
        <v>0</v>
      </c>
    </row>
    <row r="19" spans="1:3" outlineLevel="2" x14ac:dyDescent="0.25">
      <c r="A19" s="4" t="s">
        <v>17</v>
      </c>
      <c r="B19" s="4" t="s">
        <v>12</v>
      </c>
      <c r="C19">
        <f>SUMIFS(operacje[Kwota],operacje[Kategoria],$A19,operacje[Miesiąc],$B$11)</f>
        <v>1950</v>
      </c>
    </row>
    <row r="20" spans="1:3" outlineLevel="2" x14ac:dyDescent="0.25">
      <c r="A20" s="5" t="s">
        <v>33</v>
      </c>
      <c r="B20" s="5" t="s">
        <v>12</v>
      </c>
      <c r="C20">
        <f>SUMIFS(operacje[Kwota],operacje[Kategoria],$A20,operacje[Miesiąc],$B$11)</f>
        <v>0</v>
      </c>
    </row>
    <row r="21" spans="1:3" outlineLevel="2" x14ac:dyDescent="0.25">
      <c r="A21" s="4" t="s">
        <v>11</v>
      </c>
      <c r="B21" s="4" t="s">
        <v>12</v>
      </c>
      <c r="C21">
        <f>SUMIFS(operacje[Kwota],operacje[Kategoria],$A21,operacje[Miesiąc],$B$11)</f>
        <v>4500</v>
      </c>
    </row>
    <row r="22" spans="1:3" outlineLevel="1" x14ac:dyDescent="0.25">
      <c r="A22" s="4"/>
      <c r="B22" s="18" t="s">
        <v>40</v>
      </c>
      <c r="C22">
        <f>SUBTOTAL(9,C16:C21)</f>
        <v>6565</v>
      </c>
    </row>
    <row r="23" spans="1:3" outlineLevel="2" x14ac:dyDescent="0.25">
      <c r="A23" s="5" t="s">
        <v>9</v>
      </c>
      <c r="B23" s="5" t="s">
        <v>10</v>
      </c>
      <c r="C23">
        <f>SUMIFS(operacje[Kwota],operacje[Kategoria],$A23,operacje[Miesiąc],$B$11)</f>
        <v>-405.5</v>
      </c>
    </row>
    <row r="24" spans="1:3" outlineLevel="2" x14ac:dyDescent="0.25">
      <c r="A24" s="4" t="s">
        <v>13</v>
      </c>
      <c r="B24" s="4" t="s">
        <v>10</v>
      </c>
      <c r="C24">
        <f>SUMIFS(operacje[Kwota],operacje[Kategoria],$A24,operacje[Miesiąc],$B$11)</f>
        <v>-2000</v>
      </c>
    </row>
    <row r="25" spans="1:3" outlineLevel="2" x14ac:dyDescent="0.25">
      <c r="A25" s="5" t="s">
        <v>24</v>
      </c>
      <c r="B25" s="5" t="s">
        <v>10</v>
      </c>
      <c r="C25">
        <f>SUMIFS(operacje[Kwota],operacje[Kategoria],$A25,operacje[Miesiąc],$B$11)</f>
        <v>0</v>
      </c>
    </row>
    <row r="26" spans="1:3" outlineLevel="2" x14ac:dyDescent="0.25">
      <c r="A26" s="4" t="s">
        <v>19</v>
      </c>
      <c r="B26" s="4" t="s">
        <v>10</v>
      </c>
      <c r="C26">
        <f>SUMIFS(operacje[Kwota],operacje[Kategoria],$A26,operacje[Miesiąc],$B$11)</f>
        <v>-765</v>
      </c>
    </row>
    <row r="27" spans="1:3" outlineLevel="2" x14ac:dyDescent="0.25">
      <c r="A27" s="5" t="s">
        <v>22</v>
      </c>
      <c r="B27" s="5" t="s">
        <v>10</v>
      </c>
      <c r="C27">
        <f>SUMIFS(operacje[Kwota],operacje[Kategoria],$A27,operacje[Miesiąc],$B$11)</f>
        <v>-350</v>
      </c>
    </row>
    <row r="28" spans="1:3" outlineLevel="2" x14ac:dyDescent="0.25">
      <c r="A28" s="4" t="s">
        <v>25</v>
      </c>
      <c r="B28" s="4" t="s">
        <v>10</v>
      </c>
      <c r="C28">
        <f>SUMIFS(operacje[Kwota],operacje[Kategoria],$A28,operacje[Miesiąc],$B$11)</f>
        <v>-100</v>
      </c>
    </row>
    <row r="29" spans="1:3" outlineLevel="2" x14ac:dyDescent="0.25">
      <c r="A29" s="5" t="s">
        <v>16</v>
      </c>
      <c r="B29" s="5" t="s">
        <v>10</v>
      </c>
      <c r="C29">
        <f>SUMIFS(operacje[Kwota],operacje[Kategoria],$A29,operacje[Miesiąc],$B$11)</f>
        <v>-150</v>
      </c>
    </row>
    <row r="30" spans="1:3" outlineLevel="2" x14ac:dyDescent="0.25">
      <c r="A30" s="4" t="s">
        <v>23</v>
      </c>
      <c r="B30" s="4" t="s">
        <v>10</v>
      </c>
      <c r="C30">
        <f>SUMIFS(operacje[Kwota],operacje[Kategoria],$A30,operacje[Miesiąc],$B$11)</f>
        <v>-80</v>
      </c>
    </row>
    <row r="31" spans="1:3" ht="15.75" outlineLevel="2" thickBot="1" x14ac:dyDescent="0.3">
      <c r="A31" s="6" t="s">
        <v>30</v>
      </c>
      <c r="B31" s="6" t="s">
        <v>10</v>
      </c>
      <c r="C31">
        <f>SUMIFS(operacje[Kwota],operacje[Kategoria],$A31,operacje[Miesiąc],$B$11)</f>
        <v>-250</v>
      </c>
    </row>
    <row r="32" spans="1:3" outlineLevel="1" x14ac:dyDescent="0.25">
      <c r="A32" s="19"/>
      <c r="B32" s="20" t="s">
        <v>41</v>
      </c>
      <c r="C32">
        <f>SUBTOTAL(9,C23:C31)</f>
        <v>-4100.5</v>
      </c>
    </row>
    <row r="33" spans="1:3" x14ac:dyDescent="0.25">
      <c r="A33" s="19"/>
      <c r="B33" s="20" t="s">
        <v>42</v>
      </c>
      <c r="C33">
        <f>SUBTOTAL(9,C14:C31)</f>
        <v>2464.5</v>
      </c>
    </row>
  </sheetData>
  <dataValidations count="2">
    <dataValidation type="list" allowBlank="1" showInputMessage="1" showErrorMessage="1" sqref="B2:B8" xr:uid="{20D3F782-A8E2-4D77-BDC6-F82015416610}">
      <formula1>CHOOSE(MATCH(A2,$E$1:$G$1,0),$E$2:$E$4,$F$2:$F$3,$A$14:$A$16)</formula1>
    </dataValidation>
    <dataValidation type="list" allowBlank="1" showInputMessage="1" showErrorMessage="1" sqref="A2:A8" xr:uid="{D6B14266-318A-4167-AD04-16F0CC01BC9B}">
      <formula1>$E$1:$G$1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90D1F-2B26-41B6-A06C-188B1A6AFBF1}">
  <dimension ref="A1:E33"/>
  <sheetViews>
    <sheetView workbookViewId="0">
      <selection activeCell="B12" sqref="B12"/>
    </sheetView>
  </sheetViews>
  <sheetFormatPr defaultRowHeight="15" outlineLevelRow="2" x14ac:dyDescent="0.25"/>
  <cols>
    <col min="1" max="1" width="17.7109375" customWidth="1"/>
    <col min="2" max="2" width="21.7109375" customWidth="1"/>
    <col min="3" max="3" width="19" customWidth="1"/>
    <col min="4" max="4" width="11.140625" customWidth="1"/>
    <col min="5" max="5" width="16.42578125" customWidth="1"/>
    <col min="7" max="7" width="17.28515625" bestFit="1" customWidth="1"/>
  </cols>
  <sheetData>
    <row r="1" spans="1:5" x14ac:dyDescent="0.25">
      <c r="A1" t="s">
        <v>1</v>
      </c>
      <c r="B1" t="s">
        <v>2</v>
      </c>
      <c r="C1" t="s">
        <v>35</v>
      </c>
      <c r="D1" t="s">
        <v>36</v>
      </c>
      <c r="E1" t="s">
        <v>37</v>
      </c>
    </row>
    <row r="2" spans="1:5" x14ac:dyDescent="0.25">
      <c r="A2" s="11" t="s">
        <v>7</v>
      </c>
      <c r="B2" s="12" t="s">
        <v>15</v>
      </c>
      <c r="C2" s="17" cm="1">
        <f t="array" aca="1" ref="C2" ca="1">INDIRECT(TEXT(DATE(2025,$B$11-1,1),"mmmm")&amp;"_saldo[@[Saldo końcowe]]")</f>
        <v>0</v>
      </c>
      <c r="D2" s="17">
        <f>SUMIFS(operacje[Kwota],operacje[Bank],marzec_saldo[[#This Row],[Bank]],operacje[Produkt],marzec_saldo[[#This Row],[Produkt]],operacje[Miesiąc],$B$11)</f>
        <v>-104.5</v>
      </c>
      <c r="E2" s="17">
        <f ca="1">marzec_saldo[[#This Row],[Saldo początkowe]]+marzec_saldo[[#This Row],[Operacje]]</f>
        <v>-104.5</v>
      </c>
    </row>
    <row r="3" spans="1:5" x14ac:dyDescent="0.25">
      <c r="A3" s="11" t="s">
        <v>7</v>
      </c>
      <c r="B3" s="12" t="s">
        <v>8</v>
      </c>
      <c r="C3" s="17" cm="1">
        <f t="array" aca="1" ref="C3" ca="1">INDIRECT(TEXT(DATE(2025,$B$11-1,1),"mmmm")&amp;"_saldo[@[Saldo końcowe]]")</f>
        <v>3739.5</v>
      </c>
      <c r="D3" s="17">
        <f>SUMIFS(operacje[Kwota],operacje[Bank],marzec_saldo[[#This Row],[Bank]],operacje[Produkt],marzec_saldo[[#This Row],[Produkt]],operacje[Miesiąc],$B$11)</f>
        <v>821.59999999999991</v>
      </c>
      <c r="E3" s="17">
        <f ca="1">marzec_saldo[[#This Row],[Saldo początkowe]]+marzec_saldo[[#This Row],[Operacje]]</f>
        <v>4561.1000000000004</v>
      </c>
    </row>
    <row r="4" spans="1:5" x14ac:dyDescent="0.25">
      <c r="A4" s="13" t="s">
        <v>7</v>
      </c>
      <c r="B4" s="14" t="s">
        <v>18</v>
      </c>
      <c r="C4" s="17" cm="1">
        <f t="array" aca="1" ref="C4" ca="1">INDIRECT(TEXT(DATE(2025,$B$11-1,1),"mmmm")&amp;"_saldo[@[Saldo końcowe]]")</f>
        <v>1200</v>
      </c>
      <c r="D4" s="17">
        <f>SUMIFS(operacje[Kwota],operacje[Bank],marzec_saldo[[#This Row],[Bank]],operacje[Produkt],marzec_saldo[[#This Row],[Produkt]],operacje[Miesiąc],$B$11)</f>
        <v>0</v>
      </c>
      <c r="E4" s="17">
        <f ca="1">marzec_saldo[[#This Row],[Saldo początkowe]]+marzec_saldo[[#This Row],[Operacje]]</f>
        <v>1200</v>
      </c>
    </row>
    <row r="5" spans="1:5" x14ac:dyDescent="0.25">
      <c r="A5" s="15" t="s">
        <v>14</v>
      </c>
      <c r="B5" s="16" t="s">
        <v>8</v>
      </c>
      <c r="C5" s="17" cm="1">
        <f t="array" aca="1" ref="C5" ca="1">INDIRECT(TEXT(DATE(2025,$B$11-1,1),"mmmm")&amp;"_saldo[@[Saldo końcowe]]")</f>
        <v>100</v>
      </c>
      <c r="D5" s="17">
        <f>SUMIFS(operacje[Kwota],operacje[Bank],marzec_saldo[[#This Row],[Bank]],operacje[Produkt],marzec_saldo[[#This Row],[Produkt]],operacje[Miesiąc],$B$11)</f>
        <v>67.5</v>
      </c>
      <c r="E5" s="17">
        <f ca="1">marzec_saldo[[#This Row],[Saldo początkowe]]+marzec_saldo[[#This Row],[Operacje]]</f>
        <v>167.5</v>
      </c>
    </row>
    <row r="6" spans="1:5" x14ac:dyDescent="0.25">
      <c r="A6" s="11" t="s">
        <v>14</v>
      </c>
      <c r="B6" s="12" t="s">
        <v>20</v>
      </c>
      <c r="C6" s="17" cm="1">
        <f t="array" aca="1" ref="C6" ca="1">INDIRECT(TEXT(DATE(2025,$B$11-1,1),"mmmm")&amp;"_saldo[@[Saldo końcowe]]")</f>
        <v>281</v>
      </c>
      <c r="D6" s="17">
        <f>SUMIFS(operacje[Kwota],operacje[Bank],marzec_saldo[[#This Row],[Bank]],operacje[Produkt],marzec_saldo[[#This Row],[Produkt]],operacje[Miesiąc],$B$11)</f>
        <v>5</v>
      </c>
      <c r="E6" s="17">
        <f ca="1">marzec_saldo[[#This Row],[Saldo początkowe]]+marzec_saldo[[#This Row],[Operacje]]</f>
        <v>286</v>
      </c>
    </row>
    <row r="7" spans="1:5" x14ac:dyDescent="0.25">
      <c r="A7" s="15" t="s">
        <v>26</v>
      </c>
      <c r="B7" s="16" t="s">
        <v>27</v>
      </c>
      <c r="C7" s="17" cm="1">
        <f t="array" aca="1" ref="C7" ca="1">INDIRECT(TEXT(DATE(2025,$B$11-1,1),"mmmm")&amp;"_saldo[@[Saldo końcowe]]")</f>
        <v>250</v>
      </c>
      <c r="D7" s="17">
        <f>SUMIFS(operacje[Kwota],operacje[Bank],marzec_saldo[[#This Row],[Bank]],operacje[Produkt],marzec_saldo[[#This Row],[Produkt]],operacje[Miesiąc],$B$11)</f>
        <v>-24.49</v>
      </c>
      <c r="E7" s="17">
        <f ca="1">marzec_saldo[[#This Row],[Saldo początkowe]]+marzec_saldo[[#This Row],[Operacje]]</f>
        <v>225.51</v>
      </c>
    </row>
    <row r="8" spans="1:5" x14ac:dyDescent="0.25">
      <c r="A8" s="11" t="s">
        <v>26</v>
      </c>
      <c r="B8" s="12" t="s">
        <v>28</v>
      </c>
      <c r="C8" s="17" cm="1">
        <f t="array" aca="1" ref="C8" ca="1">INDIRECT(TEXT(DATE(2025,$B$11-1,1),"mmmm")&amp;"_saldo[@[Saldo końcowe]]")</f>
        <v>680</v>
      </c>
      <c r="D8" s="17">
        <f>SUMIFS(operacje[Kwota],operacje[Bank],marzec_saldo[[#This Row],[Bank]],operacje[Produkt],marzec_saldo[[#This Row],[Produkt]],operacje[Miesiąc],$B$11)</f>
        <v>-9.5</v>
      </c>
      <c r="E8" s="17">
        <f ca="1">marzec_saldo[[#This Row],[Saldo początkowe]]+marzec_saldo[[#This Row],[Operacje]]</f>
        <v>670.5</v>
      </c>
    </row>
    <row r="9" spans="1:5" x14ac:dyDescent="0.25">
      <c r="A9" t="s">
        <v>38</v>
      </c>
      <c r="C9" s="17">
        <f ca="1">SUBTOTAL(109,marzec_saldo[Saldo początkowe])</f>
        <v>6250.5</v>
      </c>
      <c r="D9" s="17">
        <f>SUBTOTAL(109,marzec_saldo[Operacje])</f>
        <v>755.6099999999999</v>
      </c>
      <c r="E9" s="17">
        <f ca="1">SUBTOTAL(109,marzec_saldo[Saldo końcowe])</f>
        <v>7006.1100000000006</v>
      </c>
    </row>
    <row r="11" spans="1:5" x14ac:dyDescent="0.25">
      <c r="A11" t="s">
        <v>6</v>
      </c>
      <c r="B11">
        <v>3</v>
      </c>
      <c r="C11" t="str">
        <f>TEXT(DATE(2025,B11,1),"mmmm")</f>
        <v>marzec</v>
      </c>
    </row>
    <row r="13" spans="1:5" x14ac:dyDescent="0.25">
      <c r="A13" t="s">
        <v>3</v>
      </c>
      <c r="B13" t="s">
        <v>4</v>
      </c>
      <c r="C13" t="s">
        <v>38</v>
      </c>
    </row>
    <row r="14" spans="1:5" outlineLevel="2" x14ac:dyDescent="0.25">
      <c r="A14" s="4" t="s">
        <v>31</v>
      </c>
      <c r="B14" s="4" t="s">
        <v>34</v>
      </c>
      <c r="C14">
        <f>SUMIFS(operacje[Kwota],operacje[Kategoria],$A14,operacje[Miesiąc],$B$11)</f>
        <v>0</v>
      </c>
    </row>
    <row r="15" spans="1:5" outlineLevel="1" x14ac:dyDescent="0.25">
      <c r="A15" s="4"/>
      <c r="B15" s="18" t="s">
        <v>39</v>
      </c>
      <c r="C15">
        <f>SUBTOTAL(9,C14:C14)</f>
        <v>0</v>
      </c>
    </row>
    <row r="16" spans="1:5" outlineLevel="2" x14ac:dyDescent="0.25">
      <c r="A16" s="5" t="s">
        <v>32</v>
      </c>
      <c r="B16" s="5" t="s">
        <v>12</v>
      </c>
      <c r="C16">
        <f>SUMIFS(operacje[Kwota],operacje[Kategoria],$A16,operacje[Miesiąc],$B$11)</f>
        <v>5</v>
      </c>
    </row>
    <row r="17" spans="1:3" outlineLevel="2" x14ac:dyDescent="0.25">
      <c r="A17" s="4" t="s">
        <v>29</v>
      </c>
      <c r="B17" s="4" t="s">
        <v>12</v>
      </c>
      <c r="C17">
        <f>SUMIFS(operacje[Kwota],operacje[Kategoria],$A17,operacje[Miesiąc],$B$11)</f>
        <v>150</v>
      </c>
    </row>
    <row r="18" spans="1:3" outlineLevel="2" x14ac:dyDescent="0.25">
      <c r="A18" s="5" t="s">
        <v>21</v>
      </c>
      <c r="B18" s="5" t="s">
        <v>12</v>
      </c>
      <c r="C18">
        <f>SUMIFS(operacje[Kwota],operacje[Kategoria],$A18,operacje[Miesiąc],$B$11)</f>
        <v>0</v>
      </c>
    </row>
    <row r="19" spans="1:3" outlineLevel="2" x14ac:dyDescent="0.25">
      <c r="A19" s="4" t="s">
        <v>17</v>
      </c>
      <c r="B19" s="4" t="s">
        <v>12</v>
      </c>
      <c r="C19">
        <f>SUMIFS(operacje[Kwota],operacje[Kategoria],$A19,operacje[Miesiąc],$B$11)</f>
        <v>0</v>
      </c>
    </row>
    <row r="20" spans="1:3" outlineLevel="2" x14ac:dyDescent="0.25">
      <c r="A20" s="5" t="s">
        <v>33</v>
      </c>
      <c r="B20" s="5" t="s">
        <v>12</v>
      </c>
      <c r="C20">
        <f>SUMIFS(operacje[Kwota],operacje[Kategoria],$A20,operacje[Miesiąc],$B$11)</f>
        <v>0</v>
      </c>
    </row>
    <row r="21" spans="1:3" outlineLevel="2" x14ac:dyDescent="0.25">
      <c r="A21" s="4" t="s">
        <v>11</v>
      </c>
      <c r="B21" s="4" t="s">
        <v>12</v>
      </c>
      <c r="C21">
        <f>SUMIFS(operacje[Kwota],operacje[Kategoria],$A21,operacje[Miesiąc],$B$11)</f>
        <v>4500</v>
      </c>
    </row>
    <row r="22" spans="1:3" outlineLevel="1" x14ac:dyDescent="0.25">
      <c r="A22" s="4"/>
      <c r="B22" s="18" t="s">
        <v>40</v>
      </c>
      <c r="C22">
        <f>SUBTOTAL(9,C16:C21)</f>
        <v>4655</v>
      </c>
    </row>
    <row r="23" spans="1:3" outlineLevel="2" x14ac:dyDescent="0.25">
      <c r="A23" s="5" t="s">
        <v>9</v>
      </c>
      <c r="B23" s="5" t="s">
        <v>10</v>
      </c>
      <c r="C23">
        <f>SUMIFS(operacje[Kwota],operacje[Kategoria],$A23,operacje[Miesiąc],$B$11)</f>
        <v>-734.99</v>
      </c>
    </row>
    <row r="24" spans="1:3" outlineLevel="2" x14ac:dyDescent="0.25">
      <c r="A24" s="4" t="s">
        <v>13</v>
      </c>
      <c r="B24" s="4" t="s">
        <v>10</v>
      </c>
      <c r="C24">
        <f>SUMIFS(operacje[Kwota],operacje[Kategoria],$A24,operacje[Miesiąc],$B$11)</f>
        <v>-2000</v>
      </c>
    </row>
    <row r="25" spans="1:3" outlineLevel="2" x14ac:dyDescent="0.25">
      <c r="A25" s="5" t="s">
        <v>24</v>
      </c>
      <c r="B25" s="5" t="s">
        <v>10</v>
      </c>
      <c r="C25">
        <f>SUMIFS(operacje[Kwota],operacje[Kategoria],$A25,operacje[Miesiąc],$B$11)</f>
        <v>-469.9</v>
      </c>
    </row>
    <row r="26" spans="1:3" outlineLevel="2" x14ac:dyDescent="0.25">
      <c r="A26" s="4" t="s">
        <v>19</v>
      </c>
      <c r="B26" s="4" t="s">
        <v>10</v>
      </c>
      <c r="C26">
        <f>SUMIFS(operacje[Kwota],operacje[Kategoria],$A26,operacje[Miesiąc],$B$11)</f>
        <v>-300</v>
      </c>
    </row>
    <row r="27" spans="1:3" outlineLevel="2" x14ac:dyDescent="0.25">
      <c r="A27" s="5" t="s">
        <v>22</v>
      </c>
      <c r="B27" s="5" t="s">
        <v>10</v>
      </c>
      <c r="C27">
        <f>SUMIFS(operacje[Kwota],operacje[Kategoria],$A27,operacje[Miesiąc],$B$11)</f>
        <v>-200</v>
      </c>
    </row>
    <row r="28" spans="1:3" outlineLevel="2" x14ac:dyDescent="0.25">
      <c r="A28" s="4" t="s">
        <v>25</v>
      </c>
      <c r="B28" s="4" t="s">
        <v>10</v>
      </c>
      <c r="C28">
        <f>SUMIFS(operacje[Kwota],operacje[Kategoria],$A28,operacje[Miesiąc],$B$11)</f>
        <v>-79.5</v>
      </c>
    </row>
    <row r="29" spans="1:3" outlineLevel="2" x14ac:dyDescent="0.25">
      <c r="A29" s="5" t="s">
        <v>16</v>
      </c>
      <c r="B29" s="5" t="s">
        <v>10</v>
      </c>
      <c r="C29">
        <f>SUMIFS(operacje[Kwota],operacje[Kategoria],$A29,operacje[Miesiąc],$B$11)</f>
        <v>-23</v>
      </c>
    </row>
    <row r="30" spans="1:3" outlineLevel="2" x14ac:dyDescent="0.25">
      <c r="A30" s="4" t="s">
        <v>23</v>
      </c>
      <c r="B30" s="4" t="s">
        <v>10</v>
      </c>
      <c r="C30">
        <f>SUMIFS(operacje[Kwota],operacje[Kategoria],$A30,operacje[Miesiąc],$B$11)</f>
        <v>-82.5</v>
      </c>
    </row>
    <row r="31" spans="1:3" ht="15.75" outlineLevel="2" thickBot="1" x14ac:dyDescent="0.3">
      <c r="A31" s="6" t="s">
        <v>30</v>
      </c>
      <c r="B31" s="6" t="s">
        <v>10</v>
      </c>
      <c r="C31">
        <f>SUMIFS(operacje[Kwota],operacje[Kategoria],$A31,operacje[Miesiąc],$B$11)</f>
        <v>-9.5</v>
      </c>
    </row>
    <row r="32" spans="1:3" outlineLevel="1" x14ac:dyDescent="0.25">
      <c r="A32" s="19"/>
      <c r="B32" s="20" t="s">
        <v>41</v>
      </c>
      <c r="C32">
        <f>SUBTOTAL(9,C23:C31)</f>
        <v>-3899.39</v>
      </c>
    </row>
    <row r="33" spans="1:3" x14ac:dyDescent="0.25">
      <c r="A33" s="19"/>
      <c r="B33" s="20" t="s">
        <v>42</v>
      </c>
      <c r="C33">
        <f>SUBTOTAL(9,C14:C31)</f>
        <v>755.61000000000013</v>
      </c>
    </row>
  </sheetData>
  <dataValidations count="2">
    <dataValidation type="list" allowBlank="1" showInputMessage="1" showErrorMessage="1" sqref="A2:A8" xr:uid="{0CF135B5-5A92-418A-97B0-6FE9DE4E5A6E}">
      <formula1>$E$1:$G$1</formula1>
    </dataValidation>
    <dataValidation type="list" allowBlank="1" showInputMessage="1" showErrorMessage="1" sqref="B2:B8" xr:uid="{BBFA00B4-D4F1-4AC0-AE5C-BF925B2EB7DE}">
      <formula1>CHOOSE(MATCH(A2,$E$1:$G$1,0),$E$2:$E$4,$F$2:$F$3,$A$14:$A$16)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B0B84-788E-4640-92E5-4661FE15460F}">
  <dimension ref="A1:E33"/>
  <sheetViews>
    <sheetView workbookViewId="0">
      <selection activeCell="B12" sqref="B12"/>
    </sheetView>
  </sheetViews>
  <sheetFormatPr defaultRowHeight="15" outlineLevelRow="2" x14ac:dyDescent="0.25"/>
  <cols>
    <col min="1" max="1" width="17.7109375" customWidth="1"/>
    <col min="2" max="2" width="21.7109375" customWidth="1"/>
    <col min="3" max="3" width="19" customWidth="1"/>
    <col min="4" max="4" width="11.140625" customWidth="1"/>
    <col min="5" max="5" width="16.42578125" customWidth="1"/>
    <col min="7" max="7" width="17.28515625" bestFit="1" customWidth="1"/>
  </cols>
  <sheetData>
    <row r="1" spans="1:5" x14ac:dyDescent="0.25">
      <c r="A1" t="s">
        <v>1</v>
      </c>
      <c r="B1" t="s">
        <v>2</v>
      </c>
      <c r="C1" t="s">
        <v>35</v>
      </c>
      <c r="D1" t="s">
        <v>36</v>
      </c>
      <c r="E1" t="s">
        <v>37</v>
      </c>
    </row>
    <row r="2" spans="1:5" x14ac:dyDescent="0.25">
      <c r="A2" s="11" t="s">
        <v>7</v>
      </c>
      <c r="B2" s="12" t="s">
        <v>15</v>
      </c>
      <c r="C2" s="17" cm="1">
        <f t="array" aca="1" ref="C2" ca="1">INDIRECT(TEXT(DATE(2025,$B$11-1,1),"mmmm")&amp;"_saldo[@[Saldo końcowe]]")</f>
        <v>-104.5</v>
      </c>
      <c r="D2" s="17">
        <f>SUMIFS(operacje[Kwota],operacje[Bank],kwiecień_saldo[[#This Row],[Bank]],operacje[Produkt],kwiecień_saldo[[#This Row],[Produkt]],operacje[Miesiąc],$B$11)</f>
        <v>13.110000000000007</v>
      </c>
      <c r="E2" s="17">
        <f ca="1">kwiecień_saldo[[#This Row],[Saldo początkowe]]+kwiecień_saldo[[#This Row],[Operacje]]</f>
        <v>-91.389999999999986</v>
      </c>
    </row>
    <row r="3" spans="1:5" x14ac:dyDescent="0.25">
      <c r="A3" s="11" t="s">
        <v>7</v>
      </c>
      <c r="B3" s="12" t="s">
        <v>8</v>
      </c>
      <c r="C3" s="17" cm="1">
        <f t="array" aca="1" ref="C3" ca="1">INDIRECT(TEXT(DATE(2025,$B$11-1,1),"mmmm")&amp;"_saldo[@[Saldo końcowe]]")</f>
        <v>4561.1000000000004</v>
      </c>
      <c r="D3" s="17">
        <f>SUMIFS(operacje[Kwota],operacje[Bank],kwiecień_saldo[[#This Row],[Bank]],operacje[Produkt],kwiecień_saldo[[#This Row],[Produkt]],operacje[Miesiąc],$B$11)</f>
        <v>562.72999999999968</v>
      </c>
      <c r="E3" s="17">
        <f ca="1">kwiecień_saldo[[#This Row],[Saldo początkowe]]+kwiecień_saldo[[#This Row],[Operacje]]</f>
        <v>5123.83</v>
      </c>
    </row>
    <row r="4" spans="1:5" x14ac:dyDescent="0.25">
      <c r="A4" s="13" t="s">
        <v>7</v>
      </c>
      <c r="B4" s="14" t="s">
        <v>18</v>
      </c>
      <c r="C4" s="17" cm="1">
        <f t="array" aca="1" ref="C4" ca="1">INDIRECT(TEXT(DATE(2025,$B$11-1,1),"mmmm")&amp;"_saldo[@[Saldo końcowe]]")</f>
        <v>1200</v>
      </c>
      <c r="D4" s="17">
        <f>SUMIFS(operacje[Kwota],operacje[Bank],kwiecień_saldo[[#This Row],[Bank]],operacje[Produkt],kwiecień_saldo[[#This Row],[Produkt]],operacje[Miesiąc],$B$11)</f>
        <v>0</v>
      </c>
      <c r="E4" s="17">
        <f ca="1">kwiecień_saldo[[#This Row],[Saldo początkowe]]+kwiecień_saldo[[#This Row],[Operacje]]</f>
        <v>1200</v>
      </c>
    </row>
    <row r="5" spans="1:5" x14ac:dyDescent="0.25">
      <c r="A5" s="15" t="s">
        <v>14</v>
      </c>
      <c r="B5" s="16" t="s">
        <v>8</v>
      </c>
      <c r="C5" s="17" cm="1">
        <f t="array" aca="1" ref="C5" ca="1">INDIRECT(TEXT(DATE(2025,$B$11-1,1),"mmmm")&amp;"_saldo[@[Saldo końcowe]]")</f>
        <v>167.5</v>
      </c>
      <c r="D5" s="17">
        <f>SUMIFS(operacje[Kwota],operacje[Bank],kwiecień_saldo[[#This Row],[Bank]],operacje[Produkt],kwiecień_saldo[[#This Row],[Produkt]],operacje[Miesiąc],$B$11)</f>
        <v>101</v>
      </c>
      <c r="E5" s="17">
        <f ca="1">kwiecień_saldo[[#This Row],[Saldo początkowe]]+kwiecień_saldo[[#This Row],[Operacje]]</f>
        <v>268.5</v>
      </c>
    </row>
    <row r="6" spans="1:5" x14ac:dyDescent="0.25">
      <c r="A6" s="11" t="s">
        <v>14</v>
      </c>
      <c r="B6" s="12" t="s">
        <v>20</v>
      </c>
      <c r="C6" s="17" cm="1">
        <f t="array" aca="1" ref="C6" ca="1">INDIRECT(TEXT(DATE(2025,$B$11-1,1),"mmmm")&amp;"_saldo[@[Saldo końcowe]]")</f>
        <v>286</v>
      </c>
      <c r="D6" s="17">
        <f>SUMIFS(operacje[Kwota],operacje[Bank],kwiecień_saldo[[#This Row],[Bank]],operacje[Produkt],kwiecień_saldo[[#This Row],[Produkt]],operacje[Miesiąc],$B$11)</f>
        <v>50</v>
      </c>
      <c r="E6" s="17">
        <f ca="1">kwiecień_saldo[[#This Row],[Saldo początkowe]]+kwiecień_saldo[[#This Row],[Operacje]]</f>
        <v>336</v>
      </c>
    </row>
    <row r="7" spans="1:5" x14ac:dyDescent="0.25">
      <c r="A7" s="15" t="s">
        <v>26</v>
      </c>
      <c r="B7" s="16" t="s">
        <v>27</v>
      </c>
      <c r="C7" s="17" cm="1">
        <f t="array" aca="1" ref="C7" ca="1">INDIRECT(TEXT(DATE(2025,$B$11-1,1),"mmmm")&amp;"_saldo[@[Saldo końcowe]]")</f>
        <v>225.51</v>
      </c>
      <c r="D7" s="17">
        <f>SUMIFS(operacje[Kwota],operacje[Bank],kwiecień_saldo[[#This Row],[Bank]],operacje[Produkt],kwiecień_saldo[[#This Row],[Produkt]],operacje[Miesiąc],$B$11)</f>
        <v>0</v>
      </c>
      <c r="E7" s="17">
        <f ca="1">kwiecień_saldo[[#This Row],[Saldo początkowe]]+kwiecień_saldo[[#This Row],[Operacje]]</f>
        <v>225.51</v>
      </c>
    </row>
    <row r="8" spans="1:5" x14ac:dyDescent="0.25">
      <c r="A8" s="11" t="s">
        <v>26</v>
      </c>
      <c r="B8" s="12" t="s">
        <v>28</v>
      </c>
      <c r="C8" s="17" cm="1">
        <f t="array" aca="1" ref="C8" ca="1">INDIRECT(TEXT(DATE(2025,$B$11-1,1),"mmmm")&amp;"_saldo[@[Saldo końcowe]]")</f>
        <v>670.5</v>
      </c>
      <c r="D8" s="17">
        <f>SUMIFS(operacje[Kwota],operacje[Bank],kwiecień_saldo[[#This Row],[Bank]],operacje[Produkt],kwiecień_saldo[[#This Row],[Produkt]],operacje[Miesiąc],$B$11)</f>
        <v>0</v>
      </c>
      <c r="E8" s="17">
        <f ca="1">kwiecień_saldo[[#This Row],[Saldo początkowe]]+kwiecień_saldo[[#This Row],[Operacje]]</f>
        <v>670.5</v>
      </c>
    </row>
    <row r="9" spans="1:5" x14ac:dyDescent="0.25">
      <c r="A9" t="s">
        <v>38</v>
      </c>
      <c r="C9" s="17">
        <f ca="1">SUBTOTAL(109,kwiecień_saldo[Saldo początkowe])</f>
        <v>7006.1100000000006</v>
      </c>
      <c r="D9" s="17">
        <f>SUBTOTAL(109,kwiecień_saldo[Operacje])</f>
        <v>726.83999999999969</v>
      </c>
      <c r="E9" s="17">
        <f ca="1">SUBTOTAL(109,kwiecień_saldo[Saldo końcowe])</f>
        <v>7732.95</v>
      </c>
    </row>
    <row r="11" spans="1:5" x14ac:dyDescent="0.25">
      <c r="A11" t="s">
        <v>6</v>
      </c>
      <c r="B11">
        <v>4</v>
      </c>
      <c r="C11" t="str">
        <f>TEXT(DATE(2025,B11,1),"mmmm")</f>
        <v>kwiecień</v>
      </c>
    </row>
    <row r="13" spans="1:5" x14ac:dyDescent="0.25">
      <c r="A13" t="s">
        <v>3</v>
      </c>
      <c r="B13" t="s">
        <v>4</v>
      </c>
      <c r="C13" t="s">
        <v>38</v>
      </c>
    </row>
    <row r="14" spans="1:5" outlineLevel="2" x14ac:dyDescent="0.25">
      <c r="A14" s="4" t="s">
        <v>31</v>
      </c>
      <c r="B14" s="4" t="s">
        <v>34</v>
      </c>
      <c r="C14">
        <f>SUMIFS(operacje[Kwota],operacje[Kategoria],$A14,operacje[Miesiąc],$B$11)</f>
        <v>0</v>
      </c>
    </row>
    <row r="15" spans="1:5" outlineLevel="1" x14ac:dyDescent="0.25">
      <c r="A15" s="4"/>
      <c r="B15" s="18" t="s">
        <v>39</v>
      </c>
      <c r="C15">
        <f>SUBTOTAL(9,C14:C14)</f>
        <v>0</v>
      </c>
    </row>
    <row r="16" spans="1:5" outlineLevel="2" x14ac:dyDescent="0.25">
      <c r="A16" s="5" t="s">
        <v>32</v>
      </c>
      <c r="B16" s="5" t="s">
        <v>12</v>
      </c>
      <c r="C16">
        <f>SUMIFS(operacje[Kwota],operacje[Kategoria],$A16,operacje[Miesiąc],$B$11)</f>
        <v>50</v>
      </c>
    </row>
    <row r="17" spans="1:3" outlineLevel="2" x14ac:dyDescent="0.25">
      <c r="A17" s="4" t="s">
        <v>29</v>
      </c>
      <c r="B17" s="4" t="s">
        <v>12</v>
      </c>
      <c r="C17">
        <f>SUMIFS(operacje[Kwota],operacje[Kategoria],$A17,operacje[Miesiąc],$B$11)</f>
        <v>150</v>
      </c>
    </row>
    <row r="18" spans="1:3" outlineLevel="2" x14ac:dyDescent="0.25">
      <c r="A18" s="5" t="s">
        <v>21</v>
      </c>
      <c r="B18" s="5" t="s">
        <v>12</v>
      </c>
      <c r="C18">
        <f>SUMIFS(operacje[Kwota],operacje[Kategoria],$A18,operacje[Miesiąc],$B$11)</f>
        <v>0</v>
      </c>
    </row>
    <row r="19" spans="1:3" outlineLevel="2" x14ac:dyDescent="0.25">
      <c r="A19" s="4" t="s">
        <v>17</v>
      </c>
      <c r="B19" s="4" t="s">
        <v>12</v>
      </c>
      <c r="C19">
        <f>SUMIFS(operacje[Kwota],operacje[Kategoria],$A19,operacje[Miesiąc],$B$11)</f>
        <v>0</v>
      </c>
    </row>
    <row r="20" spans="1:3" outlineLevel="2" x14ac:dyDescent="0.25">
      <c r="A20" s="5" t="s">
        <v>33</v>
      </c>
      <c r="B20" s="5" t="s">
        <v>12</v>
      </c>
      <c r="C20">
        <f>SUMIFS(operacje[Kwota],operacje[Kategoria],$A20,operacje[Miesiąc],$B$11)</f>
        <v>0</v>
      </c>
    </row>
    <row r="21" spans="1:3" outlineLevel="2" x14ac:dyDescent="0.25">
      <c r="A21" s="4" t="s">
        <v>11</v>
      </c>
      <c r="B21" s="4" t="s">
        <v>12</v>
      </c>
      <c r="C21">
        <f>SUMIFS(operacje[Kwota],operacje[Kategoria],$A21,operacje[Miesiąc],$B$11)</f>
        <v>4500</v>
      </c>
    </row>
    <row r="22" spans="1:3" outlineLevel="1" x14ac:dyDescent="0.25">
      <c r="A22" s="4"/>
      <c r="B22" s="18" t="s">
        <v>40</v>
      </c>
      <c r="C22">
        <f>SUBTOTAL(9,C16:C21)</f>
        <v>4700</v>
      </c>
    </row>
    <row r="23" spans="1:3" outlineLevel="2" x14ac:dyDescent="0.25">
      <c r="A23" s="5" t="s">
        <v>9</v>
      </c>
      <c r="B23" s="5" t="s">
        <v>10</v>
      </c>
      <c r="C23">
        <f>SUMIFS(operacje[Kwota],operacje[Kategoria],$A23,operacje[Miesiąc],$B$11)</f>
        <v>-372.26</v>
      </c>
    </row>
    <row r="24" spans="1:3" outlineLevel="2" x14ac:dyDescent="0.25">
      <c r="A24" s="4" t="s">
        <v>13</v>
      </c>
      <c r="B24" s="4" t="s">
        <v>10</v>
      </c>
      <c r="C24">
        <f>SUMIFS(operacje[Kwota],operacje[Kategoria],$A24,operacje[Miesiąc],$B$11)</f>
        <v>-2000</v>
      </c>
    </row>
    <row r="25" spans="1:3" outlineLevel="2" x14ac:dyDescent="0.25">
      <c r="A25" s="5" t="s">
        <v>24</v>
      </c>
      <c r="B25" s="5" t="s">
        <v>10</v>
      </c>
      <c r="C25">
        <f>SUMIFS(operacje[Kwota],operacje[Kategoria],$A25,operacje[Miesiąc],$B$11)</f>
        <v>-149</v>
      </c>
    </row>
    <row r="26" spans="1:3" outlineLevel="2" x14ac:dyDescent="0.25">
      <c r="A26" s="4" t="s">
        <v>19</v>
      </c>
      <c r="B26" s="4" t="s">
        <v>10</v>
      </c>
      <c r="C26">
        <f>SUMIFS(operacje[Kwota],operacje[Kategoria],$A26,operacje[Miesiąc],$B$11)</f>
        <v>-100</v>
      </c>
    </row>
    <row r="27" spans="1:3" outlineLevel="2" x14ac:dyDescent="0.25">
      <c r="A27" s="5" t="s">
        <v>22</v>
      </c>
      <c r="B27" s="5" t="s">
        <v>10</v>
      </c>
      <c r="C27">
        <f>SUMIFS(operacje[Kwota],operacje[Kategoria],$A27,operacje[Miesiąc],$B$11)</f>
        <v>-1057.9000000000001</v>
      </c>
    </row>
    <row r="28" spans="1:3" outlineLevel="2" x14ac:dyDescent="0.25">
      <c r="A28" s="4" t="s">
        <v>25</v>
      </c>
      <c r="B28" s="4" t="s">
        <v>10</v>
      </c>
      <c r="C28">
        <f>SUMIFS(operacje[Kwota],operacje[Kategoria],$A28,operacje[Miesiąc],$B$11)</f>
        <v>-139</v>
      </c>
    </row>
    <row r="29" spans="1:3" outlineLevel="2" x14ac:dyDescent="0.25">
      <c r="A29" s="5" t="s">
        <v>16</v>
      </c>
      <c r="B29" s="5" t="s">
        <v>10</v>
      </c>
      <c r="C29">
        <f>SUMIFS(operacje[Kwota],operacje[Kategoria],$A29,operacje[Miesiąc],$B$11)</f>
        <v>-49</v>
      </c>
    </row>
    <row r="30" spans="1:3" outlineLevel="2" x14ac:dyDescent="0.25">
      <c r="A30" s="4" t="s">
        <v>23</v>
      </c>
      <c r="B30" s="4" t="s">
        <v>10</v>
      </c>
      <c r="C30">
        <f>SUMIFS(operacje[Kwota],operacje[Kategoria],$A30,operacje[Miesiąc],$B$11)</f>
        <v>-82.5</v>
      </c>
    </row>
    <row r="31" spans="1:3" ht="15.75" outlineLevel="2" thickBot="1" x14ac:dyDescent="0.3">
      <c r="A31" s="6" t="s">
        <v>30</v>
      </c>
      <c r="B31" s="6" t="s">
        <v>10</v>
      </c>
      <c r="C31">
        <f>SUMIFS(operacje[Kwota],operacje[Kategoria],$A31,operacje[Miesiąc],$B$11)</f>
        <v>-23.5</v>
      </c>
    </row>
    <row r="32" spans="1:3" outlineLevel="1" x14ac:dyDescent="0.25">
      <c r="A32" s="19"/>
      <c r="B32" s="20" t="s">
        <v>41</v>
      </c>
      <c r="C32">
        <f>SUBTOTAL(9,C23:C31)</f>
        <v>-3973.1600000000003</v>
      </c>
    </row>
    <row r="33" spans="1:3" x14ac:dyDescent="0.25">
      <c r="A33" s="19"/>
      <c r="B33" s="20" t="s">
        <v>42</v>
      </c>
      <c r="C33">
        <f>SUBTOTAL(9,C14:C31)</f>
        <v>726.83999999999969</v>
      </c>
    </row>
  </sheetData>
  <dataValidations count="2">
    <dataValidation type="list" allowBlank="1" showInputMessage="1" showErrorMessage="1" sqref="B2:B8" xr:uid="{7B411964-66A7-413E-BC34-930D51A3114B}">
      <formula1>CHOOSE(MATCH(A2,$E$1:$G$1,0),$E$2:$E$4,$F$2:$F$3,$A$14:$A$16)</formula1>
    </dataValidation>
    <dataValidation type="list" allowBlank="1" showInputMessage="1" showErrorMessage="1" sqref="A2:A8" xr:uid="{53DF84E4-1EBB-4DCF-A774-090C37B9FDD2}">
      <formula1>$E$1:$G$1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F27F-AB90-43A1-AE93-E9EC2EDF6B9C}">
  <dimension ref="A1:E33"/>
  <sheetViews>
    <sheetView workbookViewId="0">
      <selection activeCell="B12" sqref="B12"/>
    </sheetView>
  </sheetViews>
  <sheetFormatPr defaultRowHeight="15" outlineLevelRow="2" x14ac:dyDescent="0.25"/>
  <cols>
    <col min="1" max="1" width="17.7109375" customWidth="1"/>
    <col min="2" max="2" width="21.7109375" customWidth="1"/>
    <col min="3" max="3" width="19" customWidth="1"/>
    <col min="4" max="4" width="11.140625" customWidth="1"/>
    <col min="5" max="5" width="16.42578125" customWidth="1"/>
    <col min="7" max="7" width="17.28515625" bestFit="1" customWidth="1"/>
  </cols>
  <sheetData>
    <row r="1" spans="1:5" x14ac:dyDescent="0.25">
      <c r="A1" t="s">
        <v>1</v>
      </c>
      <c r="B1" t="s">
        <v>2</v>
      </c>
      <c r="C1" t="s">
        <v>35</v>
      </c>
      <c r="D1" t="s">
        <v>36</v>
      </c>
      <c r="E1" t="s">
        <v>37</v>
      </c>
    </row>
    <row r="2" spans="1:5" x14ac:dyDescent="0.25">
      <c r="A2" s="11" t="s">
        <v>7</v>
      </c>
      <c r="B2" s="12" t="s">
        <v>15</v>
      </c>
      <c r="C2" s="17" cm="1">
        <f t="array" aca="1" ref="C2" ca="1">INDIRECT(TEXT(DATE(2025,$B$11-1,1),"mmmm")&amp;"_saldo[@[Saldo końcowe]]")</f>
        <v>-91.389999999999986</v>
      </c>
      <c r="D2" s="17">
        <f>SUMIFS(operacje[Kwota],operacje[Bank],maj_saldo[[#This Row],[Bank]],operacje[Produkt],maj_saldo[[#This Row],[Produkt]],operacje[Miesiąc],$B$11)</f>
        <v>-908.61</v>
      </c>
      <c r="E2" s="17">
        <f ca="1">maj_saldo[[#This Row],[Saldo początkowe]]+maj_saldo[[#This Row],[Operacje]]</f>
        <v>-1000</v>
      </c>
    </row>
    <row r="3" spans="1:5" x14ac:dyDescent="0.25">
      <c r="A3" s="11" t="s">
        <v>7</v>
      </c>
      <c r="B3" s="12" t="s">
        <v>8</v>
      </c>
      <c r="C3" s="17" cm="1">
        <f t="array" aca="1" ref="C3" ca="1">INDIRECT(TEXT(DATE(2025,$B$11-1,1),"mmmm")&amp;"_saldo[@[Saldo końcowe]]")</f>
        <v>5123.83</v>
      </c>
      <c r="D3" s="17">
        <f>SUMIFS(operacje[Kwota],operacje[Bank],maj_saldo[[#This Row],[Bank]],operacje[Produkt],maj_saldo[[#This Row],[Produkt]],operacje[Miesiąc],$B$11)</f>
        <v>2328.61</v>
      </c>
      <c r="E3" s="17">
        <f ca="1">maj_saldo[[#This Row],[Saldo początkowe]]+maj_saldo[[#This Row],[Operacje]]</f>
        <v>7452.4400000000005</v>
      </c>
    </row>
    <row r="4" spans="1:5" x14ac:dyDescent="0.25">
      <c r="A4" s="13" t="s">
        <v>7</v>
      </c>
      <c r="B4" s="14" t="s">
        <v>18</v>
      </c>
      <c r="C4" s="17" cm="1">
        <f t="array" aca="1" ref="C4" ca="1">INDIRECT(TEXT(DATE(2025,$B$11-1,1),"mmmm")&amp;"_saldo[@[Saldo końcowe]]")</f>
        <v>1200</v>
      </c>
      <c r="D4" s="17">
        <f>SUMIFS(operacje[Kwota],operacje[Bank],maj_saldo[[#This Row],[Bank]],operacje[Produkt],maj_saldo[[#This Row],[Produkt]],operacje[Miesiąc],$B$11)</f>
        <v>0</v>
      </c>
      <c r="E4" s="17">
        <f ca="1">maj_saldo[[#This Row],[Saldo początkowe]]+maj_saldo[[#This Row],[Operacje]]</f>
        <v>1200</v>
      </c>
    </row>
    <row r="5" spans="1:5" x14ac:dyDescent="0.25">
      <c r="A5" s="15" t="s">
        <v>14</v>
      </c>
      <c r="B5" s="16" t="s">
        <v>8</v>
      </c>
      <c r="C5" s="17" cm="1">
        <f t="array" aca="1" ref="C5" ca="1">INDIRECT(TEXT(DATE(2025,$B$11-1,1),"mmmm")&amp;"_saldo[@[Saldo końcowe]]")</f>
        <v>268.5</v>
      </c>
      <c r="D5" s="17">
        <f>SUMIFS(operacje[Kwota],operacje[Bank],maj_saldo[[#This Row],[Bank]],operacje[Produkt],maj_saldo[[#This Row],[Produkt]],operacje[Miesiąc],$B$11)</f>
        <v>-50</v>
      </c>
      <c r="E5" s="17">
        <f ca="1">maj_saldo[[#This Row],[Saldo początkowe]]+maj_saldo[[#This Row],[Operacje]]</f>
        <v>218.5</v>
      </c>
    </row>
    <row r="6" spans="1:5" x14ac:dyDescent="0.25">
      <c r="A6" s="11" t="s">
        <v>14</v>
      </c>
      <c r="B6" s="12" t="s">
        <v>20</v>
      </c>
      <c r="C6" s="17" cm="1">
        <f t="array" aca="1" ref="C6" ca="1">INDIRECT(TEXT(DATE(2025,$B$11-1,1),"mmmm")&amp;"_saldo[@[Saldo końcowe]]")</f>
        <v>336</v>
      </c>
      <c r="D6" s="17">
        <f>SUMIFS(operacje[Kwota],operacje[Bank],maj_saldo[[#This Row],[Bank]],operacje[Produkt],maj_saldo[[#This Row],[Produkt]],operacje[Miesiąc],$B$11)</f>
        <v>0</v>
      </c>
      <c r="E6" s="17">
        <f ca="1">maj_saldo[[#This Row],[Saldo początkowe]]+maj_saldo[[#This Row],[Operacje]]</f>
        <v>336</v>
      </c>
    </row>
    <row r="7" spans="1:5" x14ac:dyDescent="0.25">
      <c r="A7" s="15" t="s">
        <v>26</v>
      </c>
      <c r="B7" s="16" t="s">
        <v>27</v>
      </c>
      <c r="C7" s="17" cm="1">
        <f t="array" aca="1" ref="C7" ca="1">INDIRECT(TEXT(DATE(2025,$B$11-1,1),"mmmm")&amp;"_saldo[@[Saldo końcowe]]")</f>
        <v>225.51</v>
      </c>
      <c r="D7" s="17">
        <f>SUMIFS(operacje[Kwota],operacje[Bank],maj_saldo[[#This Row],[Bank]],operacje[Produkt],maj_saldo[[#This Row],[Produkt]],operacje[Miesiąc],$B$11)</f>
        <v>0</v>
      </c>
      <c r="E7" s="17">
        <f ca="1">maj_saldo[[#This Row],[Saldo początkowe]]+maj_saldo[[#This Row],[Operacje]]</f>
        <v>225.51</v>
      </c>
    </row>
    <row r="8" spans="1:5" x14ac:dyDescent="0.25">
      <c r="A8" s="11" t="s">
        <v>26</v>
      </c>
      <c r="B8" s="12" t="s">
        <v>28</v>
      </c>
      <c r="C8" s="17" cm="1">
        <f t="array" aca="1" ref="C8" ca="1">INDIRECT(TEXT(DATE(2025,$B$11-1,1),"mmmm")&amp;"_saldo[@[Saldo końcowe]]")</f>
        <v>670.5</v>
      </c>
      <c r="D8" s="17">
        <f>SUMIFS(operacje[Kwota],operacje[Bank],maj_saldo[[#This Row],[Bank]],operacje[Produkt],maj_saldo[[#This Row],[Produkt]],operacje[Miesiąc],$B$11)</f>
        <v>-80</v>
      </c>
      <c r="E8" s="17">
        <f ca="1">maj_saldo[[#This Row],[Saldo początkowe]]+maj_saldo[[#This Row],[Operacje]]</f>
        <v>590.5</v>
      </c>
    </row>
    <row r="9" spans="1:5" x14ac:dyDescent="0.25">
      <c r="A9" t="s">
        <v>38</v>
      </c>
      <c r="C9" s="17">
        <f ca="1">SUBTOTAL(109,maj_saldo[Saldo początkowe])</f>
        <v>7732.95</v>
      </c>
      <c r="D9" s="17">
        <f>SUBTOTAL(109,maj_saldo[Operacje])</f>
        <v>1290</v>
      </c>
      <c r="E9" s="17">
        <f ca="1">SUBTOTAL(109,maj_saldo[Saldo końcowe])</f>
        <v>9022.9500000000007</v>
      </c>
    </row>
    <row r="11" spans="1:5" x14ac:dyDescent="0.25">
      <c r="A11" t="s">
        <v>6</v>
      </c>
      <c r="B11">
        <v>5</v>
      </c>
      <c r="C11" t="str">
        <f>TEXT(DATE(2025,B11,1),"mmmm")</f>
        <v>maj</v>
      </c>
    </row>
    <row r="13" spans="1:5" x14ac:dyDescent="0.25">
      <c r="A13" t="s">
        <v>3</v>
      </c>
      <c r="B13" t="s">
        <v>4</v>
      </c>
      <c r="C13" t="s">
        <v>38</v>
      </c>
    </row>
    <row r="14" spans="1:5" outlineLevel="2" x14ac:dyDescent="0.25">
      <c r="A14" s="4" t="s">
        <v>31</v>
      </c>
      <c r="B14" s="4" t="s">
        <v>34</v>
      </c>
      <c r="C14">
        <f>SUMIFS(operacje[Kwota],operacje[Kategoria],$A14,operacje[Miesiąc],$B$11)</f>
        <v>0</v>
      </c>
    </row>
    <row r="15" spans="1:5" outlineLevel="1" x14ac:dyDescent="0.25">
      <c r="A15" s="4"/>
      <c r="B15" s="18" t="s">
        <v>39</v>
      </c>
      <c r="C15">
        <f>SUBTOTAL(9,C14:C14)</f>
        <v>0</v>
      </c>
    </row>
    <row r="16" spans="1:5" outlineLevel="2" x14ac:dyDescent="0.25">
      <c r="A16" s="5" t="s">
        <v>32</v>
      </c>
      <c r="B16" s="5" t="s">
        <v>12</v>
      </c>
      <c r="C16">
        <f>SUMIFS(operacje[Kwota],operacje[Kategoria],$A16,operacje[Miesiąc],$B$11)</f>
        <v>0</v>
      </c>
    </row>
    <row r="17" spans="1:3" outlineLevel="2" x14ac:dyDescent="0.25">
      <c r="A17" s="4" t="s">
        <v>29</v>
      </c>
      <c r="B17" s="4" t="s">
        <v>12</v>
      </c>
      <c r="C17">
        <f>SUMIFS(operacje[Kwota],operacje[Kategoria],$A17,operacje[Miesiąc],$B$11)</f>
        <v>0</v>
      </c>
    </row>
    <row r="18" spans="1:3" outlineLevel="2" x14ac:dyDescent="0.25">
      <c r="A18" s="5" t="s">
        <v>21</v>
      </c>
      <c r="B18" s="5" t="s">
        <v>12</v>
      </c>
      <c r="C18">
        <f>SUMIFS(operacje[Kwota],operacje[Kategoria],$A18,operacje[Miesiąc],$B$11)</f>
        <v>0</v>
      </c>
    </row>
    <row r="19" spans="1:3" outlineLevel="2" x14ac:dyDescent="0.25">
      <c r="A19" s="4" t="s">
        <v>17</v>
      </c>
      <c r="B19" s="4" t="s">
        <v>12</v>
      </c>
      <c r="C19">
        <f>SUMIFS(operacje[Kwota],operacje[Kategoria],$A19,operacje[Miesiąc],$B$11)</f>
        <v>0</v>
      </c>
    </row>
    <row r="20" spans="1:3" outlineLevel="2" x14ac:dyDescent="0.25">
      <c r="A20" s="5" t="s">
        <v>33</v>
      </c>
      <c r="B20" s="5" t="s">
        <v>12</v>
      </c>
      <c r="C20">
        <f>SUMIFS(operacje[Kwota],operacje[Kategoria],$A20,operacje[Miesiąc],$B$11)</f>
        <v>0</v>
      </c>
    </row>
    <row r="21" spans="1:3" outlineLevel="2" x14ac:dyDescent="0.25">
      <c r="A21" s="4" t="s">
        <v>11</v>
      </c>
      <c r="B21" s="4" t="s">
        <v>12</v>
      </c>
      <c r="C21">
        <f>SUMIFS(operacje[Kwota],operacje[Kategoria],$A21,operacje[Miesiąc],$B$11)</f>
        <v>4500</v>
      </c>
    </row>
    <row r="22" spans="1:3" outlineLevel="1" x14ac:dyDescent="0.25">
      <c r="A22" s="4"/>
      <c r="B22" s="18" t="s">
        <v>40</v>
      </c>
      <c r="C22">
        <f>SUBTOTAL(9,C16:C21)</f>
        <v>4500</v>
      </c>
    </row>
    <row r="23" spans="1:3" outlineLevel="2" x14ac:dyDescent="0.25">
      <c r="A23" s="5" t="s">
        <v>9</v>
      </c>
      <c r="B23" s="5" t="s">
        <v>10</v>
      </c>
      <c r="C23">
        <f>SUMIFS(operacje[Kwota],operacje[Kategoria],$A23,operacje[Miesiąc],$B$11)</f>
        <v>-1000</v>
      </c>
    </row>
    <row r="24" spans="1:3" outlineLevel="2" x14ac:dyDescent="0.25">
      <c r="A24" s="4" t="s">
        <v>13</v>
      </c>
      <c r="B24" s="4" t="s">
        <v>10</v>
      </c>
      <c r="C24">
        <f>SUMIFS(operacje[Kwota],operacje[Kategoria],$A24,operacje[Miesiąc],$B$11)</f>
        <v>-2000</v>
      </c>
    </row>
    <row r="25" spans="1:3" outlineLevel="2" x14ac:dyDescent="0.25">
      <c r="A25" s="5" t="s">
        <v>24</v>
      </c>
      <c r="B25" s="5" t="s">
        <v>10</v>
      </c>
      <c r="C25">
        <f>SUMIFS(operacje[Kwota],operacje[Kategoria],$A25,operacje[Miesiąc],$B$11)</f>
        <v>0</v>
      </c>
    </row>
    <row r="26" spans="1:3" outlineLevel="2" x14ac:dyDescent="0.25">
      <c r="A26" s="4" t="s">
        <v>19</v>
      </c>
      <c r="B26" s="4" t="s">
        <v>10</v>
      </c>
      <c r="C26">
        <f>SUMIFS(operacje[Kwota],operacje[Kategoria],$A26,operacje[Miesiąc],$B$11)</f>
        <v>0</v>
      </c>
    </row>
    <row r="27" spans="1:3" outlineLevel="2" x14ac:dyDescent="0.25">
      <c r="A27" s="5" t="s">
        <v>22</v>
      </c>
      <c r="B27" s="5" t="s">
        <v>10</v>
      </c>
      <c r="C27">
        <f>SUMIFS(operacje[Kwota],operacje[Kategoria],$A27,operacje[Miesiąc],$B$11)</f>
        <v>-80</v>
      </c>
    </row>
    <row r="28" spans="1:3" outlineLevel="2" x14ac:dyDescent="0.25">
      <c r="A28" s="4" t="s">
        <v>25</v>
      </c>
      <c r="B28" s="4" t="s">
        <v>10</v>
      </c>
      <c r="C28">
        <f>SUMIFS(operacje[Kwota],operacje[Kategoria],$A28,operacje[Miesiąc],$B$11)</f>
        <v>0</v>
      </c>
    </row>
    <row r="29" spans="1:3" outlineLevel="2" x14ac:dyDescent="0.25">
      <c r="A29" s="5" t="s">
        <v>16</v>
      </c>
      <c r="B29" s="5" t="s">
        <v>10</v>
      </c>
      <c r="C29">
        <f>SUMIFS(operacje[Kwota],operacje[Kategoria],$A29,operacje[Miesiąc],$B$11)</f>
        <v>-50</v>
      </c>
    </row>
    <row r="30" spans="1:3" outlineLevel="2" x14ac:dyDescent="0.25">
      <c r="A30" s="4" t="s">
        <v>23</v>
      </c>
      <c r="B30" s="4" t="s">
        <v>10</v>
      </c>
      <c r="C30">
        <f>SUMIFS(operacje[Kwota],operacje[Kategoria],$A30,operacje[Miesiąc],$B$11)</f>
        <v>-80</v>
      </c>
    </row>
    <row r="31" spans="1:3" ht="15.75" outlineLevel="2" thickBot="1" x14ac:dyDescent="0.3">
      <c r="A31" s="6" t="s">
        <v>30</v>
      </c>
      <c r="B31" s="6" t="s">
        <v>10</v>
      </c>
      <c r="C31">
        <f>SUMIFS(operacje[Kwota],operacje[Kategoria],$A31,operacje[Miesiąc],$B$11)</f>
        <v>0</v>
      </c>
    </row>
    <row r="32" spans="1:3" outlineLevel="1" x14ac:dyDescent="0.25">
      <c r="A32" s="19"/>
      <c r="B32" s="20" t="s">
        <v>41</v>
      </c>
      <c r="C32">
        <f>SUBTOTAL(9,C23:C31)</f>
        <v>-3210</v>
      </c>
    </row>
    <row r="33" spans="1:3" x14ac:dyDescent="0.25">
      <c r="A33" s="19"/>
      <c r="B33" s="20" t="s">
        <v>42</v>
      </c>
      <c r="C33">
        <f>SUBTOTAL(9,C14:C31)</f>
        <v>1290</v>
      </c>
    </row>
  </sheetData>
  <dataValidations count="2">
    <dataValidation type="list" allowBlank="1" showInputMessage="1" showErrorMessage="1" sqref="A2:A8" xr:uid="{A4FBEBF3-ADC4-4ED8-A44F-947B29BFB405}">
      <formula1>$E$1:$G$1</formula1>
    </dataValidation>
    <dataValidation type="list" allowBlank="1" showInputMessage="1" showErrorMessage="1" sqref="B2:B8" xr:uid="{558411BB-8821-40C9-8DCC-36D2CBB23484}">
      <formula1>CHOOSE(MATCH(A2,$E$1:$G$1,0),$E$2:$E$4,$F$2:$F$3,$A$14:$A$16)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DDE79-7221-4475-9DA4-AC26B167790F}">
  <dimension ref="A1:E33"/>
  <sheetViews>
    <sheetView workbookViewId="0">
      <selection activeCell="B12" sqref="B12"/>
    </sheetView>
  </sheetViews>
  <sheetFormatPr defaultRowHeight="15" outlineLevelRow="2" x14ac:dyDescent="0.25"/>
  <cols>
    <col min="1" max="1" width="17.7109375" customWidth="1"/>
    <col min="2" max="2" width="21.7109375" customWidth="1"/>
    <col min="3" max="3" width="19" customWidth="1"/>
    <col min="4" max="4" width="11.140625" customWidth="1"/>
    <col min="5" max="5" width="16.42578125" customWidth="1"/>
    <col min="7" max="7" width="17.28515625" bestFit="1" customWidth="1"/>
  </cols>
  <sheetData>
    <row r="1" spans="1:5" x14ac:dyDescent="0.25">
      <c r="A1" t="s">
        <v>1</v>
      </c>
      <c r="B1" t="s">
        <v>2</v>
      </c>
      <c r="C1" t="s">
        <v>35</v>
      </c>
      <c r="D1" t="s">
        <v>36</v>
      </c>
      <c r="E1" t="s">
        <v>37</v>
      </c>
    </row>
    <row r="2" spans="1:5" x14ac:dyDescent="0.25">
      <c r="A2" s="11" t="s">
        <v>7</v>
      </c>
      <c r="B2" s="12" t="s">
        <v>15</v>
      </c>
      <c r="C2" s="17" cm="1">
        <f t="array" aca="1" ref="C2" ca="1">INDIRECT(TEXT(DATE(2025,$B$11-1,1),"mmmm")&amp;"_saldo[@[Saldo końcowe]]")</f>
        <v>-1000</v>
      </c>
      <c r="D2" s="17">
        <f>SUMIFS(operacje[Kwota],operacje[Bank],czerwiec_saldo[[#This Row],[Bank]],operacje[Produkt],czerwiec_saldo[[#This Row],[Produkt]],operacje[Miesiąc],$B$11)</f>
        <v>-300</v>
      </c>
      <c r="E2" s="17">
        <f ca="1">czerwiec_saldo[[#This Row],[Saldo początkowe]]+czerwiec_saldo[[#This Row],[Operacje]]</f>
        <v>-1300</v>
      </c>
    </row>
    <row r="3" spans="1:5" x14ac:dyDescent="0.25">
      <c r="A3" s="11" t="s">
        <v>7</v>
      </c>
      <c r="B3" s="12" t="s">
        <v>8</v>
      </c>
      <c r="C3" s="17" cm="1">
        <f t="array" aca="1" ref="C3" ca="1">INDIRECT(TEXT(DATE(2025,$B$11-1,1),"mmmm")&amp;"_saldo[@[Saldo końcowe]]")</f>
        <v>7452.4400000000005</v>
      </c>
      <c r="D3" s="17">
        <f>SUMIFS(operacje[Kwota],operacje[Bank],czerwiec_saldo[[#This Row],[Bank]],operacje[Produkt],czerwiec_saldo[[#This Row],[Produkt]],operacje[Miesiąc],$B$11)</f>
        <v>1420</v>
      </c>
      <c r="E3" s="17">
        <f ca="1">czerwiec_saldo[[#This Row],[Saldo początkowe]]+czerwiec_saldo[[#This Row],[Operacje]]</f>
        <v>8872.44</v>
      </c>
    </row>
    <row r="4" spans="1:5" x14ac:dyDescent="0.25">
      <c r="A4" s="13" t="s">
        <v>7</v>
      </c>
      <c r="B4" s="14" t="s">
        <v>18</v>
      </c>
      <c r="C4" s="17" cm="1">
        <f t="array" aca="1" ref="C4" ca="1">INDIRECT(TEXT(DATE(2025,$B$11-1,1),"mmmm")&amp;"_saldo[@[Saldo końcowe]]")</f>
        <v>1200</v>
      </c>
      <c r="D4" s="17">
        <f>SUMIFS(operacje[Kwota],operacje[Bank],czerwiec_saldo[[#This Row],[Bank]],operacje[Produkt],czerwiec_saldo[[#This Row],[Produkt]],operacje[Miesiąc],$B$11)</f>
        <v>0</v>
      </c>
      <c r="E4" s="17">
        <f ca="1">czerwiec_saldo[[#This Row],[Saldo początkowe]]+czerwiec_saldo[[#This Row],[Operacje]]</f>
        <v>1200</v>
      </c>
    </row>
    <row r="5" spans="1:5" x14ac:dyDescent="0.25">
      <c r="A5" s="15" t="s">
        <v>14</v>
      </c>
      <c r="B5" s="16" t="s">
        <v>8</v>
      </c>
      <c r="C5" s="17" cm="1">
        <f t="array" aca="1" ref="C5" ca="1">INDIRECT(TEXT(DATE(2025,$B$11-1,1),"mmmm")&amp;"_saldo[@[Saldo końcowe]]")</f>
        <v>218.5</v>
      </c>
      <c r="D5" s="17">
        <f>SUMIFS(operacje[Kwota],operacje[Bank],czerwiec_saldo[[#This Row],[Bank]],operacje[Produkt],czerwiec_saldo[[#This Row],[Produkt]],operacje[Miesiąc],$B$11)</f>
        <v>250</v>
      </c>
      <c r="E5" s="17">
        <f ca="1">czerwiec_saldo[[#This Row],[Saldo początkowe]]+czerwiec_saldo[[#This Row],[Operacje]]</f>
        <v>468.5</v>
      </c>
    </row>
    <row r="6" spans="1:5" x14ac:dyDescent="0.25">
      <c r="A6" s="11" t="s">
        <v>14</v>
      </c>
      <c r="B6" s="12" t="s">
        <v>20</v>
      </c>
      <c r="C6" s="17" cm="1">
        <f t="array" aca="1" ref="C6" ca="1">INDIRECT(TEXT(DATE(2025,$B$11-1,1),"mmmm")&amp;"_saldo[@[Saldo końcowe]]")</f>
        <v>336</v>
      </c>
      <c r="D6" s="17">
        <f>SUMIFS(operacje[Kwota],operacje[Bank],czerwiec_saldo[[#This Row],[Bank]],operacje[Produkt],czerwiec_saldo[[#This Row],[Produkt]],operacje[Miesiąc],$B$11)</f>
        <v>0</v>
      </c>
      <c r="E6" s="17">
        <f ca="1">czerwiec_saldo[[#This Row],[Saldo początkowe]]+czerwiec_saldo[[#This Row],[Operacje]]</f>
        <v>336</v>
      </c>
    </row>
    <row r="7" spans="1:5" x14ac:dyDescent="0.25">
      <c r="A7" s="15" t="s">
        <v>26</v>
      </c>
      <c r="B7" s="16" t="s">
        <v>27</v>
      </c>
      <c r="C7" s="17" cm="1">
        <f t="array" aca="1" ref="C7" ca="1">INDIRECT(TEXT(DATE(2025,$B$11-1,1),"mmmm")&amp;"_saldo[@[Saldo końcowe]]")</f>
        <v>225.51</v>
      </c>
      <c r="D7" s="17">
        <f>SUMIFS(operacje[Kwota],operacje[Bank],czerwiec_saldo[[#This Row],[Bank]],operacje[Produkt],czerwiec_saldo[[#This Row],[Produkt]],operacje[Miesiąc],$B$11)</f>
        <v>0</v>
      </c>
      <c r="E7" s="17">
        <f ca="1">czerwiec_saldo[[#This Row],[Saldo początkowe]]+czerwiec_saldo[[#This Row],[Operacje]]</f>
        <v>225.51</v>
      </c>
    </row>
    <row r="8" spans="1:5" x14ac:dyDescent="0.25">
      <c r="A8" s="11" t="s">
        <v>26</v>
      </c>
      <c r="B8" s="12" t="s">
        <v>28</v>
      </c>
      <c r="C8" s="17" cm="1">
        <f t="array" aca="1" ref="C8" ca="1">INDIRECT(TEXT(DATE(2025,$B$11-1,1),"mmmm")&amp;"_saldo[@[Saldo końcowe]]")</f>
        <v>590.5</v>
      </c>
      <c r="D8" s="17">
        <f>SUMIFS(operacje[Kwota],operacje[Bank],czerwiec_saldo[[#This Row],[Bank]],operacje[Produkt],czerwiec_saldo[[#This Row],[Produkt]],operacje[Miesiąc],$B$11)</f>
        <v>-200</v>
      </c>
      <c r="E8" s="17">
        <f ca="1">czerwiec_saldo[[#This Row],[Saldo początkowe]]+czerwiec_saldo[[#This Row],[Operacje]]</f>
        <v>390.5</v>
      </c>
    </row>
    <row r="9" spans="1:5" x14ac:dyDescent="0.25">
      <c r="A9" t="s">
        <v>38</v>
      </c>
      <c r="C9" s="17">
        <f ca="1">SUBTOTAL(109,czerwiec_saldo[Saldo początkowe])</f>
        <v>9022.9500000000007</v>
      </c>
      <c r="D9" s="17">
        <f>SUBTOTAL(109,czerwiec_saldo[Operacje])</f>
        <v>1170</v>
      </c>
      <c r="E9" s="17">
        <f ca="1">SUBTOTAL(109,czerwiec_saldo[Saldo końcowe])</f>
        <v>10192.950000000001</v>
      </c>
    </row>
    <row r="11" spans="1:5" x14ac:dyDescent="0.25">
      <c r="A11" t="s">
        <v>6</v>
      </c>
      <c r="B11">
        <v>6</v>
      </c>
      <c r="C11" t="str">
        <f>TEXT(DATE(2025,B11,1),"mmmm")</f>
        <v>czerwiec</v>
      </c>
    </row>
    <row r="13" spans="1:5" x14ac:dyDescent="0.25">
      <c r="A13" t="s">
        <v>3</v>
      </c>
      <c r="B13" t="s">
        <v>4</v>
      </c>
      <c r="C13" t="s">
        <v>38</v>
      </c>
    </row>
    <row r="14" spans="1:5" outlineLevel="2" x14ac:dyDescent="0.25">
      <c r="A14" s="4" t="s">
        <v>31</v>
      </c>
      <c r="B14" s="4" t="s">
        <v>34</v>
      </c>
      <c r="C14">
        <f>SUMIFS(operacje[Kwota],operacje[Kategoria],$A14,operacje[Miesiąc],$B$11)</f>
        <v>0</v>
      </c>
    </row>
    <row r="15" spans="1:5" outlineLevel="1" x14ac:dyDescent="0.25">
      <c r="A15" s="4"/>
      <c r="B15" s="18" t="s">
        <v>39</v>
      </c>
      <c r="C15">
        <f>SUBTOTAL(9,C14:C14)</f>
        <v>0</v>
      </c>
    </row>
    <row r="16" spans="1:5" outlineLevel="2" x14ac:dyDescent="0.25">
      <c r="A16" s="5" t="s">
        <v>32</v>
      </c>
      <c r="B16" s="5" t="s">
        <v>12</v>
      </c>
      <c r="C16">
        <f>SUMIFS(operacje[Kwota],operacje[Kategoria],$A16,operacje[Miesiąc],$B$11)</f>
        <v>0</v>
      </c>
    </row>
    <row r="17" spans="1:3" outlineLevel="2" x14ac:dyDescent="0.25">
      <c r="A17" s="4" t="s">
        <v>29</v>
      </c>
      <c r="B17" s="4" t="s">
        <v>12</v>
      </c>
      <c r="C17">
        <f>SUMIFS(operacje[Kwota],operacje[Kategoria],$A17,operacje[Miesiąc],$B$11)</f>
        <v>0</v>
      </c>
    </row>
    <row r="18" spans="1:3" outlineLevel="2" x14ac:dyDescent="0.25">
      <c r="A18" s="5" t="s">
        <v>21</v>
      </c>
      <c r="B18" s="5" t="s">
        <v>12</v>
      </c>
      <c r="C18">
        <f>SUMIFS(operacje[Kwota],operacje[Kategoria],$A18,operacje[Miesiąc],$B$11)</f>
        <v>400</v>
      </c>
    </row>
    <row r="19" spans="1:3" outlineLevel="2" x14ac:dyDescent="0.25">
      <c r="A19" s="4" t="s">
        <v>17</v>
      </c>
      <c r="B19" s="4" t="s">
        <v>12</v>
      </c>
      <c r="C19">
        <f>SUMIFS(operacje[Kwota],operacje[Kategoria],$A19,operacje[Miesiąc],$B$11)</f>
        <v>0</v>
      </c>
    </row>
    <row r="20" spans="1:3" outlineLevel="2" x14ac:dyDescent="0.25">
      <c r="A20" s="5" t="s">
        <v>33</v>
      </c>
      <c r="B20" s="5" t="s">
        <v>12</v>
      </c>
      <c r="C20">
        <f>SUMIFS(operacje[Kwota],operacje[Kategoria],$A20,operacje[Miesiąc],$B$11)</f>
        <v>0</v>
      </c>
    </row>
    <row r="21" spans="1:3" outlineLevel="2" x14ac:dyDescent="0.25">
      <c r="A21" s="4" t="s">
        <v>11</v>
      </c>
      <c r="B21" s="4" t="s">
        <v>12</v>
      </c>
      <c r="C21">
        <f>SUMIFS(operacje[Kwota],operacje[Kategoria],$A21,operacje[Miesiąc],$B$11)</f>
        <v>4500</v>
      </c>
    </row>
    <row r="22" spans="1:3" outlineLevel="1" x14ac:dyDescent="0.25">
      <c r="A22" s="4"/>
      <c r="B22" s="18" t="s">
        <v>40</v>
      </c>
      <c r="C22">
        <f>SUBTOTAL(9,C16:C21)</f>
        <v>4900</v>
      </c>
    </row>
    <row r="23" spans="1:3" outlineLevel="2" x14ac:dyDescent="0.25">
      <c r="A23" s="5" t="s">
        <v>9</v>
      </c>
      <c r="B23" s="5" t="s">
        <v>10</v>
      </c>
      <c r="C23">
        <f>SUMIFS(operacje[Kwota],operacje[Kategoria],$A23,operacje[Miesiąc],$B$11)</f>
        <v>-1000</v>
      </c>
    </row>
    <row r="24" spans="1:3" outlineLevel="2" x14ac:dyDescent="0.25">
      <c r="A24" s="4" t="s">
        <v>13</v>
      </c>
      <c r="B24" s="4" t="s">
        <v>10</v>
      </c>
      <c r="C24">
        <f>SUMIFS(operacje[Kwota],operacje[Kategoria],$A24,operacje[Miesiąc],$B$11)</f>
        <v>-2000</v>
      </c>
    </row>
    <row r="25" spans="1:3" outlineLevel="2" x14ac:dyDescent="0.25">
      <c r="A25" s="5" t="s">
        <v>24</v>
      </c>
      <c r="B25" s="5" t="s">
        <v>10</v>
      </c>
      <c r="C25">
        <f>SUMIFS(operacje[Kwota],operacje[Kategoria],$A25,operacje[Miesiąc],$B$11)</f>
        <v>-300</v>
      </c>
    </row>
    <row r="26" spans="1:3" outlineLevel="2" x14ac:dyDescent="0.25">
      <c r="A26" s="4" t="s">
        <v>19</v>
      </c>
      <c r="B26" s="4" t="s">
        <v>10</v>
      </c>
      <c r="C26">
        <f>SUMIFS(operacje[Kwota],operacje[Kategoria],$A26,operacje[Miesiąc],$B$11)</f>
        <v>0</v>
      </c>
    </row>
    <row r="27" spans="1:3" outlineLevel="2" x14ac:dyDescent="0.25">
      <c r="A27" s="5" t="s">
        <v>22</v>
      </c>
      <c r="B27" s="5" t="s">
        <v>10</v>
      </c>
      <c r="C27">
        <f>SUMIFS(operacje[Kwota],operacje[Kategoria],$A27,operacje[Miesiąc],$B$11)</f>
        <v>-200</v>
      </c>
    </row>
    <row r="28" spans="1:3" outlineLevel="2" x14ac:dyDescent="0.25">
      <c r="A28" s="4" t="s">
        <v>25</v>
      </c>
      <c r="B28" s="4" t="s">
        <v>10</v>
      </c>
      <c r="C28">
        <f>SUMIFS(operacje[Kwota],operacje[Kategoria],$A28,operacje[Miesiąc],$B$11)</f>
        <v>0</v>
      </c>
    </row>
    <row r="29" spans="1:3" outlineLevel="2" x14ac:dyDescent="0.25">
      <c r="A29" s="5" t="s">
        <v>16</v>
      </c>
      <c r="B29" s="5" t="s">
        <v>10</v>
      </c>
      <c r="C29">
        <f>SUMIFS(operacje[Kwota],operacje[Kategoria],$A29,operacje[Miesiąc],$B$11)</f>
        <v>-50</v>
      </c>
    </row>
    <row r="30" spans="1:3" outlineLevel="2" x14ac:dyDescent="0.25">
      <c r="A30" s="4" t="s">
        <v>23</v>
      </c>
      <c r="B30" s="4" t="s">
        <v>10</v>
      </c>
      <c r="C30">
        <f>SUMIFS(operacje[Kwota],operacje[Kategoria],$A30,operacje[Miesiąc],$B$11)</f>
        <v>-80</v>
      </c>
    </row>
    <row r="31" spans="1:3" ht="15.75" outlineLevel="2" thickBot="1" x14ac:dyDescent="0.3">
      <c r="A31" s="6" t="s">
        <v>30</v>
      </c>
      <c r="B31" s="6" t="s">
        <v>10</v>
      </c>
      <c r="C31">
        <f>SUMIFS(operacje[Kwota],operacje[Kategoria],$A31,operacje[Miesiąc],$B$11)</f>
        <v>-100</v>
      </c>
    </row>
    <row r="32" spans="1:3" outlineLevel="1" x14ac:dyDescent="0.25">
      <c r="A32" s="19"/>
      <c r="B32" s="20" t="s">
        <v>41</v>
      </c>
      <c r="C32">
        <f>SUBTOTAL(9,C23:C31)</f>
        <v>-3730</v>
      </c>
    </row>
    <row r="33" spans="1:3" x14ac:dyDescent="0.25">
      <c r="A33" s="19"/>
      <c r="B33" s="20" t="s">
        <v>42</v>
      </c>
      <c r="C33">
        <f>SUBTOTAL(9,C14:C31)</f>
        <v>1170</v>
      </c>
    </row>
  </sheetData>
  <dataValidations count="2">
    <dataValidation type="list" allowBlank="1" showInputMessage="1" showErrorMessage="1" sqref="B2:B8" xr:uid="{4D89DD33-36D8-4565-B970-A7682378229F}">
      <formula1>CHOOSE(MATCH(A2,$E$1:$G$1,0),$E$2:$E$4,$F$2:$F$3,$A$14:$A$16)</formula1>
    </dataValidation>
    <dataValidation type="list" allowBlank="1" showInputMessage="1" showErrorMessage="1" sqref="A2:A8" xr:uid="{796B2120-A291-408E-96D6-97606D45BAC0}">
      <formula1>$E$1:$G$1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A23F8-3DE6-41D1-B1FE-9CC8BC7197C8}">
  <dimension ref="A1:E33"/>
  <sheetViews>
    <sheetView workbookViewId="0">
      <selection activeCell="B12" sqref="B12"/>
    </sheetView>
  </sheetViews>
  <sheetFormatPr defaultRowHeight="15" outlineLevelRow="2" x14ac:dyDescent="0.25"/>
  <cols>
    <col min="1" max="1" width="17.7109375" customWidth="1"/>
    <col min="2" max="2" width="21.7109375" customWidth="1"/>
    <col min="3" max="3" width="19" customWidth="1"/>
    <col min="4" max="4" width="11.140625" customWidth="1"/>
    <col min="5" max="5" width="16.42578125" customWidth="1"/>
    <col min="7" max="7" width="17.28515625" bestFit="1" customWidth="1"/>
  </cols>
  <sheetData>
    <row r="1" spans="1:5" x14ac:dyDescent="0.25">
      <c r="A1" t="s">
        <v>1</v>
      </c>
      <c r="B1" t="s">
        <v>2</v>
      </c>
      <c r="C1" t="s">
        <v>35</v>
      </c>
      <c r="D1" t="s">
        <v>36</v>
      </c>
      <c r="E1" t="s">
        <v>37</v>
      </c>
    </row>
    <row r="2" spans="1:5" x14ac:dyDescent="0.25">
      <c r="A2" s="11" t="s">
        <v>7</v>
      </c>
      <c r="B2" s="12" t="s">
        <v>15</v>
      </c>
      <c r="C2" s="17" cm="1">
        <f t="array" aca="1" ref="C2" ca="1">INDIRECT(TEXT(DATE(2025,$B$11-1,1),"mmmm")&amp;"_saldo[@[Saldo końcowe]]")</f>
        <v>-1300</v>
      </c>
      <c r="D2" s="17">
        <f>SUMIFS(operacje[Kwota],operacje[Bank],lipiec_saldo[[#This Row],[Bank]],operacje[Produkt],lipiec_saldo[[#This Row],[Produkt]],operacje[Miesiąc],$B$11)</f>
        <v>1165</v>
      </c>
      <c r="E2" s="17">
        <f ca="1">lipiec_saldo[[#This Row],[Saldo początkowe]]+lipiec_saldo[[#This Row],[Operacje]]</f>
        <v>-135</v>
      </c>
    </row>
    <row r="3" spans="1:5" x14ac:dyDescent="0.25">
      <c r="A3" s="11" t="s">
        <v>7</v>
      </c>
      <c r="B3" s="12" t="s">
        <v>8</v>
      </c>
      <c r="C3" s="17" cm="1">
        <f t="array" aca="1" ref="C3" ca="1">INDIRECT(TEXT(DATE(2025,$B$11-1,1),"mmmm")&amp;"_saldo[@[Saldo końcowe]]")</f>
        <v>8872.44</v>
      </c>
      <c r="D3" s="17">
        <f>SUMIFS(operacje[Kwota],operacje[Bank],lipiec_saldo[[#This Row],[Bank]],operacje[Produkt],lipiec_saldo[[#This Row],[Produkt]],operacje[Miesiąc],$B$11)</f>
        <v>1010</v>
      </c>
      <c r="E3" s="17">
        <f ca="1">lipiec_saldo[[#This Row],[Saldo początkowe]]+lipiec_saldo[[#This Row],[Operacje]]</f>
        <v>9882.44</v>
      </c>
    </row>
    <row r="4" spans="1:5" x14ac:dyDescent="0.25">
      <c r="A4" s="13" t="s">
        <v>7</v>
      </c>
      <c r="B4" s="14" t="s">
        <v>18</v>
      </c>
      <c r="C4" s="17" cm="1">
        <f t="array" aca="1" ref="C4" ca="1">INDIRECT(TEXT(DATE(2025,$B$11-1,1),"mmmm")&amp;"_saldo[@[Saldo końcowe]]")</f>
        <v>1200</v>
      </c>
      <c r="D4" s="17">
        <f>SUMIFS(operacje[Kwota],operacje[Bank],lipiec_saldo[[#This Row],[Bank]],operacje[Produkt],lipiec_saldo[[#This Row],[Produkt]],operacje[Miesiąc],$B$11)</f>
        <v>-180</v>
      </c>
      <c r="E4" s="17">
        <f ca="1">lipiec_saldo[[#This Row],[Saldo początkowe]]+lipiec_saldo[[#This Row],[Operacje]]</f>
        <v>1020</v>
      </c>
    </row>
    <row r="5" spans="1:5" x14ac:dyDescent="0.25">
      <c r="A5" s="15" t="s">
        <v>14</v>
      </c>
      <c r="B5" s="16" t="s">
        <v>8</v>
      </c>
      <c r="C5" s="17" cm="1">
        <f t="array" aca="1" ref="C5" ca="1">INDIRECT(TEXT(DATE(2025,$B$11-1,1),"mmmm")&amp;"_saldo[@[Saldo końcowe]]")</f>
        <v>468.5</v>
      </c>
      <c r="D5" s="17">
        <f>SUMIFS(operacje[Kwota],operacje[Bank],lipiec_saldo[[#This Row],[Bank]],operacje[Produkt],lipiec_saldo[[#This Row],[Produkt]],operacje[Miesiąc],$B$11)</f>
        <v>-100</v>
      </c>
      <c r="E5" s="17">
        <f ca="1">lipiec_saldo[[#This Row],[Saldo początkowe]]+lipiec_saldo[[#This Row],[Operacje]]</f>
        <v>368.5</v>
      </c>
    </row>
    <row r="6" spans="1:5" x14ac:dyDescent="0.25">
      <c r="A6" s="11" t="s">
        <v>14</v>
      </c>
      <c r="B6" s="12" t="s">
        <v>20</v>
      </c>
      <c r="C6" s="17" cm="1">
        <f t="array" aca="1" ref="C6" ca="1">INDIRECT(TEXT(DATE(2025,$B$11-1,1),"mmmm")&amp;"_saldo[@[Saldo końcowe]]")</f>
        <v>336</v>
      </c>
      <c r="D6" s="17">
        <f>SUMIFS(operacje[Kwota],operacje[Bank],lipiec_saldo[[#This Row],[Bank]],operacje[Produkt],lipiec_saldo[[#This Row],[Produkt]],operacje[Miesiąc],$B$11)</f>
        <v>1050</v>
      </c>
      <c r="E6" s="17">
        <f ca="1">lipiec_saldo[[#This Row],[Saldo początkowe]]+lipiec_saldo[[#This Row],[Operacje]]</f>
        <v>1386</v>
      </c>
    </row>
    <row r="7" spans="1:5" x14ac:dyDescent="0.25">
      <c r="A7" s="15" t="s">
        <v>26</v>
      </c>
      <c r="B7" s="16" t="s">
        <v>27</v>
      </c>
      <c r="C7" s="17" cm="1">
        <f t="array" aca="1" ref="C7" ca="1">INDIRECT(TEXT(DATE(2025,$B$11-1,1),"mmmm")&amp;"_saldo[@[Saldo końcowe]]")</f>
        <v>225.51</v>
      </c>
      <c r="D7" s="17">
        <f>SUMIFS(operacje[Kwota],operacje[Bank],lipiec_saldo[[#This Row],[Bank]],operacje[Produkt],lipiec_saldo[[#This Row],[Produkt]],operacje[Miesiąc],$B$11)</f>
        <v>-30</v>
      </c>
      <c r="E7" s="17">
        <f ca="1">lipiec_saldo[[#This Row],[Saldo początkowe]]+lipiec_saldo[[#This Row],[Operacje]]</f>
        <v>195.51</v>
      </c>
    </row>
    <row r="8" spans="1:5" x14ac:dyDescent="0.25">
      <c r="A8" s="11" t="s">
        <v>26</v>
      </c>
      <c r="B8" s="12" t="s">
        <v>28</v>
      </c>
      <c r="C8" s="17" cm="1">
        <f t="array" aca="1" ref="C8" ca="1">INDIRECT(TEXT(DATE(2025,$B$11-1,1),"mmmm")&amp;"_saldo[@[Saldo końcowe]]")</f>
        <v>390.5</v>
      </c>
      <c r="D8" s="17">
        <f>SUMIFS(operacje[Kwota],operacje[Bank],lipiec_saldo[[#This Row],[Bank]],operacje[Produkt],lipiec_saldo[[#This Row],[Produkt]],operacje[Miesiąc],$B$11)</f>
        <v>0</v>
      </c>
      <c r="E8" s="17">
        <f ca="1">lipiec_saldo[[#This Row],[Saldo początkowe]]+lipiec_saldo[[#This Row],[Operacje]]</f>
        <v>390.5</v>
      </c>
    </row>
    <row r="9" spans="1:5" x14ac:dyDescent="0.25">
      <c r="A9" t="s">
        <v>38</v>
      </c>
      <c r="C9" s="17">
        <f ca="1">SUBTOTAL(109,lipiec_saldo[Saldo początkowe])</f>
        <v>10192.950000000001</v>
      </c>
      <c r="D9" s="17">
        <f>SUBTOTAL(109,lipiec_saldo[Operacje])</f>
        <v>2915</v>
      </c>
      <c r="E9" s="17">
        <f ca="1">SUBTOTAL(109,lipiec_saldo[Saldo końcowe])</f>
        <v>13107.95</v>
      </c>
    </row>
    <row r="11" spans="1:5" x14ac:dyDescent="0.25">
      <c r="A11" t="s">
        <v>6</v>
      </c>
      <c r="B11">
        <v>7</v>
      </c>
      <c r="C11" t="str">
        <f>TEXT(DATE(2025,B11,1),"mmmm")</f>
        <v>lipiec</v>
      </c>
    </row>
    <row r="13" spans="1:5" x14ac:dyDescent="0.25">
      <c r="A13" t="s">
        <v>3</v>
      </c>
      <c r="B13" t="s">
        <v>4</v>
      </c>
      <c r="C13" t="s">
        <v>38</v>
      </c>
    </row>
    <row r="14" spans="1:5" outlineLevel="2" x14ac:dyDescent="0.25">
      <c r="A14" s="4" t="s">
        <v>31</v>
      </c>
      <c r="B14" s="4" t="s">
        <v>34</v>
      </c>
      <c r="C14">
        <f>SUMIFS(operacje[Kwota],operacje[Kategoria],$A14,operacje[Miesiąc],$B$11)</f>
        <v>0</v>
      </c>
    </row>
    <row r="15" spans="1:5" outlineLevel="1" x14ac:dyDescent="0.25">
      <c r="A15" s="4"/>
      <c r="B15" s="18" t="s">
        <v>39</v>
      </c>
      <c r="C15">
        <f>SUBTOTAL(9,C14:C14)</f>
        <v>0</v>
      </c>
    </row>
    <row r="16" spans="1:5" outlineLevel="2" x14ac:dyDescent="0.25">
      <c r="A16" s="5" t="s">
        <v>32</v>
      </c>
      <c r="B16" s="5" t="s">
        <v>12</v>
      </c>
      <c r="C16">
        <f>SUMIFS(operacje[Kwota],operacje[Kategoria],$A16,operacje[Miesiąc],$B$11)</f>
        <v>800</v>
      </c>
    </row>
    <row r="17" spans="1:3" outlineLevel="2" x14ac:dyDescent="0.25">
      <c r="A17" s="4" t="s">
        <v>29</v>
      </c>
      <c r="B17" s="4" t="s">
        <v>12</v>
      </c>
      <c r="C17">
        <f>SUMIFS(operacje[Kwota],operacje[Kategoria],$A17,operacje[Miesiąc],$B$11)</f>
        <v>120</v>
      </c>
    </row>
    <row r="18" spans="1:3" outlineLevel="2" x14ac:dyDescent="0.25">
      <c r="A18" s="5" t="s">
        <v>21</v>
      </c>
      <c r="B18" s="5" t="s">
        <v>12</v>
      </c>
      <c r="C18">
        <f>SUMIFS(operacje[Kwota],operacje[Kategoria],$A18,operacje[Miesiąc],$B$11)</f>
        <v>0</v>
      </c>
    </row>
    <row r="19" spans="1:3" outlineLevel="2" x14ac:dyDescent="0.25">
      <c r="A19" s="4" t="s">
        <v>17</v>
      </c>
      <c r="B19" s="4" t="s">
        <v>12</v>
      </c>
      <c r="C19">
        <f>SUMIFS(operacje[Kwota],operacje[Kategoria],$A19,operacje[Miesiąc],$B$11)</f>
        <v>0</v>
      </c>
    </row>
    <row r="20" spans="1:3" outlineLevel="2" x14ac:dyDescent="0.25">
      <c r="A20" s="5" t="s">
        <v>33</v>
      </c>
      <c r="B20" s="5" t="s">
        <v>12</v>
      </c>
      <c r="C20">
        <f>SUMIFS(operacje[Kwota],operacje[Kategoria],$A20,operacje[Miesiąc],$B$11)</f>
        <v>500</v>
      </c>
    </row>
    <row r="21" spans="1:3" outlineLevel="2" x14ac:dyDescent="0.25">
      <c r="A21" s="4" t="s">
        <v>11</v>
      </c>
      <c r="B21" s="4" t="s">
        <v>12</v>
      </c>
      <c r="C21">
        <f>SUMIFS(operacje[Kwota],operacje[Kategoria],$A21,operacje[Miesiąc],$B$11)</f>
        <v>4500</v>
      </c>
    </row>
    <row r="22" spans="1:3" outlineLevel="1" x14ac:dyDescent="0.25">
      <c r="A22" s="4"/>
      <c r="B22" s="18" t="s">
        <v>40</v>
      </c>
      <c r="C22">
        <f>SUBTOTAL(9,C16:C21)</f>
        <v>5920</v>
      </c>
    </row>
    <row r="23" spans="1:3" outlineLevel="2" x14ac:dyDescent="0.25">
      <c r="A23" s="5" t="s">
        <v>9</v>
      </c>
      <c r="B23" s="5" t="s">
        <v>10</v>
      </c>
      <c r="C23">
        <f>SUMIFS(operacje[Kwota],operacje[Kategoria],$A23,operacje[Miesiąc],$B$11)</f>
        <v>-165</v>
      </c>
    </row>
    <row r="24" spans="1:3" outlineLevel="2" x14ac:dyDescent="0.25">
      <c r="A24" s="4" t="s">
        <v>13</v>
      </c>
      <c r="B24" s="4" t="s">
        <v>10</v>
      </c>
      <c r="C24">
        <f>SUMIFS(operacje[Kwota],operacje[Kategoria],$A24,operacje[Miesiąc],$B$11)</f>
        <v>-2000</v>
      </c>
    </row>
    <row r="25" spans="1:3" outlineLevel="2" x14ac:dyDescent="0.25">
      <c r="A25" s="5" t="s">
        <v>24</v>
      </c>
      <c r="B25" s="5" t="s">
        <v>10</v>
      </c>
      <c r="C25">
        <f>SUMIFS(operacje[Kwota],operacje[Kategoria],$A25,operacje[Miesiąc],$B$11)</f>
        <v>250</v>
      </c>
    </row>
    <row r="26" spans="1:3" outlineLevel="2" x14ac:dyDescent="0.25">
      <c r="A26" s="4" t="s">
        <v>19</v>
      </c>
      <c r="B26" s="4" t="s">
        <v>10</v>
      </c>
      <c r="C26">
        <f>SUMIFS(operacje[Kwota],operacje[Kategoria],$A26,operacje[Miesiąc],$B$11)</f>
        <v>0</v>
      </c>
    </row>
    <row r="27" spans="1:3" outlineLevel="2" x14ac:dyDescent="0.25">
      <c r="A27" s="5" t="s">
        <v>22</v>
      </c>
      <c r="B27" s="5" t="s">
        <v>10</v>
      </c>
      <c r="C27">
        <f>SUMIFS(operacje[Kwota],operacje[Kategoria],$A27,operacje[Miesiąc],$B$11)</f>
        <v>-700</v>
      </c>
    </row>
    <row r="28" spans="1:3" outlineLevel="2" x14ac:dyDescent="0.25">
      <c r="A28" s="4" t="s">
        <v>25</v>
      </c>
      <c r="B28" s="4" t="s">
        <v>10</v>
      </c>
      <c r="C28">
        <f>SUMIFS(operacje[Kwota],operacje[Kategoria],$A28,operacje[Miesiąc],$B$11)</f>
        <v>0</v>
      </c>
    </row>
    <row r="29" spans="1:3" outlineLevel="2" x14ac:dyDescent="0.25">
      <c r="A29" s="5" t="s">
        <v>16</v>
      </c>
      <c r="B29" s="5" t="s">
        <v>10</v>
      </c>
      <c r="C29">
        <f>SUMIFS(operacje[Kwota],operacje[Kategoria],$A29,operacje[Miesiąc],$B$11)</f>
        <v>0</v>
      </c>
    </row>
    <row r="30" spans="1:3" outlineLevel="2" x14ac:dyDescent="0.25">
      <c r="A30" s="4" t="s">
        <v>23</v>
      </c>
      <c r="B30" s="4" t="s">
        <v>10</v>
      </c>
      <c r="C30">
        <f>SUMIFS(operacje[Kwota],operacje[Kategoria],$A30,operacje[Miesiąc],$B$11)</f>
        <v>-90</v>
      </c>
    </row>
    <row r="31" spans="1:3" ht="15.75" outlineLevel="2" thickBot="1" x14ac:dyDescent="0.3">
      <c r="A31" s="6" t="s">
        <v>30</v>
      </c>
      <c r="B31" s="6" t="s">
        <v>10</v>
      </c>
      <c r="C31">
        <f>SUMIFS(operacje[Kwota],operacje[Kategoria],$A31,operacje[Miesiąc],$B$11)</f>
        <v>-300</v>
      </c>
    </row>
    <row r="32" spans="1:3" outlineLevel="1" x14ac:dyDescent="0.25">
      <c r="A32" s="19"/>
      <c r="B32" s="20" t="s">
        <v>41</v>
      </c>
      <c r="C32">
        <f>SUBTOTAL(9,C23:C31)</f>
        <v>-3005</v>
      </c>
    </row>
    <row r="33" spans="1:3" x14ac:dyDescent="0.25">
      <c r="A33" s="19"/>
      <c r="B33" s="20" t="s">
        <v>42</v>
      </c>
      <c r="C33">
        <f>SUBTOTAL(9,C14:C31)</f>
        <v>2915</v>
      </c>
    </row>
  </sheetData>
  <dataValidations count="2">
    <dataValidation type="list" allowBlank="1" showInputMessage="1" showErrorMessage="1" sqref="A2:A8" xr:uid="{14A42292-775B-4059-8D17-9B6BEF43F3CA}">
      <formula1>$E$1:$G$1</formula1>
    </dataValidation>
    <dataValidation type="list" allowBlank="1" showInputMessage="1" showErrorMessage="1" sqref="B2:B8" xr:uid="{301A51ED-9DC2-4E09-AFF4-CF215F2A0F0D}">
      <formula1>CHOOSE(MATCH(A2,$E$1:$G$1,0),$E$2:$E$4,$F$2:$F$3,$A$14:$A$16)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81EC6-8672-47D5-9492-8FE7E9524E10}">
  <dimension ref="A1:E33"/>
  <sheetViews>
    <sheetView workbookViewId="0">
      <selection activeCell="B12" sqref="B12"/>
    </sheetView>
  </sheetViews>
  <sheetFormatPr defaultRowHeight="15" outlineLevelRow="2" x14ac:dyDescent="0.25"/>
  <cols>
    <col min="1" max="1" width="17.7109375" customWidth="1"/>
    <col min="2" max="2" width="21.7109375" customWidth="1"/>
    <col min="3" max="3" width="19" customWidth="1"/>
    <col min="4" max="4" width="11.140625" customWidth="1"/>
    <col min="5" max="5" width="16.42578125" customWidth="1"/>
    <col min="7" max="7" width="17.28515625" bestFit="1" customWidth="1"/>
  </cols>
  <sheetData>
    <row r="1" spans="1:5" x14ac:dyDescent="0.25">
      <c r="A1" t="s">
        <v>1</v>
      </c>
      <c r="B1" t="s">
        <v>2</v>
      </c>
      <c r="C1" t="s">
        <v>35</v>
      </c>
      <c r="D1" t="s">
        <v>36</v>
      </c>
      <c r="E1" t="s">
        <v>37</v>
      </c>
    </row>
    <row r="2" spans="1:5" x14ac:dyDescent="0.25">
      <c r="A2" s="11" t="s">
        <v>7</v>
      </c>
      <c r="B2" s="12" t="s">
        <v>15</v>
      </c>
      <c r="C2" s="17" cm="1">
        <f t="array" aca="1" ref="C2" ca="1">INDIRECT(TEXT(DATE(2025,$B$11-1,1),"mmmm")&amp;"_saldo[@[Saldo końcowe]]")</f>
        <v>-135</v>
      </c>
      <c r="D2" s="17">
        <f>SUMIFS(operacje[Kwota],operacje[Bank],sierpień_saldo[[#This Row],[Bank]],operacje[Produkt],sierpień_saldo[[#This Row],[Produkt]],operacje[Miesiąc],$B$11)</f>
        <v>33</v>
      </c>
      <c r="E2" s="17">
        <f ca="1">sierpień_saldo[[#This Row],[Saldo początkowe]]+sierpień_saldo[[#This Row],[Operacje]]</f>
        <v>-102</v>
      </c>
    </row>
    <row r="3" spans="1:5" x14ac:dyDescent="0.25">
      <c r="A3" s="11" t="s">
        <v>7</v>
      </c>
      <c r="B3" s="12" t="s">
        <v>8</v>
      </c>
      <c r="C3" s="17" cm="1">
        <f t="array" aca="1" ref="C3" ca="1">INDIRECT(TEXT(DATE(2025,$B$11-1,1),"mmmm")&amp;"_saldo[@[Saldo końcowe]]")</f>
        <v>9882.44</v>
      </c>
      <c r="D3" s="17">
        <f>SUMIFS(operacje[Kwota],operacje[Bank],sierpień_saldo[[#This Row],[Bank]],operacje[Produkt],sierpień_saldo[[#This Row],[Produkt]],operacje[Miesiąc],$B$11)</f>
        <v>1475</v>
      </c>
      <c r="E3" s="17">
        <f ca="1">sierpień_saldo[[#This Row],[Saldo początkowe]]+sierpień_saldo[[#This Row],[Operacje]]</f>
        <v>11357.44</v>
      </c>
    </row>
    <row r="4" spans="1:5" x14ac:dyDescent="0.25">
      <c r="A4" s="13" t="s">
        <v>7</v>
      </c>
      <c r="B4" s="14" t="s">
        <v>18</v>
      </c>
      <c r="C4" s="17" cm="1">
        <f t="array" aca="1" ref="C4" ca="1">INDIRECT(TEXT(DATE(2025,$B$11-1,1),"mmmm")&amp;"_saldo[@[Saldo końcowe]]")</f>
        <v>1020</v>
      </c>
      <c r="D4" s="17">
        <f>SUMIFS(operacje[Kwota],operacje[Bank],sierpień_saldo[[#This Row],[Bank]],operacje[Produkt],sierpień_saldo[[#This Row],[Produkt]],operacje[Miesiąc],$B$11)</f>
        <v>-1020</v>
      </c>
      <c r="E4" s="17">
        <f ca="1">sierpień_saldo[[#This Row],[Saldo początkowe]]+sierpień_saldo[[#This Row],[Operacje]]</f>
        <v>0</v>
      </c>
    </row>
    <row r="5" spans="1:5" x14ac:dyDescent="0.25">
      <c r="A5" s="15" t="s">
        <v>14</v>
      </c>
      <c r="B5" s="16" t="s">
        <v>8</v>
      </c>
      <c r="C5" s="17" cm="1">
        <f t="array" aca="1" ref="C5" ca="1">INDIRECT(TEXT(DATE(2025,$B$11-1,1),"mmmm")&amp;"_saldo[@[Saldo końcowe]]")</f>
        <v>368.5</v>
      </c>
      <c r="D5" s="17">
        <f>SUMIFS(operacje[Kwota],operacje[Bank],sierpień_saldo[[#This Row],[Bank]],operacje[Produkt],sierpień_saldo[[#This Row],[Produkt]],operacje[Miesiąc],$B$11)</f>
        <v>200</v>
      </c>
      <c r="E5" s="17">
        <f ca="1">sierpień_saldo[[#This Row],[Saldo początkowe]]+sierpień_saldo[[#This Row],[Operacje]]</f>
        <v>568.5</v>
      </c>
    </row>
    <row r="6" spans="1:5" x14ac:dyDescent="0.25">
      <c r="A6" s="11" t="s">
        <v>14</v>
      </c>
      <c r="B6" s="12" t="s">
        <v>20</v>
      </c>
      <c r="C6" s="17" cm="1">
        <f t="array" aca="1" ref="C6" ca="1">INDIRECT(TEXT(DATE(2025,$B$11-1,1),"mmmm")&amp;"_saldo[@[Saldo końcowe]]")</f>
        <v>1386</v>
      </c>
      <c r="D6" s="17">
        <f>SUMIFS(operacje[Kwota],operacje[Bank],sierpień_saldo[[#This Row],[Bank]],operacje[Produkt],sierpień_saldo[[#This Row],[Produkt]],operacje[Miesiąc],$B$11)</f>
        <v>-300</v>
      </c>
      <c r="E6" s="17">
        <f ca="1">sierpień_saldo[[#This Row],[Saldo początkowe]]+sierpień_saldo[[#This Row],[Operacje]]</f>
        <v>1086</v>
      </c>
    </row>
    <row r="7" spans="1:5" x14ac:dyDescent="0.25">
      <c r="A7" s="15" t="s">
        <v>26</v>
      </c>
      <c r="B7" s="16" t="s">
        <v>27</v>
      </c>
      <c r="C7" s="17" cm="1">
        <f t="array" aca="1" ref="C7" ca="1">INDIRECT(TEXT(DATE(2025,$B$11-1,1),"mmmm")&amp;"_saldo[@[Saldo końcowe]]")</f>
        <v>195.51</v>
      </c>
      <c r="D7" s="17">
        <f>SUMIFS(operacje[Kwota],operacje[Bank],sierpień_saldo[[#This Row],[Bank]],operacje[Produkt],sierpień_saldo[[#This Row],[Produkt]],operacje[Miesiąc],$B$11)</f>
        <v>0</v>
      </c>
      <c r="E7" s="17">
        <f ca="1">sierpień_saldo[[#This Row],[Saldo początkowe]]+sierpień_saldo[[#This Row],[Operacje]]</f>
        <v>195.51</v>
      </c>
    </row>
    <row r="8" spans="1:5" x14ac:dyDescent="0.25">
      <c r="A8" s="11" t="s">
        <v>26</v>
      </c>
      <c r="B8" s="12" t="s">
        <v>28</v>
      </c>
      <c r="C8" s="17" cm="1">
        <f t="array" aca="1" ref="C8" ca="1">INDIRECT(TEXT(DATE(2025,$B$11-1,1),"mmmm")&amp;"_saldo[@[Saldo końcowe]]")</f>
        <v>390.5</v>
      </c>
      <c r="D8" s="17">
        <f>SUMIFS(operacje[Kwota],operacje[Bank],sierpień_saldo[[#This Row],[Bank]],operacje[Produkt],sierpień_saldo[[#This Row],[Produkt]],operacje[Miesiąc],$B$11)</f>
        <v>2.5</v>
      </c>
      <c r="E8" s="17">
        <f ca="1">sierpień_saldo[[#This Row],[Saldo początkowe]]+sierpień_saldo[[#This Row],[Operacje]]</f>
        <v>393</v>
      </c>
    </row>
    <row r="9" spans="1:5" x14ac:dyDescent="0.25">
      <c r="A9" t="s">
        <v>38</v>
      </c>
      <c r="C9" s="17">
        <f ca="1">SUBTOTAL(109,sierpień_saldo[Saldo początkowe])</f>
        <v>13107.95</v>
      </c>
      <c r="D9" s="17">
        <f>SUBTOTAL(109,sierpień_saldo[Operacje])</f>
        <v>390.5</v>
      </c>
      <c r="E9" s="17">
        <f ca="1">SUBTOTAL(109,sierpień_saldo[Saldo końcowe])</f>
        <v>13498.45</v>
      </c>
    </row>
    <row r="11" spans="1:5" x14ac:dyDescent="0.25">
      <c r="A11" t="s">
        <v>6</v>
      </c>
      <c r="B11">
        <v>8</v>
      </c>
      <c r="C11" t="str">
        <f>TEXT(DATE(2025,B11,1),"mmmm")</f>
        <v>sierpień</v>
      </c>
    </row>
    <row r="13" spans="1:5" x14ac:dyDescent="0.25">
      <c r="A13" t="s">
        <v>3</v>
      </c>
      <c r="B13" t="s">
        <v>4</v>
      </c>
      <c r="C13" t="s">
        <v>38</v>
      </c>
    </row>
    <row r="14" spans="1:5" outlineLevel="2" x14ac:dyDescent="0.25">
      <c r="A14" s="4" t="s">
        <v>31</v>
      </c>
      <c r="B14" s="4" t="s">
        <v>34</v>
      </c>
      <c r="C14">
        <f>SUMIFS(operacje[Kwota],operacje[Kategoria],$A14,operacje[Miesiąc],$B$11)</f>
        <v>-1020</v>
      </c>
    </row>
    <row r="15" spans="1:5" outlineLevel="1" x14ac:dyDescent="0.25">
      <c r="A15" s="4"/>
      <c r="B15" s="18" t="s">
        <v>39</v>
      </c>
      <c r="C15">
        <f>SUBTOTAL(9,C14:C14)</f>
        <v>-1020</v>
      </c>
    </row>
    <row r="16" spans="1:5" outlineLevel="2" x14ac:dyDescent="0.25">
      <c r="A16" s="5" t="s">
        <v>32</v>
      </c>
      <c r="B16" s="5" t="s">
        <v>12</v>
      </c>
      <c r="C16">
        <f>SUMIFS(operacje[Kwota],operacje[Kategoria],$A16,operacje[Miesiąc],$B$11)</f>
        <v>400</v>
      </c>
    </row>
    <row r="17" spans="1:3" outlineLevel="2" x14ac:dyDescent="0.25">
      <c r="A17" s="4" t="s">
        <v>29</v>
      </c>
      <c r="B17" s="4" t="s">
        <v>12</v>
      </c>
      <c r="C17">
        <f>SUMIFS(operacje[Kwota],operacje[Kategoria],$A17,operacje[Miesiąc],$B$11)</f>
        <v>0</v>
      </c>
    </row>
    <row r="18" spans="1:3" outlineLevel="2" x14ac:dyDescent="0.25">
      <c r="A18" s="5" t="s">
        <v>21</v>
      </c>
      <c r="B18" s="5" t="s">
        <v>12</v>
      </c>
      <c r="C18">
        <f>SUMIFS(operacje[Kwota],operacje[Kategoria],$A18,operacje[Miesiąc],$B$11)</f>
        <v>0</v>
      </c>
    </row>
    <row r="19" spans="1:3" outlineLevel="2" x14ac:dyDescent="0.25">
      <c r="A19" s="4" t="s">
        <v>17</v>
      </c>
      <c r="B19" s="4" t="s">
        <v>12</v>
      </c>
      <c r="C19">
        <f>SUMIFS(operacje[Kwota],operacje[Kategoria],$A19,operacje[Miesiąc],$B$11)</f>
        <v>0</v>
      </c>
    </row>
    <row r="20" spans="1:3" outlineLevel="2" x14ac:dyDescent="0.25">
      <c r="A20" s="5" t="s">
        <v>33</v>
      </c>
      <c r="B20" s="5" t="s">
        <v>12</v>
      </c>
      <c r="C20">
        <f>SUMIFS(operacje[Kwota],operacje[Kategoria],$A20,operacje[Miesiąc],$B$11)</f>
        <v>500</v>
      </c>
    </row>
    <row r="21" spans="1:3" outlineLevel="2" x14ac:dyDescent="0.25">
      <c r="A21" s="4" t="s">
        <v>11</v>
      </c>
      <c r="B21" s="4" t="s">
        <v>12</v>
      </c>
      <c r="C21">
        <f>SUMIFS(operacje[Kwota],operacje[Kategoria],$A21,operacje[Miesiąc],$B$11)</f>
        <v>4500</v>
      </c>
    </row>
    <row r="22" spans="1:3" outlineLevel="1" x14ac:dyDescent="0.25">
      <c r="A22" s="4"/>
      <c r="B22" s="18" t="s">
        <v>40</v>
      </c>
      <c r="C22">
        <f>SUBTOTAL(9,C16:C21)</f>
        <v>5400</v>
      </c>
    </row>
    <row r="23" spans="1:3" outlineLevel="2" x14ac:dyDescent="0.25">
      <c r="A23" s="5" t="s">
        <v>9</v>
      </c>
      <c r="B23" s="5" t="s">
        <v>10</v>
      </c>
      <c r="C23">
        <f>SUMIFS(operacje[Kwota],operacje[Kategoria],$A23,operacje[Miesiąc],$B$11)</f>
        <v>-749.5</v>
      </c>
    </row>
    <row r="24" spans="1:3" outlineLevel="2" x14ac:dyDescent="0.25">
      <c r="A24" s="4" t="s">
        <v>13</v>
      </c>
      <c r="B24" s="4" t="s">
        <v>10</v>
      </c>
      <c r="C24">
        <f>SUMIFS(operacje[Kwota],operacje[Kategoria],$A24,operacje[Miesiąc],$B$11)</f>
        <v>-2000</v>
      </c>
    </row>
    <row r="25" spans="1:3" outlineLevel="2" x14ac:dyDescent="0.25">
      <c r="A25" s="5" t="s">
        <v>24</v>
      </c>
      <c r="B25" s="5" t="s">
        <v>10</v>
      </c>
      <c r="C25">
        <f>SUMIFS(operacje[Kwota],operacje[Kategoria],$A25,operacje[Miesiąc],$B$11)</f>
        <v>-300</v>
      </c>
    </row>
    <row r="26" spans="1:3" outlineLevel="2" x14ac:dyDescent="0.25">
      <c r="A26" s="4" t="s">
        <v>19</v>
      </c>
      <c r="B26" s="4" t="s">
        <v>10</v>
      </c>
      <c r="C26">
        <f>SUMIFS(operacje[Kwota],operacje[Kategoria],$A26,operacje[Miesiąc],$B$11)</f>
        <v>0</v>
      </c>
    </row>
    <row r="27" spans="1:3" outlineLevel="2" x14ac:dyDescent="0.25">
      <c r="A27" s="5" t="s">
        <v>22</v>
      </c>
      <c r="B27" s="5" t="s">
        <v>10</v>
      </c>
      <c r="C27">
        <f>SUMIFS(operacje[Kwota],operacje[Kategoria],$A27,operacje[Miesiąc],$B$11)</f>
        <v>-250</v>
      </c>
    </row>
    <row r="28" spans="1:3" outlineLevel="2" x14ac:dyDescent="0.25">
      <c r="A28" s="4" t="s">
        <v>25</v>
      </c>
      <c r="B28" s="4" t="s">
        <v>10</v>
      </c>
      <c r="C28">
        <f>SUMIFS(operacje[Kwota],operacje[Kategoria],$A28,operacje[Miesiąc],$B$11)</f>
        <v>0</v>
      </c>
    </row>
    <row r="29" spans="1:3" outlineLevel="2" x14ac:dyDescent="0.25">
      <c r="A29" s="5" t="s">
        <v>16</v>
      </c>
      <c r="B29" s="5" t="s">
        <v>10</v>
      </c>
      <c r="C29">
        <f>SUMIFS(operacje[Kwota],operacje[Kategoria],$A29,operacje[Miesiąc],$B$11)</f>
        <v>0</v>
      </c>
    </row>
    <row r="30" spans="1:3" outlineLevel="2" x14ac:dyDescent="0.25">
      <c r="A30" s="4" t="s">
        <v>23</v>
      </c>
      <c r="B30" s="4" t="s">
        <v>10</v>
      </c>
      <c r="C30">
        <f>SUMIFS(operacje[Kwota],operacje[Kategoria],$A30,operacje[Miesiąc],$B$11)</f>
        <v>-290</v>
      </c>
    </row>
    <row r="31" spans="1:3" ht="15.75" outlineLevel="2" thickBot="1" x14ac:dyDescent="0.3">
      <c r="A31" s="6" t="s">
        <v>30</v>
      </c>
      <c r="B31" s="6" t="s">
        <v>10</v>
      </c>
      <c r="C31">
        <f>SUMIFS(operacje[Kwota],operacje[Kategoria],$A31,operacje[Miesiąc],$B$11)</f>
        <v>-400</v>
      </c>
    </row>
    <row r="32" spans="1:3" outlineLevel="1" x14ac:dyDescent="0.25">
      <c r="A32" s="19"/>
      <c r="B32" s="20" t="s">
        <v>41</v>
      </c>
      <c r="C32">
        <f>SUBTOTAL(9,C23:C31)</f>
        <v>-3989.5</v>
      </c>
    </row>
    <row r="33" spans="1:3" x14ac:dyDescent="0.25">
      <c r="A33" s="19"/>
      <c r="B33" s="20" t="s">
        <v>42</v>
      </c>
      <c r="C33">
        <f>SUBTOTAL(9,C14:C31)</f>
        <v>390.5</v>
      </c>
    </row>
  </sheetData>
  <dataValidations count="2">
    <dataValidation type="list" allowBlank="1" showInputMessage="1" showErrorMessage="1" sqref="B2:B8" xr:uid="{8363A853-2434-4040-970F-5562133329A9}">
      <formula1>CHOOSE(MATCH(A2,$E$1:$G$1,0),$E$2:$E$4,$F$2:$F$3,$A$14:$A$16)</formula1>
    </dataValidation>
    <dataValidation type="list" allowBlank="1" showInputMessage="1" showErrorMessage="1" sqref="A2:A8" xr:uid="{AD58B3C4-8969-44B6-B61A-C9004C4784E3}">
      <formula1>$E$1:$G$1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898AD-B9FB-4875-9225-FEFCC6AA07A4}">
  <dimension ref="A1:E33"/>
  <sheetViews>
    <sheetView workbookViewId="0">
      <selection activeCell="B12" sqref="B12"/>
    </sheetView>
  </sheetViews>
  <sheetFormatPr defaultRowHeight="15" outlineLevelRow="2" x14ac:dyDescent="0.25"/>
  <cols>
    <col min="1" max="1" width="17.7109375" customWidth="1"/>
    <col min="2" max="2" width="21.7109375" customWidth="1"/>
    <col min="3" max="3" width="19" customWidth="1"/>
    <col min="4" max="4" width="11.140625" customWidth="1"/>
    <col min="5" max="5" width="16.42578125" customWidth="1"/>
    <col min="7" max="7" width="17.28515625" bestFit="1" customWidth="1"/>
  </cols>
  <sheetData>
    <row r="1" spans="1:5" x14ac:dyDescent="0.25">
      <c r="A1" t="s">
        <v>1</v>
      </c>
      <c r="B1" t="s">
        <v>2</v>
      </c>
      <c r="C1" t="s">
        <v>35</v>
      </c>
      <c r="D1" t="s">
        <v>36</v>
      </c>
      <c r="E1" t="s">
        <v>37</v>
      </c>
    </row>
    <row r="2" spans="1:5" x14ac:dyDescent="0.25">
      <c r="A2" s="11" t="s">
        <v>7</v>
      </c>
      <c r="B2" s="12" t="s">
        <v>15</v>
      </c>
      <c r="C2" s="17" cm="1">
        <f t="array" aca="1" ref="C2" ca="1">INDIRECT(TEXT(DATE(2025,$B$11-1,1),"mmmm")&amp;"_saldo[@[Saldo końcowe]]")</f>
        <v>-102</v>
      </c>
      <c r="D2" s="17">
        <f>SUMIFS(operacje[Kwota],operacje[Bank],wrzesień_saldo[[#This Row],[Bank]],operacje[Produkt],wrzesień_saldo[[#This Row],[Produkt]],operacje[Miesiąc],$B$11)</f>
        <v>82</v>
      </c>
      <c r="E2" s="17">
        <f ca="1">wrzesień_saldo[[#This Row],[Saldo początkowe]]+wrzesień_saldo[[#This Row],[Operacje]]</f>
        <v>-20</v>
      </c>
    </row>
    <row r="3" spans="1:5" x14ac:dyDescent="0.25">
      <c r="A3" s="11" t="s">
        <v>7</v>
      </c>
      <c r="B3" s="12" t="s">
        <v>8</v>
      </c>
      <c r="C3" s="17" cm="1">
        <f t="array" aca="1" ref="C3" ca="1">INDIRECT(TEXT(DATE(2025,$B$11-1,1),"mmmm")&amp;"_saldo[@[Saldo końcowe]]")</f>
        <v>11357.44</v>
      </c>
      <c r="D3" s="17">
        <f>SUMIFS(operacje[Kwota],operacje[Bank],wrzesień_saldo[[#This Row],[Bank]],operacje[Produkt],wrzesień_saldo[[#This Row],[Produkt]],operacje[Miesiąc],$B$11)</f>
        <v>1689.5</v>
      </c>
      <c r="E3" s="17">
        <f ca="1">wrzesień_saldo[[#This Row],[Saldo początkowe]]+wrzesień_saldo[[#This Row],[Operacje]]</f>
        <v>13046.94</v>
      </c>
    </row>
    <row r="4" spans="1:5" x14ac:dyDescent="0.25">
      <c r="A4" s="13" t="s">
        <v>7</v>
      </c>
      <c r="B4" s="14" t="s">
        <v>18</v>
      </c>
      <c r="C4" s="17" cm="1">
        <f t="array" aca="1" ref="C4" ca="1">INDIRECT(TEXT(DATE(2025,$B$11-1,1),"mmmm")&amp;"_saldo[@[Saldo końcowe]]")</f>
        <v>0</v>
      </c>
      <c r="D4" s="17">
        <f>SUMIFS(operacje[Kwota],operacje[Bank],wrzesień_saldo[[#This Row],[Bank]],operacje[Produkt],wrzesień_saldo[[#This Row],[Produkt]],operacje[Miesiąc],$B$11)</f>
        <v>0</v>
      </c>
      <c r="E4" s="17">
        <f ca="1">wrzesień_saldo[[#This Row],[Saldo początkowe]]+wrzesień_saldo[[#This Row],[Operacje]]</f>
        <v>0</v>
      </c>
    </row>
    <row r="5" spans="1:5" x14ac:dyDescent="0.25">
      <c r="A5" s="15" t="s">
        <v>14</v>
      </c>
      <c r="B5" s="16" t="s">
        <v>8</v>
      </c>
      <c r="C5" s="17" cm="1">
        <f t="array" aca="1" ref="C5" ca="1">INDIRECT(TEXT(DATE(2025,$B$11-1,1),"mmmm")&amp;"_saldo[@[Saldo końcowe]]")</f>
        <v>568.5</v>
      </c>
      <c r="D5" s="17">
        <f>SUMIFS(operacje[Kwota],operacje[Bank],wrzesień_saldo[[#This Row],[Bank]],operacje[Produkt],wrzesień_saldo[[#This Row],[Produkt]],operacje[Miesiąc],$B$11)</f>
        <v>-20</v>
      </c>
      <c r="E5" s="17">
        <f ca="1">wrzesień_saldo[[#This Row],[Saldo początkowe]]+wrzesień_saldo[[#This Row],[Operacje]]</f>
        <v>548.5</v>
      </c>
    </row>
    <row r="6" spans="1:5" x14ac:dyDescent="0.25">
      <c r="A6" s="11" t="s">
        <v>14</v>
      </c>
      <c r="B6" s="12" t="s">
        <v>20</v>
      </c>
      <c r="C6" s="17" cm="1">
        <f t="array" aca="1" ref="C6" ca="1">INDIRECT(TEXT(DATE(2025,$B$11-1,1),"mmmm")&amp;"_saldo[@[Saldo końcowe]]")</f>
        <v>1086</v>
      </c>
      <c r="D6" s="17">
        <f>SUMIFS(operacje[Kwota],operacje[Bank],wrzesień_saldo[[#This Row],[Bank]],operacje[Produkt],wrzesień_saldo[[#This Row],[Produkt]],operacje[Miesiąc],$B$11)</f>
        <v>0</v>
      </c>
      <c r="E6" s="17">
        <f ca="1">wrzesień_saldo[[#This Row],[Saldo początkowe]]+wrzesień_saldo[[#This Row],[Operacje]]</f>
        <v>1086</v>
      </c>
    </row>
    <row r="7" spans="1:5" x14ac:dyDescent="0.25">
      <c r="A7" s="15" t="s">
        <v>26</v>
      </c>
      <c r="B7" s="16" t="s">
        <v>27</v>
      </c>
      <c r="C7" s="17" cm="1">
        <f t="array" aca="1" ref="C7" ca="1">INDIRECT(TEXT(DATE(2025,$B$11-1,1),"mmmm")&amp;"_saldo[@[Saldo końcowe]]")</f>
        <v>195.51</v>
      </c>
      <c r="D7" s="17">
        <f>SUMIFS(operacje[Kwota],operacje[Bank],wrzesień_saldo[[#This Row],[Bank]],operacje[Produkt],wrzesień_saldo[[#This Row],[Produkt]],operacje[Miesiąc],$B$11)</f>
        <v>0</v>
      </c>
      <c r="E7" s="17">
        <f ca="1">wrzesień_saldo[[#This Row],[Saldo początkowe]]+wrzesień_saldo[[#This Row],[Operacje]]</f>
        <v>195.51</v>
      </c>
    </row>
    <row r="8" spans="1:5" x14ac:dyDescent="0.25">
      <c r="A8" s="11" t="s">
        <v>26</v>
      </c>
      <c r="B8" s="12" t="s">
        <v>28</v>
      </c>
      <c r="C8" s="17" cm="1">
        <f t="array" aca="1" ref="C8" ca="1">INDIRECT(TEXT(DATE(2025,$B$11-1,1),"mmmm")&amp;"_saldo[@[Saldo końcowe]]")</f>
        <v>393</v>
      </c>
      <c r="D8" s="17">
        <f>SUMIFS(operacje[Kwota],operacje[Bank],wrzesień_saldo[[#This Row],[Bank]],operacje[Produkt],wrzesień_saldo[[#This Row],[Produkt]],operacje[Miesiąc],$B$11)</f>
        <v>0</v>
      </c>
      <c r="E8" s="17">
        <f ca="1">wrzesień_saldo[[#This Row],[Saldo początkowe]]+wrzesień_saldo[[#This Row],[Operacje]]</f>
        <v>393</v>
      </c>
    </row>
    <row r="9" spans="1:5" x14ac:dyDescent="0.25">
      <c r="A9" t="s">
        <v>38</v>
      </c>
      <c r="C9" s="17">
        <f ca="1">SUBTOTAL(109,wrzesień_saldo[Saldo początkowe])</f>
        <v>13498.45</v>
      </c>
      <c r="D9" s="17">
        <f>SUBTOTAL(109,wrzesień_saldo[Operacje])</f>
        <v>1751.5</v>
      </c>
      <c r="E9" s="17">
        <f ca="1">SUBTOTAL(109,wrzesień_saldo[Saldo końcowe])</f>
        <v>15249.95</v>
      </c>
    </row>
    <row r="11" spans="1:5" x14ac:dyDescent="0.25">
      <c r="A11" t="s">
        <v>6</v>
      </c>
      <c r="B11">
        <v>9</v>
      </c>
      <c r="C11" t="str">
        <f>TEXT(DATE(2025,B11,1),"mmmm")</f>
        <v>wrzesień</v>
      </c>
    </row>
    <row r="13" spans="1:5" x14ac:dyDescent="0.25">
      <c r="A13" t="s">
        <v>3</v>
      </c>
      <c r="B13" t="s">
        <v>4</v>
      </c>
      <c r="C13" t="s">
        <v>38</v>
      </c>
    </row>
    <row r="14" spans="1:5" outlineLevel="2" x14ac:dyDescent="0.25">
      <c r="A14" s="4" t="s">
        <v>31</v>
      </c>
      <c r="B14" s="4" t="s">
        <v>34</v>
      </c>
      <c r="C14">
        <f>SUMIFS(operacje[Kwota],operacje[Kategoria],$A14,operacje[Miesiąc],$B$11)</f>
        <v>0</v>
      </c>
    </row>
    <row r="15" spans="1:5" outlineLevel="1" x14ac:dyDescent="0.25">
      <c r="A15" s="4"/>
      <c r="B15" s="18" t="s">
        <v>39</v>
      </c>
      <c r="C15">
        <f>SUBTOTAL(9,C14:C14)</f>
        <v>0</v>
      </c>
    </row>
    <row r="16" spans="1:5" outlineLevel="2" x14ac:dyDescent="0.25">
      <c r="A16" s="5" t="s">
        <v>32</v>
      </c>
      <c r="B16" s="5" t="s">
        <v>12</v>
      </c>
      <c r="C16">
        <f>SUMIFS(operacje[Kwota],operacje[Kategoria],$A16,operacje[Miesiąc],$B$11)</f>
        <v>0</v>
      </c>
    </row>
    <row r="17" spans="1:3" outlineLevel="2" x14ac:dyDescent="0.25">
      <c r="A17" s="4" t="s">
        <v>29</v>
      </c>
      <c r="B17" s="4" t="s">
        <v>12</v>
      </c>
      <c r="C17">
        <f>SUMIFS(operacje[Kwota],operacje[Kategoria],$A17,operacje[Miesiąc],$B$11)</f>
        <v>0</v>
      </c>
    </row>
    <row r="18" spans="1:3" outlineLevel="2" x14ac:dyDescent="0.25">
      <c r="A18" s="5" t="s">
        <v>21</v>
      </c>
      <c r="B18" s="5" t="s">
        <v>12</v>
      </c>
      <c r="C18">
        <f>SUMIFS(operacje[Kwota],operacje[Kategoria],$A18,operacje[Miesiąc],$B$11)</f>
        <v>0</v>
      </c>
    </row>
    <row r="19" spans="1:3" outlineLevel="2" x14ac:dyDescent="0.25">
      <c r="A19" s="4" t="s">
        <v>17</v>
      </c>
      <c r="B19" s="4" t="s">
        <v>12</v>
      </c>
      <c r="C19">
        <f>SUMIFS(operacje[Kwota],operacje[Kategoria],$A19,operacje[Miesiąc],$B$11)</f>
        <v>0</v>
      </c>
    </row>
    <row r="20" spans="1:3" outlineLevel="2" x14ac:dyDescent="0.25">
      <c r="A20" s="5" t="s">
        <v>33</v>
      </c>
      <c r="B20" s="5" t="s">
        <v>12</v>
      </c>
      <c r="C20">
        <f>SUMIFS(operacje[Kwota],operacje[Kategoria],$A20,operacje[Miesiąc],$B$11)</f>
        <v>0</v>
      </c>
    </row>
    <row r="21" spans="1:3" outlineLevel="2" x14ac:dyDescent="0.25">
      <c r="A21" s="4" t="s">
        <v>11</v>
      </c>
      <c r="B21" s="4" t="s">
        <v>12</v>
      </c>
      <c r="C21">
        <f>SUMIFS(operacje[Kwota],operacje[Kategoria],$A21,operacje[Miesiąc],$B$11)</f>
        <v>4500</v>
      </c>
    </row>
    <row r="22" spans="1:3" outlineLevel="1" x14ac:dyDescent="0.25">
      <c r="A22" s="4"/>
      <c r="B22" s="18" t="s">
        <v>40</v>
      </c>
      <c r="C22">
        <f>SUBTOTAL(9,C16:C21)</f>
        <v>4500</v>
      </c>
    </row>
    <row r="23" spans="1:3" outlineLevel="2" x14ac:dyDescent="0.25">
      <c r="A23" s="5" t="s">
        <v>9</v>
      </c>
      <c r="B23" s="5" t="s">
        <v>10</v>
      </c>
      <c r="C23">
        <f>SUMIFS(operacje[Kwota],operacje[Kategoria],$A23,operacje[Miesiąc],$B$11)</f>
        <v>-538.5</v>
      </c>
    </row>
    <row r="24" spans="1:3" outlineLevel="2" x14ac:dyDescent="0.25">
      <c r="A24" s="4" t="s">
        <v>13</v>
      </c>
      <c r="B24" s="4" t="s">
        <v>10</v>
      </c>
      <c r="C24">
        <f>SUMIFS(operacje[Kwota],operacje[Kategoria],$A24,operacje[Miesiąc],$B$11)</f>
        <v>-2000</v>
      </c>
    </row>
    <row r="25" spans="1:3" outlineLevel="2" x14ac:dyDescent="0.25">
      <c r="A25" s="5" t="s">
        <v>24</v>
      </c>
      <c r="B25" s="5" t="s">
        <v>10</v>
      </c>
      <c r="C25">
        <f>SUMIFS(operacje[Kwota],operacje[Kategoria],$A25,operacje[Miesiąc],$B$11)</f>
        <v>0</v>
      </c>
    </row>
    <row r="26" spans="1:3" outlineLevel="2" x14ac:dyDescent="0.25">
      <c r="A26" s="4" t="s">
        <v>19</v>
      </c>
      <c r="B26" s="4" t="s">
        <v>10</v>
      </c>
      <c r="C26">
        <f>SUMIFS(operacje[Kwota],operacje[Kategoria],$A26,operacje[Miesiąc],$B$11)</f>
        <v>0</v>
      </c>
    </row>
    <row r="27" spans="1:3" outlineLevel="2" x14ac:dyDescent="0.25">
      <c r="A27" s="5" t="s">
        <v>22</v>
      </c>
      <c r="B27" s="5" t="s">
        <v>10</v>
      </c>
      <c r="C27">
        <f>SUMIFS(operacje[Kwota],operacje[Kategoria],$A27,operacje[Miesiąc],$B$11)</f>
        <v>-20</v>
      </c>
    </row>
    <row r="28" spans="1:3" outlineLevel="2" x14ac:dyDescent="0.25">
      <c r="A28" s="4" t="s">
        <v>25</v>
      </c>
      <c r="B28" s="4" t="s">
        <v>10</v>
      </c>
      <c r="C28">
        <f>SUMIFS(operacje[Kwota],operacje[Kategoria],$A28,operacje[Miesiąc],$B$11)</f>
        <v>0</v>
      </c>
    </row>
    <row r="29" spans="1:3" outlineLevel="2" x14ac:dyDescent="0.25">
      <c r="A29" s="5" t="s">
        <v>16</v>
      </c>
      <c r="B29" s="5" t="s">
        <v>10</v>
      </c>
      <c r="C29">
        <f>SUMIFS(operacje[Kwota],operacje[Kategoria],$A29,operacje[Miesiąc],$B$11)</f>
        <v>-40</v>
      </c>
    </row>
    <row r="30" spans="1:3" outlineLevel="2" x14ac:dyDescent="0.25">
      <c r="A30" s="4" t="s">
        <v>23</v>
      </c>
      <c r="B30" s="4" t="s">
        <v>10</v>
      </c>
      <c r="C30">
        <f>SUMIFS(operacje[Kwota],operacje[Kategoria],$A30,operacje[Miesiąc],$B$11)</f>
        <v>-150</v>
      </c>
    </row>
    <row r="31" spans="1:3" ht="15.75" outlineLevel="2" thickBot="1" x14ac:dyDescent="0.3">
      <c r="A31" s="6" t="s">
        <v>30</v>
      </c>
      <c r="B31" s="6" t="s">
        <v>10</v>
      </c>
      <c r="C31">
        <f>SUMIFS(operacje[Kwota],operacje[Kategoria],$A31,operacje[Miesiąc],$B$11)</f>
        <v>0</v>
      </c>
    </row>
    <row r="32" spans="1:3" outlineLevel="1" x14ac:dyDescent="0.25">
      <c r="A32" s="19"/>
      <c r="B32" s="20" t="s">
        <v>41</v>
      </c>
      <c r="C32">
        <f>SUBTOTAL(9,C23:C31)</f>
        <v>-2748.5</v>
      </c>
    </row>
    <row r="33" spans="1:3" x14ac:dyDescent="0.25">
      <c r="A33" s="19"/>
      <c r="B33" s="20" t="s">
        <v>42</v>
      </c>
      <c r="C33">
        <f>SUBTOTAL(9,C14:C31)</f>
        <v>1751.5</v>
      </c>
    </row>
  </sheetData>
  <dataValidations count="2">
    <dataValidation type="list" allowBlank="1" showInputMessage="1" showErrorMessage="1" sqref="A2:A8" xr:uid="{CCE2566F-F5F5-4B98-BDFE-50781001B1AD}">
      <formula1>$E$1:$G$1</formula1>
    </dataValidation>
    <dataValidation type="list" allowBlank="1" showInputMessage="1" showErrorMessage="1" sqref="B2:B8" xr:uid="{190807DA-5906-4632-963B-F6550FC43692}">
      <formula1>CHOOSE(MATCH(A2,$E$1:$G$1,0),$E$2:$E$4,$F$2:$F$3,$A$14:$A$16)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58C83-FB46-443A-8F3A-6ADB315D4A61}">
  <dimension ref="A1:E33"/>
  <sheetViews>
    <sheetView workbookViewId="0">
      <selection activeCell="B12" sqref="B12"/>
    </sheetView>
  </sheetViews>
  <sheetFormatPr defaultRowHeight="15" outlineLevelRow="2" x14ac:dyDescent="0.25"/>
  <cols>
    <col min="1" max="1" width="17.7109375" customWidth="1"/>
    <col min="2" max="2" width="21.7109375" customWidth="1"/>
    <col min="3" max="3" width="19" customWidth="1"/>
    <col min="4" max="4" width="11.140625" customWidth="1"/>
    <col min="5" max="5" width="16.42578125" customWidth="1"/>
    <col min="7" max="7" width="17.28515625" bestFit="1" customWidth="1"/>
  </cols>
  <sheetData>
    <row r="1" spans="1:5" x14ac:dyDescent="0.25">
      <c r="A1" t="s">
        <v>1</v>
      </c>
      <c r="B1" t="s">
        <v>2</v>
      </c>
      <c r="C1" t="s">
        <v>35</v>
      </c>
      <c r="D1" t="s">
        <v>36</v>
      </c>
      <c r="E1" t="s">
        <v>37</v>
      </c>
    </row>
    <row r="2" spans="1:5" x14ac:dyDescent="0.25">
      <c r="A2" s="11" t="s">
        <v>7</v>
      </c>
      <c r="B2" s="12" t="s">
        <v>15</v>
      </c>
      <c r="C2" s="17" cm="1">
        <f t="array" aca="1" ref="C2" ca="1">INDIRECT(TEXT(DATE(2025,$B$11-1,1),"mmmm")&amp;"_saldo[@[Saldo końcowe]]")</f>
        <v>-20</v>
      </c>
      <c r="D2" s="17">
        <f>SUMIFS(operacje[Kwota],operacje[Bank],październik_saldo[[#This Row],[Bank]],operacje[Produkt],październik_saldo[[#This Row],[Produkt]],operacje[Miesiąc],$B$11)</f>
        <v>-20</v>
      </c>
      <c r="E2" s="17">
        <f ca="1">październik_saldo[[#This Row],[Saldo początkowe]]+październik_saldo[[#This Row],[Operacje]]</f>
        <v>-40</v>
      </c>
    </row>
    <row r="3" spans="1:5" x14ac:dyDescent="0.25">
      <c r="A3" s="11" t="s">
        <v>7</v>
      </c>
      <c r="B3" s="12" t="s">
        <v>8</v>
      </c>
      <c r="C3" s="17" cm="1">
        <f t="array" aca="1" ref="C3" ca="1">INDIRECT(TEXT(DATE(2025,$B$11-1,1),"mmmm")&amp;"_saldo[@[Saldo końcowe]]")</f>
        <v>13046.94</v>
      </c>
      <c r="D3" s="17">
        <f>SUMIFS(operacje[Kwota],operacje[Bank],październik_saldo[[#This Row],[Bank]],operacje[Produkt],październik_saldo[[#This Row],[Produkt]],operacje[Miesiąc],$B$11)</f>
        <v>1690</v>
      </c>
      <c r="E3" s="17">
        <f ca="1">październik_saldo[[#This Row],[Saldo początkowe]]+październik_saldo[[#This Row],[Operacje]]</f>
        <v>14736.94</v>
      </c>
    </row>
    <row r="4" spans="1:5" x14ac:dyDescent="0.25">
      <c r="A4" s="13" t="s">
        <v>7</v>
      </c>
      <c r="B4" s="14" t="s">
        <v>18</v>
      </c>
      <c r="C4" s="17" cm="1">
        <f t="array" aca="1" ref="C4" ca="1">INDIRECT(TEXT(DATE(2025,$B$11-1,1),"mmmm")&amp;"_saldo[@[Saldo końcowe]]")</f>
        <v>0</v>
      </c>
      <c r="D4" s="17">
        <f>SUMIFS(operacje[Kwota],operacje[Bank],październik_saldo[[#This Row],[Bank]],operacje[Produkt],październik_saldo[[#This Row],[Produkt]],operacje[Miesiąc],$B$11)</f>
        <v>0</v>
      </c>
      <c r="E4" s="17">
        <f ca="1">październik_saldo[[#This Row],[Saldo początkowe]]+październik_saldo[[#This Row],[Operacje]]</f>
        <v>0</v>
      </c>
    </row>
    <row r="5" spans="1:5" x14ac:dyDescent="0.25">
      <c r="A5" s="15" t="s">
        <v>14</v>
      </c>
      <c r="B5" s="16" t="s">
        <v>8</v>
      </c>
      <c r="C5" s="17" cm="1">
        <f t="array" aca="1" ref="C5" ca="1">INDIRECT(TEXT(DATE(2025,$B$11-1,1),"mmmm")&amp;"_saldo[@[Saldo końcowe]]")</f>
        <v>548.5</v>
      </c>
      <c r="D5" s="17">
        <f>SUMIFS(operacje[Kwota],operacje[Bank],październik_saldo[[#This Row],[Bank]],operacje[Produkt],październik_saldo[[#This Row],[Produkt]],operacje[Miesiąc],$B$11)</f>
        <v>0</v>
      </c>
      <c r="E5" s="17">
        <f ca="1">październik_saldo[[#This Row],[Saldo początkowe]]+październik_saldo[[#This Row],[Operacje]]</f>
        <v>548.5</v>
      </c>
    </row>
    <row r="6" spans="1:5" x14ac:dyDescent="0.25">
      <c r="A6" s="11" t="s">
        <v>14</v>
      </c>
      <c r="B6" s="12" t="s">
        <v>20</v>
      </c>
      <c r="C6" s="17" cm="1">
        <f t="array" aca="1" ref="C6" ca="1">INDIRECT(TEXT(DATE(2025,$B$11-1,1),"mmmm")&amp;"_saldo[@[Saldo końcowe]]")</f>
        <v>1086</v>
      </c>
      <c r="D6" s="17">
        <f>SUMIFS(operacje[Kwota],operacje[Bank],październik_saldo[[#This Row],[Bank]],operacje[Produkt],październik_saldo[[#This Row],[Produkt]],operacje[Miesiąc],$B$11)</f>
        <v>0</v>
      </c>
      <c r="E6" s="17">
        <f ca="1">październik_saldo[[#This Row],[Saldo początkowe]]+październik_saldo[[#This Row],[Operacje]]</f>
        <v>1086</v>
      </c>
    </row>
    <row r="7" spans="1:5" x14ac:dyDescent="0.25">
      <c r="A7" s="15" t="s">
        <v>26</v>
      </c>
      <c r="B7" s="16" t="s">
        <v>27</v>
      </c>
      <c r="C7" s="17" cm="1">
        <f t="array" aca="1" ref="C7" ca="1">INDIRECT(TEXT(DATE(2025,$B$11-1,1),"mmmm")&amp;"_saldo[@[Saldo końcowe]]")</f>
        <v>195.51</v>
      </c>
      <c r="D7" s="17">
        <f>SUMIFS(operacje[Kwota],operacje[Bank],październik_saldo[[#This Row],[Bank]],operacje[Produkt],październik_saldo[[#This Row],[Produkt]],operacje[Miesiąc],$B$11)</f>
        <v>0</v>
      </c>
      <c r="E7" s="17">
        <f ca="1">październik_saldo[[#This Row],[Saldo początkowe]]+październik_saldo[[#This Row],[Operacje]]</f>
        <v>195.51</v>
      </c>
    </row>
    <row r="8" spans="1:5" x14ac:dyDescent="0.25">
      <c r="A8" s="11" t="s">
        <v>26</v>
      </c>
      <c r="B8" s="12" t="s">
        <v>28</v>
      </c>
      <c r="C8" s="17" cm="1">
        <f t="array" aca="1" ref="C8" ca="1">INDIRECT(TEXT(DATE(2025,$B$11-1,1),"mmmm")&amp;"_saldo[@[Saldo końcowe]]")</f>
        <v>393</v>
      </c>
      <c r="D8" s="17">
        <f>SUMIFS(operacje[Kwota],operacje[Bank],październik_saldo[[#This Row],[Bank]],operacje[Produkt],październik_saldo[[#This Row],[Produkt]],operacje[Miesiąc],$B$11)</f>
        <v>0</v>
      </c>
      <c r="E8" s="17">
        <f ca="1">październik_saldo[[#This Row],[Saldo początkowe]]+październik_saldo[[#This Row],[Operacje]]</f>
        <v>393</v>
      </c>
    </row>
    <row r="9" spans="1:5" x14ac:dyDescent="0.25">
      <c r="A9" t="s">
        <v>38</v>
      </c>
      <c r="C9" s="17">
        <f ca="1">SUBTOTAL(109,październik_saldo[Saldo początkowe])</f>
        <v>15249.95</v>
      </c>
      <c r="D9" s="17">
        <f>SUBTOTAL(109,październik_saldo[Operacje])</f>
        <v>1670</v>
      </c>
      <c r="E9" s="17">
        <f ca="1">SUBTOTAL(109,październik_saldo[Saldo końcowe])</f>
        <v>16919.95</v>
      </c>
    </row>
    <row r="11" spans="1:5" x14ac:dyDescent="0.25">
      <c r="A11" t="s">
        <v>6</v>
      </c>
      <c r="B11">
        <v>10</v>
      </c>
      <c r="C11" t="str">
        <f>TEXT(DATE(2025,B11,1),"mmmm")</f>
        <v>październik</v>
      </c>
    </row>
    <row r="13" spans="1:5" x14ac:dyDescent="0.25">
      <c r="A13" t="s">
        <v>3</v>
      </c>
      <c r="B13" t="s">
        <v>4</v>
      </c>
      <c r="C13" t="s">
        <v>38</v>
      </c>
    </row>
    <row r="14" spans="1:5" outlineLevel="2" x14ac:dyDescent="0.25">
      <c r="A14" s="4" t="s">
        <v>31</v>
      </c>
      <c r="B14" s="4" t="s">
        <v>34</v>
      </c>
      <c r="C14">
        <f>SUMIFS(operacje[Kwota],operacje[Kategoria],$A14,operacje[Miesiąc],$B$11)</f>
        <v>0</v>
      </c>
    </row>
    <row r="15" spans="1:5" outlineLevel="1" x14ac:dyDescent="0.25">
      <c r="A15" s="4"/>
      <c r="B15" s="18" t="s">
        <v>39</v>
      </c>
      <c r="C15">
        <f>SUBTOTAL(9,C14:C14)</f>
        <v>0</v>
      </c>
    </row>
    <row r="16" spans="1:5" outlineLevel="2" x14ac:dyDescent="0.25">
      <c r="A16" s="5" t="s">
        <v>32</v>
      </c>
      <c r="B16" s="5" t="s">
        <v>12</v>
      </c>
      <c r="C16">
        <f>SUMIFS(operacje[Kwota],operacje[Kategoria],$A16,operacje[Miesiąc],$B$11)</f>
        <v>0</v>
      </c>
    </row>
    <row r="17" spans="1:3" outlineLevel="2" x14ac:dyDescent="0.25">
      <c r="A17" s="4" t="s">
        <v>29</v>
      </c>
      <c r="B17" s="4" t="s">
        <v>12</v>
      </c>
      <c r="C17">
        <f>SUMIFS(operacje[Kwota],operacje[Kategoria],$A17,operacje[Miesiąc],$B$11)</f>
        <v>0</v>
      </c>
    </row>
    <row r="18" spans="1:3" outlineLevel="2" x14ac:dyDescent="0.25">
      <c r="A18" s="5" t="s">
        <v>21</v>
      </c>
      <c r="B18" s="5" t="s">
        <v>12</v>
      </c>
      <c r="C18">
        <f>SUMIFS(operacje[Kwota],operacje[Kategoria],$A18,operacje[Miesiąc],$B$11)</f>
        <v>0</v>
      </c>
    </row>
    <row r="19" spans="1:3" outlineLevel="2" x14ac:dyDescent="0.25">
      <c r="A19" s="4" t="s">
        <v>17</v>
      </c>
      <c r="B19" s="4" t="s">
        <v>12</v>
      </c>
      <c r="C19">
        <f>SUMIFS(operacje[Kwota],operacje[Kategoria],$A19,operacje[Miesiąc],$B$11)</f>
        <v>0</v>
      </c>
    </row>
    <row r="20" spans="1:3" outlineLevel="2" x14ac:dyDescent="0.25">
      <c r="A20" s="5" t="s">
        <v>33</v>
      </c>
      <c r="B20" s="5" t="s">
        <v>12</v>
      </c>
      <c r="C20">
        <f>SUMIFS(operacje[Kwota],operacje[Kategoria],$A20,operacje[Miesiąc],$B$11)</f>
        <v>0</v>
      </c>
    </row>
    <row r="21" spans="1:3" outlineLevel="2" x14ac:dyDescent="0.25">
      <c r="A21" s="4" t="s">
        <v>11</v>
      </c>
      <c r="B21" s="4" t="s">
        <v>12</v>
      </c>
      <c r="C21">
        <f>SUMIFS(operacje[Kwota],operacje[Kategoria],$A21,operacje[Miesiąc],$B$11)</f>
        <v>4500</v>
      </c>
    </row>
    <row r="22" spans="1:3" outlineLevel="1" x14ac:dyDescent="0.25">
      <c r="A22" s="4"/>
      <c r="B22" s="18" t="s">
        <v>40</v>
      </c>
      <c r="C22">
        <f>SUBTOTAL(9,C16:C21)</f>
        <v>4500</v>
      </c>
    </row>
    <row r="23" spans="1:3" outlineLevel="2" x14ac:dyDescent="0.25">
      <c r="A23" s="5" t="s">
        <v>9</v>
      </c>
      <c r="B23" s="5" t="s">
        <v>10</v>
      </c>
      <c r="C23">
        <f>SUMIFS(operacje[Kwota],operacje[Kategoria],$A23,operacje[Miesiąc],$B$11)</f>
        <v>-600</v>
      </c>
    </row>
    <row r="24" spans="1:3" outlineLevel="2" x14ac:dyDescent="0.25">
      <c r="A24" s="4" t="s">
        <v>13</v>
      </c>
      <c r="B24" s="4" t="s">
        <v>10</v>
      </c>
      <c r="C24">
        <f>SUMIFS(operacje[Kwota],operacje[Kategoria],$A24,operacje[Miesiąc],$B$11)</f>
        <v>-2000</v>
      </c>
    </row>
    <row r="25" spans="1:3" outlineLevel="2" x14ac:dyDescent="0.25">
      <c r="A25" s="5" t="s">
        <v>24</v>
      </c>
      <c r="B25" s="5" t="s">
        <v>10</v>
      </c>
      <c r="C25">
        <f>SUMIFS(operacje[Kwota],operacje[Kategoria],$A25,operacje[Miesiąc],$B$11)</f>
        <v>0</v>
      </c>
    </row>
    <row r="26" spans="1:3" outlineLevel="2" x14ac:dyDescent="0.25">
      <c r="A26" s="4" t="s">
        <v>19</v>
      </c>
      <c r="B26" s="4" t="s">
        <v>10</v>
      </c>
      <c r="C26">
        <f>SUMIFS(operacje[Kwota],operacje[Kategoria],$A26,operacje[Miesiąc],$B$11)</f>
        <v>0</v>
      </c>
    </row>
    <row r="27" spans="1:3" outlineLevel="2" x14ac:dyDescent="0.25">
      <c r="A27" s="5" t="s">
        <v>22</v>
      </c>
      <c r="B27" s="5" t="s">
        <v>10</v>
      </c>
      <c r="C27">
        <f>SUMIFS(operacje[Kwota],operacje[Kategoria],$A27,operacje[Miesiąc],$B$11)</f>
        <v>-40</v>
      </c>
    </row>
    <row r="28" spans="1:3" outlineLevel="2" x14ac:dyDescent="0.25">
      <c r="A28" s="4" t="s">
        <v>25</v>
      </c>
      <c r="B28" s="4" t="s">
        <v>10</v>
      </c>
      <c r="C28">
        <f>SUMIFS(operacje[Kwota],operacje[Kategoria],$A28,operacje[Miesiąc],$B$11)</f>
        <v>0</v>
      </c>
    </row>
    <row r="29" spans="1:3" outlineLevel="2" x14ac:dyDescent="0.25">
      <c r="A29" s="5" t="s">
        <v>16</v>
      </c>
      <c r="B29" s="5" t="s">
        <v>10</v>
      </c>
      <c r="C29">
        <f>SUMIFS(operacje[Kwota],operacje[Kategoria],$A29,operacje[Miesiąc],$B$11)</f>
        <v>-40</v>
      </c>
    </row>
    <row r="30" spans="1:3" outlineLevel="2" x14ac:dyDescent="0.25">
      <c r="A30" s="4" t="s">
        <v>23</v>
      </c>
      <c r="B30" s="4" t="s">
        <v>10</v>
      </c>
      <c r="C30">
        <f>SUMIFS(operacje[Kwota],operacje[Kategoria],$A30,operacje[Miesiąc],$B$11)</f>
        <v>-150</v>
      </c>
    </row>
    <row r="31" spans="1:3" ht="15.75" outlineLevel="2" thickBot="1" x14ac:dyDescent="0.3">
      <c r="A31" s="6" t="s">
        <v>30</v>
      </c>
      <c r="B31" s="6" t="s">
        <v>10</v>
      </c>
      <c r="C31">
        <f>SUMIFS(operacje[Kwota],operacje[Kategoria],$A31,operacje[Miesiąc],$B$11)</f>
        <v>0</v>
      </c>
    </row>
    <row r="32" spans="1:3" outlineLevel="1" x14ac:dyDescent="0.25">
      <c r="A32" s="19"/>
      <c r="B32" s="20" t="s">
        <v>41</v>
      </c>
      <c r="C32">
        <f>SUBTOTAL(9,C23:C31)</f>
        <v>-2830</v>
      </c>
    </row>
    <row r="33" spans="1:3" x14ac:dyDescent="0.25">
      <c r="A33" s="19"/>
      <c r="B33" s="20" t="s">
        <v>42</v>
      </c>
      <c r="C33">
        <f>SUBTOTAL(9,C14:C31)</f>
        <v>1670</v>
      </c>
    </row>
  </sheetData>
  <dataValidations count="2">
    <dataValidation type="list" allowBlank="1" showInputMessage="1" showErrorMessage="1" sqref="B2:B8" xr:uid="{542AE8E4-2944-443B-A8B2-C0B1D6990BB6}">
      <formula1>CHOOSE(MATCH(A2,$E$1:$G$1,0),$E$2:$E$4,$F$2:$F$3,$A$14:$A$16)</formula1>
    </dataValidation>
    <dataValidation type="list" allowBlank="1" showInputMessage="1" showErrorMessage="1" sqref="A2:A8" xr:uid="{0B1320D8-A952-4F62-BC0C-103560518CD7}">
      <formula1>$E$1:$G$1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8DA74-66B2-462F-A094-041C53AEA9CC}">
  <dimension ref="A1:E33"/>
  <sheetViews>
    <sheetView workbookViewId="0">
      <selection activeCell="B12" sqref="B12"/>
    </sheetView>
  </sheetViews>
  <sheetFormatPr defaultRowHeight="15" outlineLevelRow="2" x14ac:dyDescent="0.25"/>
  <cols>
    <col min="1" max="1" width="17.7109375" customWidth="1"/>
    <col min="2" max="2" width="21.7109375" customWidth="1"/>
    <col min="3" max="3" width="19" customWidth="1"/>
    <col min="4" max="4" width="11.140625" customWidth="1"/>
    <col min="5" max="5" width="16.42578125" customWidth="1"/>
    <col min="7" max="7" width="17.28515625" bestFit="1" customWidth="1"/>
  </cols>
  <sheetData>
    <row r="1" spans="1:5" x14ac:dyDescent="0.25">
      <c r="A1" t="s">
        <v>1</v>
      </c>
      <c r="B1" t="s">
        <v>2</v>
      </c>
      <c r="C1" t="s">
        <v>35</v>
      </c>
      <c r="D1" t="s">
        <v>36</v>
      </c>
      <c r="E1" t="s">
        <v>37</v>
      </c>
    </row>
    <row r="2" spans="1:5" x14ac:dyDescent="0.25">
      <c r="A2" s="11" t="s">
        <v>7</v>
      </c>
      <c r="B2" s="12" t="s">
        <v>15</v>
      </c>
      <c r="C2" s="17" cm="1">
        <f t="array" aca="1" ref="C2" ca="1">INDIRECT(TEXT(DATE(2025,$B$11-1,1),"mmmm")&amp;"_saldo[@[Saldo końcowe]]")</f>
        <v>-40</v>
      </c>
      <c r="D2" s="17">
        <f>SUMIFS(operacje[Kwota],operacje[Bank],listopad_saldo[[#This Row],[Bank]],operacje[Produkt],listopad_saldo[[#This Row],[Produkt]],operacje[Miesiąc],$B$11)</f>
        <v>40</v>
      </c>
      <c r="E2" s="17">
        <f ca="1">listopad_saldo[[#This Row],[Saldo początkowe]]+listopad_saldo[[#This Row],[Operacje]]</f>
        <v>0</v>
      </c>
    </row>
    <row r="3" spans="1:5" x14ac:dyDescent="0.25">
      <c r="A3" s="11" t="s">
        <v>7</v>
      </c>
      <c r="B3" s="12" t="s">
        <v>8</v>
      </c>
      <c r="C3" s="17" cm="1">
        <f t="array" aca="1" ref="C3" ca="1">INDIRECT(TEXT(DATE(2025,$B$11-1,1),"mmmm")&amp;"_saldo[@[Saldo końcowe]]")</f>
        <v>14736.94</v>
      </c>
      <c r="D3" s="17">
        <f>SUMIFS(operacje[Kwota],operacje[Bank],listopad_saldo[[#This Row],[Bank]],operacje[Produkt],listopad_saldo[[#This Row],[Produkt]],operacje[Miesiąc],$B$11)</f>
        <v>960</v>
      </c>
      <c r="E3" s="17">
        <f ca="1">listopad_saldo[[#This Row],[Saldo początkowe]]+listopad_saldo[[#This Row],[Operacje]]</f>
        <v>15696.94</v>
      </c>
    </row>
    <row r="4" spans="1:5" x14ac:dyDescent="0.25">
      <c r="A4" s="13" t="s">
        <v>7</v>
      </c>
      <c r="B4" s="14" t="s">
        <v>18</v>
      </c>
      <c r="C4" s="17" cm="1">
        <f t="array" aca="1" ref="C4" ca="1">INDIRECT(TEXT(DATE(2025,$B$11-1,1),"mmmm")&amp;"_saldo[@[Saldo końcowe]]")</f>
        <v>0</v>
      </c>
      <c r="D4" s="17">
        <f>SUMIFS(operacje[Kwota],operacje[Bank],listopad_saldo[[#This Row],[Bank]],operacje[Produkt],listopad_saldo[[#This Row],[Produkt]],operacje[Miesiąc],$B$11)</f>
        <v>0</v>
      </c>
      <c r="E4" s="17">
        <f ca="1">listopad_saldo[[#This Row],[Saldo początkowe]]+listopad_saldo[[#This Row],[Operacje]]</f>
        <v>0</v>
      </c>
    </row>
    <row r="5" spans="1:5" x14ac:dyDescent="0.25">
      <c r="A5" s="15" t="s">
        <v>14</v>
      </c>
      <c r="B5" s="16" t="s">
        <v>8</v>
      </c>
      <c r="C5" s="17" cm="1">
        <f t="array" aca="1" ref="C5" ca="1">INDIRECT(TEXT(DATE(2025,$B$11-1,1),"mmmm")&amp;"_saldo[@[Saldo końcowe]]")</f>
        <v>548.5</v>
      </c>
      <c r="D5" s="17">
        <f>SUMIFS(operacje[Kwota],operacje[Bank],listopad_saldo[[#This Row],[Bank]],operacje[Produkt],listopad_saldo[[#This Row],[Produkt]],operacje[Miesiąc],$B$11)</f>
        <v>0</v>
      </c>
      <c r="E5" s="17">
        <f ca="1">listopad_saldo[[#This Row],[Saldo początkowe]]+listopad_saldo[[#This Row],[Operacje]]</f>
        <v>548.5</v>
      </c>
    </row>
    <row r="6" spans="1:5" x14ac:dyDescent="0.25">
      <c r="A6" s="11" t="s">
        <v>14</v>
      </c>
      <c r="B6" s="12" t="s">
        <v>20</v>
      </c>
      <c r="C6" s="17" cm="1">
        <f t="array" aca="1" ref="C6" ca="1">INDIRECT(TEXT(DATE(2025,$B$11-1,1),"mmmm")&amp;"_saldo[@[Saldo końcowe]]")</f>
        <v>1086</v>
      </c>
      <c r="D6" s="17">
        <f>SUMIFS(operacje[Kwota],operacje[Bank],listopad_saldo[[#This Row],[Bank]],operacje[Produkt],listopad_saldo[[#This Row],[Produkt]],operacje[Miesiąc],$B$11)</f>
        <v>0</v>
      </c>
      <c r="E6" s="17">
        <f ca="1">listopad_saldo[[#This Row],[Saldo początkowe]]+listopad_saldo[[#This Row],[Operacje]]</f>
        <v>1086</v>
      </c>
    </row>
    <row r="7" spans="1:5" x14ac:dyDescent="0.25">
      <c r="A7" s="15" t="s">
        <v>26</v>
      </c>
      <c r="B7" s="16" t="s">
        <v>27</v>
      </c>
      <c r="C7" s="17" cm="1">
        <f t="array" aca="1" ref="C7" ca="1">INDIRECT(TEXT(DATE(2025,$B$11-1,1),"mmmm")&amp;"_saldo[@[Saldo końcowe]]")</f>
        <v>195.51</v>
      </c>
      <c r="D7" s="17">
        <f>SUMIFS(operacje[Kwota],operacje[Bank],listopad_saldo[[#This Row],[Bank]],operacje[Produkt],listopad_saldo[[#This Row],[Produkt]],operacje[Miesiąc],$B$11)</f>
        <v>0</v>
      </c>
      <c r="E7" s="17">
        <f ca="1">listopad_saldo[[#This Row],[Saldo początkowe]]+listopad_saldo[[#This Row],[Operacje]]</f>
        <v>195.51</v>
      </c>
    </row>
    <row r="8" spans="1:5" x14ac:dyDescent="0.25">
      <c r="A8" s="11" t="s">
        <v>26</v>
      </c>
      <c r="B8" s="12" t="s">
        <v>28</v>
      </c>
      <c r="C8" s="17" cm="1">
        <f t="array" aca="1" ref="C8" ca="1">INDIRECT(TEXT(DATE(2025,$B$11-1,1),"mmmm")&amp;"_saldo[@[Saldo końcowe]]")</f>
        <v>393</v>
      </c>
      <c r="D8" s="17">
        <f>SUMIFS(operacje[Kwota],operacje[Bank],listopad_saldo[[#This Row],[Bank]],operacje[Produkt],listopad_saldo[[#This Row],[Produkt]],operacje[Miesiąc],$B$11)</f>
        <v>400</v>
      </c>
      <c r="E8" s="17">
        <f ca="1">listopad_saldo[[#This Row],[Saldo początkowe]]+listopad_saldo[[#This Row],[Operacje]]</f>
        <v>793</v>
      </c>
    </row>
    <row r="9" spans="1:5" x14ac:dyDescent="0.25">
      <c r="A9" t="s">
        <v>38</v>
      </c>
      <c r="C9" s="17">
        <f ca="1">SUBTOTAL(109,listopad_saldo[Saldo początkowe])</f>
        <v>16919.95</v>
      </c>
      <c r="D9" s="17">
        <f>SUBTOTAL(109,listopad_saldo[Operacje])</f>
        <v>1400</v>
      </c>
      <c r="E9" s="17">
        <f ca="1">SUBTOTAL(109,listopad_saldo[Saldo końcowe])</f>
        <v>18319.95</v>
      </c>
    </row>
    <row r="11" spans="1:5" x14ac:dyDescent="0.25">
      <c r="A11" t="s">
        <v>6</v>
      </c>
      <c r="B11">
        <v>11</v>
      </c>
      <c r="C11" t="str">
        <f>TEXT(DATE(2025,B11,1),"mmmm")</f>
        <v>listopad</v>
      </c>
    </row>
    <row r="13" spans="1:5" x14ac:dyDescent="0.25">
      <c r="A13" t="s">
        <v>3</v>
      </c>
      <c r="B13" t="s">
        <v>4</v>
      </c>
      <c r="C13" t="s">
        <v>38</v>
      </c>
    </row>
    <row r="14" spans="1:5" outlineLevel="2" x14ac:dyDescent="0.25">
      <c r="A14" s="4" t="s">
        <v>31</v>
      </c>
      <c r="B14" s="4" t="s">
        <v>34</v>
      </c>
      <c r="C14">
        <f>SUMIFS(operacje[Kwota],operacje[Kategoria],$A14,operacje[Miesiąc],$B$11)</f>
        <v>0</v>
      </c>
    </row>
    <row r="15" spans="1:5" outlineLevel="1" x14ac:dyDescent="0.25">
      <c r="A15" s="4"/>
      <c r="B15" s="18" t="s">
        <v>39</v>
      </c>
      <c r="C15">
        <f>SUBTOTAL(9,C14:C14)</f>
        <v>0</v>
      </c>
    </row>
    <row r="16" spans="1:5" outlineLevel="2" x14ac:dyDescent="0.25">
      <c r="A16" s="5" t="s">
        <v>32</v>
      </c>
      <c r="B16" s="5" t="s">
        <v>12</v>
      </c>
      <c r="C16">
        <f>SUMIFS(operacje[Kwota],operacje[Kategoria],$A16,operacje[Miesiąc],$B$11)</f>
        <v>400</v>
      </c>
    </row>
    <row r="17" spans="1:3" outlineLevel="2" x14ac:dyDescent="0.25">
      <c r="A17" s="4" t="s">
        <v>29</v>
      </c>
      <c r="B17" s="4" t="s">
        <v>12</v>
      </c>
      <c r="C17">
        <f>SUMIFS(operacje[Kwota],operacje[Kategoria],$A17,operacje[Miesiąc],$B$11)</f>
        <v>0</v>
      </c>
    </row>
    <row r="18" spans="1:3" outlineLevel="2" x14ac:dyDescent="0.25">
      <c r="A18" s="5" t="s">
        <v>21</v>
      </c>
      <c r="B18" s="5" t="s">
        <v>12</v>
      </c>
      <c r="C18">
        <f>SUMIFS(operacje[Kwota],operacje[Kategoria],$A18,operacje[Miesiąc],$B$11)</f>
        <v>0</v>
      </c>
    </row>
    <row r="19" spans="1:3" outlineLevel="2" x14ac:dyDescent="0.25">
      <c r="A19" s="4" t="s">
        <v>17</v>
      </c>
      <c r="B19" s="4" t="s">
        <v>12</v>
      </c>
      <c r="C19">
        <f>SUMIFS(operacje[Kwota],operacje[Kategoria],$A19,operacje[Miesiąc],$B$11)</f>
        <v>0</v>
      </c>
    </row>
    <row r="20" spans="1:3" outlineLevel="2" x14ac:dyDescent="0.25">
      <c r="A20" s="5" t="s">
        <v>33</v>
      </c>
      <c r="B20" s="5" t="s">
        <v>12</v>
      </c>
      <c r="C20">
        <f>SUMIFS(operacje[Kwota],operacje[Kategoria],$A20,operacje[Miesiąc],$B$11)</f>
        <v>0</v>
      </c>
    </row>
    <row r="21" spans="1:3" outlineLevel="2" x14ac:dyDescent="0.25">
      <c r="A21" s="4" t="s">
        <v>11</v>
      </c>
      <c r="B21" s="4" t="s">
        <v>12</v>
      </c>
      <c r="C21">
        <f>SUMIFS(operacje[Kwota],operacje[Kategoria],$A21,operacje[Miesiąc],$B$11)</f>
        <v>4500</v>
      </c>
    </row>
    <row r="22" spans="1:3" outlineLevel="1" x14ac:dyDescent="0.25">
      <c r="A22" s="4"/>
      <c r="B22" s="18" t="s">
        <v>40</v>
      </c>
      <c r="C22">
        <f>SUBTOTAL(9,C16:C21)</f>
        <v>4900</v>
      </c>
    </row>
    <row r="23" spans="1:3" outlineLevel="2" x14ac:dyDescent="0.25">
      <c r="A23" s="5" t="s">
        <v>9</v>
      </c>
      <c r="B23" s="5" t="s">
        <v>10</v>
      </c>
      <c r="C23">
        <f>SUMIFS(operacje[Kwota],operacje[Kategoria],$A23,operacje[Miesiąc],$B$11)</f>
        <v>-506</v>
      </c>
    </row>
    <row r="24" spans="1:3" outlineLevel="2" x14ac:dyDescent="0.25">
      <c r="A24" s="4" t="s">
        <v>13</v>
      </c>
      <c r="B24" s="4" t="s">
        <v>10</v>
      </c>
      <c r="C24">
        <f>SUMIFS(operacje[Kwota],operacje[Kategoria],$A24,operacje[Miesiąc],$B$11)</f>
        <v>-2000</v>
      </c>
    </row>
    <row r="25" spans="1:3" outlineLevel="2" x14ac:dyDescent="0.25">
      <c r="A25" s="5" t="s">
        <v>24</v>
      </c>
      <c r="B25" s="5" t="s">
        <v>10</v>
      </c>
      <c r="C25">
        <f>SUMIFS(operacje[Kwota],operacje[Kategoria],$A25,operacje[Miesiąc],$B$11)</f>
        <v>-158</v>
      </c>
    </row>
    <row r="26" spans="1:3" outlineLevel="2" x14ac:dyDescent="0.25">
      <c r="A26" s="4" t="s">
        <v>19</v>
      </c>
      <c r="B26" s="4" t="s">
        <v>10</v>
      </c>
      <c r="C26">
        <f>SUMIFS(operacje[Kwota],operacje[Kategoria],$A26,operacje[Miesiąc],$B$11)</f>
        <v>-234</v>
      </c>
    </row>
    <row r="27" spans="1:3" outlineLevel="2" x14ac:dyDescent="0.25">
      <c r="A27" s="5" t="s">
        <v>22</v>
      </c>
      <c r="B27" s="5" t="s">
        <v>10</v>
      </c>
      <c r="C27">
        <f>SUMIFS(operacje[Kwota],operacje[Kategoria],$A27,operacje[Miesiąc],$B$11)</f>
        <v>-214</v>
      </c>
    </row>
    <row r="28" spans="1:3" outlineLevel="2" x14ac:dyDescent="0.25">
      <c r="A28" s="4" t="s">
        <v>25</v>
      </c>
      <c r="B28" s="4" t="s">
        <v>10</v>
      </c>
      <c r="C28">
        <f>SUMIFS(operacje[Kwota],operacje[Kategoria],$A28,operacje[Miesiąc],$B$11)</f>
        <v>0</v>
      </c>
    </row>
    <row r="29" spans="1:3" outlineLevel="2" x14ac:dyDescent="0.25">
      <c r="A29" s="5" t="s">
        <v>16</v>
      </c>
      <c r="B29" s="5" t="s">
        <v>10</v>
      </c>
      <c r="C29">
        <f>SUMIFS(operacje[Kwota],operacje[Kategoria],$A29,operacje[Miesiąc],$B$11)</f>
        <v>-47</v>
      </c>
    </row>
    <row r="30" spans="1:3" outlineLevel="2" x14ac:dyDescent="0.25">
      <c r="A30" s="4" t="s">
        <v>23</v>
      </c>
      <c r="B30" s="4" t="s">
        <v>10</v>
      </c>
      <c r="C30">
        <f>SUMIFS(operacje[Kwota],operacje[Kategoria],$A30,operacje[Miesiąc],$B$11)</f>
        <v>-208</v>
      </c>
    </row>
    <row r="31" spans="1:3" ht="15.75" outlineLevel="2" thickBot="1" x14ac:dyDescent="0.3">
      <c r="A31" s="6" t="s">
        <v>30</v>
      </c>
      <c r="B31" s="6" t="s">
        <v>10</v>
      </c>
      <c r="C31">
        <f>SUMIFS(operacje[Kwota],operacje[Kategoria],$A31,operacje[Miesiąc],$B$11)</f>
        <v>-133</v>
      </c>
    </row>
    <row r="32" spans="1:3" outlineLevel="1" x14ac:dyDescent="0.25">
      <c r="A32" s="19"/>
      <c r="B32" s="20" t="s">
        <v>41</v>
      </c>
      <c r="C32">
        <f>SUBTOTAL(9,C23:C31)</f>
        <v>-3500</v>
      </c>
    </row>
    <row r="33" spans="1:3" x14ac:dyDescent="0.25">
      <c r="A33" s="19"/>
      <c r="B33" s="20" t="s">
        <v>42</v>
      </c>
      <c r="C33">
        <f>SUBTOTAL(9,C14:C31)</f>
        <v>1400</v>
      </c>
    </row>
  </sheetData>
  <dataValidations count="2">
    <dataValidation type="list" allowBlank="1" showInputMessage="1" showErrorMessage="1" sqref="A2:A8" xr:uid="{F581F6F6-D500-4AD2-B3F2-661775AB700A}">
      <formula1>$E$1:$G$1</formula1>
    </dataValidation>
    <dataValidation type="list" allowBlank="1" showInputMessage="1" showErrorMessage="1" sqref="B2:B8" xr:uid="{C5DCC005-FC85-4E29-A639-A58DA33A1C3D}">
      <formula1>CHOOSE(MATCH(A2,$E$1:$G$1,0),$E$2:$E$4,$F$2:$F$3,$A$14:$A$16)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B0480-5407-432C-BBEE-98F811A45FE0}">
  <dimension ref="A1:E33"/>
  <sheetViews>
    <sheetView tabSelected="1" workbookViewId="0">
      <selection activeCell="B12" sqref="B12"/>
    </sheetView>
  </sheetViews>
  <sheetFormatPr defaultRowHeight="15" outlineLevelRow="2" x14ac:dyDescent="0.25"/>
  <cols>
    <col min="1" max="1" width="17.7109375" customWidth="1"/>
    <col min="2" max="2" width="21.7109375" customWidth="1"/>
    <col min="3" max="3" width="19" customWidth="1"/>
    <col min="4" max="4" width="11.140625" customWidth="1"/>
    <col min="5" max="5" width="16.42578125" customWidth="1"/>
    <col min="7" max="7" width="17.28515625" bestFit="1" customWidth="1"/>
  </cols>
  <sheetData>
    <row r="1" spans="1:5" x14ac:dyDescent="0.25">
      <c r="A1" t="s">
        <v>1</v>
      </c>
      <c r="B1" t="s">
        <v>2</v>
      </c>
      <c r="C1" t="s">
        <v>35</v>
      </c>
      <c r="D1" t="s">
        <v>36</v>
      </c>
      <c r="E1" t="s">
        <v>37</v>
      </c>
    </row>
    <row r="2" spans="1:5" x14ac:dyDescent="0.25">
      <c r="A2" s="11" t="s">
        <v>7</v>
      </c>
      <c r="B2" s="12" t="s">
        <v>15</v>
      </c>
      <c r="C2" s="17" cm="1">
        <f t="array" aca="1" ref="C2" ca="1">INDIRECT(TEXT(DATE(2025,$B$11-1,1),"mmmm")&amp;"_saldo[@[Saldo końcowe]]")</f>
        <v>0</v>
      </c>
      <c r="D2" s="17">
        <f>SUMIFS(operacje[Kwota],operacje[Bank],grudzień_saldo[[#This Row],[Bank]],operacje[Produkt],grudzień_saldo[[#This Row],[Produkt]],operacje[Miesiąc],$B$11)</f>
        <v>0</v>
      </c>
      <c r="E2" s="17">
        <f ca="1">grudzień_saldo[[#This Row],[Saldo początkowe]]+grudzień_saldo[[#This Row],[Operacje]]</f>
        <v>0</v>
      </c>
    </row>
    <row r="3" spans="1:5" x14ac:dyDescent="0.25">
      <c r="A3" s="11" t="s">
        <v>7</v>
      </c>
      <c r="B3" s="12" t="s">
        <v>8</v>
      </c>
      <c r="C3" s="17" cm="1">
        <f t="array" aca="1" ref="C3" ca="1">INDIRECT(TEXT(DATE(2025,$B$11-1,1),"mmmm")&amp;"_saldo[@[Saldo końcowe]]")</f>
        <v>15696.94</v>
      </c>
      <c r="D3" s="17">
        <f>SUMIFS(operacje[Kwota],operacje[Bank],grudzień_saldo[[#This Row],[Bank]],operacje[Produkt],grudzień_saldo[[#This Row],[Produkt]],operacje[Miesiąc],$B$11)</f>
        <v>1320</v>
      </c>
      <c r="E3" s="17">
        <f ca="1">grudzień_saldo[[#This Row],[Saldo początkowe]]+grudzień_saldo[[#This Row],[Operacje]]</f>
        <v>17016.940000000002</v>
      </c>
    </row>
    <row r="4" spans="1:5" x14ac:dyDescent="0.25">
      <c r="A4" s="13" t="s">
        <v>7</v>
      </c>
      <c r="B4" s="14" t="s">
        <v>18</v>
      </c>
      <c r="C4" s="17" cm="1">
        <f t="array" aca="1" ref="C4" ca="1">INDIRECT(TEXT(DATE(2025,$B$11-1,1),"mmmm")&amp;"_saldo[@[Saldo końcowe]]")</f>
        <v>0</v>
      </c>
      <c r="D4" s="17">
        <f>SUMIFS(operacje[Kwota],operacje[Bank],grudzień_saldo[[#This Row],[Bank]],operacje[Produkt],grudzień_saldo[[#This Row],[Produkt]],operacje[Miesiąc],$B$11)</f>
        <v>0</v>
      </c>
      <c r="E4" s="17">
        <f ca="1">grudzień_saldo[[#This Row],[Saldo początkowe]]+grudzień_saldo[[#This Row],[Operacje]]</f>
        <v>0</v>
      </c>
    </row>
    <row r="5" spans="1:5" x14ac:dyDescent="0.25">
      <c r="A5" s="15" t="s">
        <v>14</v>
      </c>
      <c r="B5" s="16" t="s">
        <v>8</v>
      </c>
      <c r="C5" s="17" cm="1">
        <f t="array" aca="1" ref="C5" ca="1">INDIRECT(TEXT(DATE(2025,$B$11-1,1),"mmmm")&amp;"_saldo[@[Saldo końcowe]]")</f>
        <v>548.5</v>
      </c>
      <c r="D5" s="17">
        <f>SUMIFS(operacje[Kwota],operacje[Bank],grudzień_saldo[[#This Row],[Bank]],operacje[Produkt],grudzień_saldo[[#This Row],[Produkt]],operacje[Miesiąc],$B$11)</f>
        <v>0</v>
      </c>
      <c r="E5" s="17">
        <f ca="1">grudzień_saldo[[#This Row],[Saldo początkowe]]+grudzień_saldo[[#This Row],[Operacje]]</f>
        <v>548.5</v>
      </c>
    </row>
    <row r="6" spans="1:5" x14ac:dyDescent="0.25">
      <c r="A6" s="11" t="s">
        <v>14</v>
      </c>
      <c r="B6" s="12" t="s">
        <v>20</v>
      </c>
      <c r="C6" s="17" cm="1">
        <f t="array" aca="1" ref="C6" ca="1">INDIRECT(TEXT(DATE(2025,$B$11-1,1),"mmmm")&amp;"_saldo[@[Saldo końcowe]]")</f>
        <v>1086</v>
      </c>
      <c r="D6" s="17">
        <f>SUMIFS(operacje[Kwota],operacje[Bank],grudzień_saldo[[#This Row],[Bank]],operacje[Produkt],grudzień_saldo[[#This Row],[Produkt]],operacje[Miesiąc],$B$11)</f>
        <v>0</v>
      </c>
      <c r="E6" s="17">
        <f ca="1">grudzień_saldo[[#This Row],[Saldo początkowe]]+grudzień_saldo[[#This Row],[Operacje]]</f>
        <v>1086</v>
      </c>
    </row>
    <row r="7" spans="1:5" x14ac:dyDescent="0.25">
      <c r="A7" s="15" t="s">
        <v>26</v>
      </c>
      <c r="B7" s="16" t="s">
        <v>27</v>
      </c>
      <c r="C7" s="17" cm="1">
        <f t="array" aca="1" ref="C7" ca="1">INDIRECT(TEXT(DATE(2025,$B$11-1,1),"mmmm")&amp;"_saldo[@[Saldo końcowe]]")</f>
        <v>195.51</v>
      </c>
      <c r="D7" s="17">
        <f>SUMIFS(operacje[Kwota],operacje[Bank],grudzień_saldo[[#This Row],[Bank]],operacje[Produkt],grudzień_saldo[[#This Row],[Produkt]],operacje[Miesiąc],$B$11)</f>
        <v>0</v>
      </c>
      <c r="E7" s="17">
        <f ca="1">grudzień_saldo[[#This Row],[Saldo początkowe]]+grudzień_saldo[[#This Row],[Operacje]]</f>
        <v>195.51</v>
      </c>
    </row>
    <row r="8" spans="1:5" x14ac:dyDescent="0.25">
      <c r="A8" s="11" t="s">
        <v>26</v>
      </c>
      <c r="B8" s="12" t="s">
        <v>28</v>
      </c>
      <c r="C8" s="17" cm="1">
        <f t="array" aca="1" ref="C8" ca="1">INDIRECT(TEXT(DATE(2025,$B$11-1,1),"mmmm")&amp;"_saldo[@[Saldo końcowe]]")</f>
        <v>793</v>
      </c>
      <c r="D8" s="17">
        <f>SUMIFS(operacje[Kwota],operacje[Bank],grudzień_saldo[[#This Row],[Bank]],operacje[Produkt],grudzień_saldo[[#This Row],[Produkt]],operacje[Miesiąc],$B$11)</f>
        <v>1100</v>
      </c>
      <c r="E8" s="17">
        <f ca="1">grudzień_saldo[[#This Row],[Saldo początkowe]]+grudzień_saldo[[#This Row],[Operacje]]</f>
        <v>1893</v>
      </c>
    </row>
    <row r="9" spans="1:5" x14ac:dyDescent="0.25">
      <c r="A9" t="s">
        <v>38</v>
      </c>
      <c r="C9" s="17">
        <f ca="1">SUBTOTAL(109,grudzień_saldo[Saldo początkowe])</f>
        <v>18319.95</v>
      </c>
      <c r="D9" s="17">
        <f>SUBTOTAL(109,grudzień_saldo[Operacje])</f>
        <v>2420</v>
      </c>
      <c r="E9" s="17">
        <f ca="1">SUBTOTAL(109,grudzień_saldo[Saldo końcowe])</f>
        <v>20739.95</v>
      </c>
    </row>
    <row r="11" spans="1:5" x14ac:dyDescent="0.25">
      <c r="A11" t="s">
        <v>6</v>
      </c>
      <c r="B11">
        <v>12</v>
      </c>
      <c r="C11" t="str">
        <f>TEXT(DATE(2025,B11,1),"mmmm")</f>
        <v>grudzień</v>
      </c>
    </row>
    <row r="13" spans="1:5" x14ac:dyDescent="0.25">
      <c r="A13" t="s">
        <v>3</v>
      </c>
      <c r="B13" t="s">
        <v>4</v>
      </c>
      <c r="C13" t="s">
        <v>38</v>
      </c>
    </row>
    <row r="14" spans="1:5" outlineLevel="2" x14ac:dyDescent="0.25">
      <c r="A14" s="4" t="s">
        <v>31</v>
      </c>
      <c r="B14" s="4" t="s">
        <v>34</v>
      </c>
      <c r="C14">
        <f>SUMIFS(operacje[Kwota],operacje[Kategoria],$A14,operacje[Miesiąc],$B$11)</f>
        <v>0</v>
      </c>
    </row>
    <row r="15" spans="1:5" outlineLevel="1" x14ac:dyDescent="0.25">
      <c r="A15" s="4"/>
      <c r="B15" s="18" t="s">
        <v>39</v>
      </c>
      <c r="C15">
        <f>SUBTOTAL(9,C14:C14)</f>
        <v>0</v>
      </c>
    </row>
    <row r="16" spans="1:5" outlineLevel="2" x14ac:dyDescent="0.25">
      <c r="A16" s="5" t="s">
        <v>32</v>
      </c>
      <c r="B16" s="5" t="s">
        <v>12</v>
      </c>
      <c r="C16">
        <f>SUMIFS(operacje[Kwota],operacje[Kategoria],$A16,operacje[Miesiąc],$B$11)</f>
        <v>2000</v>
      </c>
    </row>
    <row r="17" spans="1:3" outlineLevel="2" x14ac:dyDescent="0.25">
      <c r="A17" s="4" t="s">
        <v>29</v>
      </c>
      <c r="B17" s="4" t="s">
        <v>12</v>
      </c>
      <c r="C17">
        <f>SUMIFS(operacje[Kwota],operacje[Kategoria],$A17,operacje[Miesiąc],$B$11)</f>
        <v>0</v>
      </c>
    </row>
    <row r="18" spans="1:3" outlineLevel="2" x14ac:dyDescent="0.25">
      <c r="A18" s="5" t="s">
        <v>21</v>
      </c>
      <c r="B18" s="5" t="s">
        <v>12</v>
      </c>
      <c r="C18">
        <f>SUMIFS(operacje[Kwota],operacje[Kategoria],$A18,operacje[Miesiąc],$B$11)</f>
        <v>0</v>
      </c>
    </row>
    <row r="19" spans="1:3" outlineLevel="2" x14ac:dyDescent="0.25">
      <c r="A19" s="4" t="s">
        <v>17</v>
      </c>
      <c r="B19" s="4" t="s">
        <v>12</v>
      </c>
      <c r="C19">
        <f>SUMIFS(operacje[Kwota],operacje[Kategoria],$A19,operacje[Miesiąc],$B$11)</f>
        <v>0</v>
      </c>
    </row>
    <row r="20" spans="1:3" outlineLevel="2" x14ac:dyDescent="0.25">
      <c r="A20" s="5" t="s">
        <v>33</v>
      </c>
      <c r="B20" s="5" t="s">
        <v>12</v>
      </c>
      <c r="C20">
        <f>SUMIFS(operacje[Kwota],operacje[Kategoria],$A20,operacje[Miesiąc],$B$11)</f>
        <v>0</v>
      </c>
    </row>
    <row r="21" spans="1:3" outlineLevel="2" x14ac:dyDescent="0.25">
      <c r="A21" s="4" t="s">
        <v>11</v>
      </c>
      <c r="B21" s="4" t="s">
        <v>12</v>
      </c>
      <c r="C21">
        <f>SUMIFS(operacje[Kwota],operacje[Kategoria],$A21,operacje[Miesiąc],$B$11)</f>
        <v>4500</v>
      </c>
    </row>
    <row r="22" spans="1:3" outlineLevel="1" x14ac:dyDescent="0.25">
      <c r="A22" s="4"/>
      <c r="B22" s="18" t="s">
        <v>40</v>
      </c>
      <c r="C22">
        <f>SUBTOTAL(9,C16:C21)</f>
        <v>6500</v>
      </c>
    </row>
    <row r="23" spans="1:3" outlineLevel="2" x14ac:dyDescent="0.25">
      <c r="A23" s="5" t="s">
        <v>9</v>
      </c>
      <c r="B23" s="5" t="s">
        <v>10</v>
      </c>
      <c r="C23">
        <f>SUMIFS(operacje[Kwota],operacje[Kategoria],$A23,operacje[Miesiąc],$B$11)</f>
        <v>-700</v>
      </c>
    </row>
    <row r="24" spans="1:3" outlineLevel="2" x14ac:dyDescent="0.25">
      <c r="A24" s="4" t="s">
        <v>13</v>
      </c>
      <c r="B24" s="4" t="s">
        <v>10</v>
      </c>
      <c r="C24">
        <f>SUMIFS(operacje[Kwota],operacje[Kategoria],$A24,operacje[Miesiąc],$B$11)</f>
        <v>-2000</v>
      </c>
    </row>
    <row r="25" spans="1:3" outlineLevel="2" x14ac:dyDescent="0.25">
      <c r="A25" s="5" t="s">
        <v>24</v>
      </c>
      <c r="B25" s="5" t="s">
        <v>10</v>
      </c>
      <c r="C25">
        <f>SUMIFS(operacje[Kwota],operacje[Kategoria],$A25,operacje[Miesiąc],$B$11)</f>
        <v>-120</v>
      </c>
    </row>
    <row r="26" spans="1:3" outlineLevel="2" x14ac:dyDescent="0.25">
      <c r="A26" s="4" t="s">
        <v>19</v>
      </c>
      <c r="B26" s="4" t="s">
        <v>10</v>
      </c>
      <c r="C26">
        <f>SUMIFS(operacje[Kwota],operacje[Kategoria],$A26,operacje[Miesiąc],$B$11)</f>
        <v>-700</v>
      </c>
    </row>
    <row r="27" spans="1:3" outlineLevel="2" x14ac:dyDescent="0.25">
      <c r="A27" s="5" t="s">
        <v>22</v>
      </c>
      <c r="B27" s="5" t="s">
        <v>10</v>
      </c>
      <c r="C27">
        <f>SUMIFS(operacje[Kwota],operacje[Kategoria],$A27,operacje[Miesiąc],$B$11)</f>
        <v>-450</v>
      </c>
    </row>
    <row r="28" spans="1:3" outlineLevel="2" x14ac:dyDescent="0.25">
      <c r="A28" s="4" t="s">
        <v>25</v>
      </c>
      <c r="B28" s="4" t="s">
        <v>10</v>
      </c>
      <c r="C28">
        <f>SUMIFS(operacje[Kwota],operacje[Kategoria],$A28,operacje[Miesiąc],$B$11)</f>
        <v>-100</v>
      </c>
    </row>
    <row r="29" spans="1:3" outlineLevel="2" x14ac:dyDescent="0.25">
      <c r="A29" s="5" t="s">
        <v>16</v>
      </c>
      <c r="B29" s="5" t="s">
        <v>10</v>
      </c>
      <c r="C29">
        <f>SUMIFS(operacje[Kwota],operacje[Kategoria],$A29,operacje[Miesiąc],$B$11)</f>
        <v>0</v>
      </c>
    </row>
    <row r="30" spans="1:3" outlineLevel="2" x14ac:dyDescent="0.25">
      <c r="A30" s="4" t="s">
        <v>23</v>
      </c>
      <c r="B30" s="4" t="s">
        <v>10</v>
      </c>
      <c r="C30">
        <f>SUMIFS(operacje[Kwota],operacje[Kategoria],$A30,operacje[Miesiąc],$B$11)</f>
        <v>0</v>
      </c>
    </row>
    <row r="31" spans="1:3" ht="15.75" outlineLevel="2" thickBot="1" x14ac:dyDescent="0.3">
      <c r="A31" s="6" t="s">
        <v>30</v>
      </c>
      <c r="B31" s="6" t="s">
        <v>10</v>
      </c>
      <c r="C31">
        <f>SUMIFS(operacje[Kwota],operacje[Kategoria],$A31,operacje[Miesiąc],$B$11)</f>
        <v>-10</v>
      </c>
    </row>
    <row r="32" spans="1:3" outlineLevel="1" x14ac:dyDescent="0.25">
      <c r="A32" s="19"/>
      <c r="B32" s="20" t="s">
        <v>41</v>
      </c>
      <c r="C32">
        <f>SUBTOTAL(9,C23:C31)</f>
        <v>-4080</v>
      </c>
    </row>
    <row r="33" spans="1:3" x14ac:dyDescent="0.25">
      <c r="A33" s="19"/>
      <c r="B33" s="20" t="s">
        <v>42</v>
      </c>
      <c r="C33">
        <f>SUBTOTAL(9,C14:C31)</f>
        <v>2420</v>
      </c>
    </row>
  </sheetData>
  <dataValidations count="2">
    <dataValidation type="list" allowBlank="1" showInputMessage="1" showErrorMessage="1" sqref="B2:B8" xr:uid="{2C677911-86DC-41C3-BFA9-7956A057C5EA}">
      <formula1>CHOOSE(MATCH(A2,$E$1:$G$1,0),$E$2:$E$4,$F$2:$F$3,$A$14:$A$16)</formula1>
    </dataValidation>
    <dataValidation type="list" allowBlank="1" showInputMessage="1" showErrorMessage="1" sqref="A2:A8" xr:uid="{563C89C4-4615-4DEB-8D20-5846BA33C9BD}">
      <formula1>$E$1:$G$1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14</vt:i4>
      </vt:variant>
    </vt:vector>
  </HeadingPairs>
  <TitlesOfParts>
    <vt:vector size="14" baseType="lpstr">
      <vt:lpstr>operacje</vt:lpstr>
      <vt:lpstr>kategorie</vt:lpstr>
      <vt:lpstr>styczeń</vt:lpstr>
      <vt:lpstr>luty</vt:lpstr>
      <vt:lpstr>marzec</vt:lpstr>
      <vt:lpstr>kwiecień</vt:lpstr>
      <vt:lpstr>maj</vt:lpstr>
      <vt:lpstr>czerwiec</vt:lpstr>
      <vt:lpstr>lipiec</vt:lpstr>
      <vt:lpstr>sierpień</vt:lpstr>
      <vt:lpstr>wrzesień</vt:lpstr>
      <vt:lpstr>październik</vt:lpstr>
      <vt:lpstr>listopad</vt:lpstr>
      <vt:lpstr>grudzień</vt:lpstr>
    </vt:vector>
  </TitlesOfParts>
  <Company>Uniwersytet Ekonomiczny w Krakowie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RisSetupInstall</dc:creator>
  <cp:lastModifiedBy>RisSetupInstall</cp:lastModifiedBy>
  <dcterms:created xsi:type="dcterms:W3CDTF">2024-12-14T15:11:08Z</dcterms:created>
  <dcterms:modified xsi:type="dcterms:W3CDTF">2025-01-11T15:52:40Z</dcterms:modified>
</cp:coreProperties>
</file>